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ate1904="1" codeName="ThisWorkbook"/>
  <mc:AlternateContent xmlns:mc="http://schemas.openxmlformats.org/markup-compatibility/2006">
    <mc:Choice Requires="x15">
      <x15ac:absPath xmlns:x15ac="http://schemas.microsoft.com/office/spreadsheetml/2010/11/ac" url="C:\Users\fur7t3\Desktop\"/>
    </mc:Choice>
  </mc:AlternateContent>
  <xr:revisionPtr revIDLastSave="0" documentId="8_{A91AE2EE-7E1A-45CA-B746-C052A4487EDD}" xr6:coauthVersionLast="45" xr6:coauthVersionMax="45" xr10:uidLastSave="{00000000-0000-0000-0000-000000000000}"/>
  <bookViews>
    <workbookView xWindow="3030" yWindow="315" windowWidth="21600" windowHeight="11160" tabRatio="923" firstSheet="1" activeTab="1" xr2:uid="{00000000-000D-0000-FFFF-FFFF00000000}"/>
  </bookViews>
  <sheets>
    <sheet name="Paramètres" sheetId="40" r:id="rId1"/>
    <sheet name="Recherche" sheetId="48" r:id="rId2"/>
    <sheet name="A) Base RI" sheetId="42" r:id="rId3"/>
    <sheet name="B) D RI" sheetId="19" r:id="rId4"/>
    <sheet name="C) Prél. conj." sheetId="32" r:id="rId5"/>
    <sheet name="D) Ecrêtage" sheetId="33" r:id="rId6"/>
    <sheet name="E) Part. coh. soc." sheetId="9" r:id="rId7"/>
    <sheet name="F) Population" sheetId="36" r:id="rId8"/>
    <sheet name="G) Solidarité" sheetId="37" r:id="rId9"/>
    <sheet name="H) Péréquation directe" sheetId="34" r:id="rId10"/>
    <sheet name="I) Dépenses thématiques" sheetId="11" r:id="rId11"/>
    <sheet name="J) Plafonnement effort" sheetId="12" r:id="rId12"/>
    <sheet name="K) Plafonnement aide" sheetId="39" r:id="rId13"/>
    <sheet name="L) Plafonnement taux" sheetId="13" r:id="rId14"/>
    <sheet name="M) Police" sheetId="49" r:id="rId15"/>
    <sheet name="Synthèse" sheetId="25" r:id="rId16"/>
  </sheets>
  <definedNames>
    <definedName name="_xlnm._FilterDatabase" localSheetId="4" hidden="1">'C) Prél. conj.'!$A$3:$H$313</definedName>
    <definedName name="_xlnm._FilterDatabase" localSheetId="6" hidden="1">'E) Part. coh. soc.'!$A$9:$G$319</definedName>
    <definedName name="_xlnm._FilterDatabase" localSheetId="9" hidden="1">'H) Péréquation directe'!$A$14:$I$324</definedName>
    <definedName name="_xlnm._FilterDatabase" localSheetId="15" hidden="1">Synthèse!$A$4:$L$316</definedName>
    <definedName name="_xlnm.Database">#REF!</definedName>
    <definedName name="_xlnm.Print_Titles" localSheetId="4">'C) Prél. conj.'!$3:$4</definedName>
    <definedName name="_xlnm.Print_Titles" localSheetId="6">'E) Part. coh. soc.'!$9:$10</definedName>
    <definedName name="_xlnm.Print_Titles" localSheetId="10">'I) Dépenses thématiques'!$3:$4</definedName>
    <definedName name="_xlnm.Print_Titles" localSheetId="11">'J) Plafonnement effort'!$3:$4</definedName>
    <definedName name="_xlnm.Print_Titles" localSheetId="13">'L) Plafonnement taux'!$4:$5</definedName>
    <definedName name="_xlnm.Print_Titles" localSheetId="14">'M) Police'!$4:$4</definedName>
    <definedName name="_xlnm.Print_Titles" localSheetId="15">Synthèse!$4:$5</definedName>
    <definedName name="ind">2</definedName>
    <definedName name="_xlnm.Print_Area" localSheetId="2">'A) Base RI'!#REF!</definedName>
    <definedName name="_xlnm.Print_Area" localSheetId="9">'H) Péréquation directe'!$315:$346</definedName>
    <definedName name="_xlnm.Print_Area" localSheetId="13">'L) Plafonnement taux'!$A$1:$R$315</definedName>
    <definedName name="_xlnm.Print_Area" localSheetId="14">'M) Police'!$A$1:$O$314</definedName>
    <definedName name="_xlnm.Print_Area" localSheetId="1">Recherche!$B$6:$F$56</definedName>
    <definedName name="_xlnm.Print_Area" localSheetId="15">Synthèse!$A$1:$N$314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14" i="13" l="1"/>
  <c r="I315" i="42" l="1"/>
  <c r="C201" i="42" l="1"/>
  <c r="D201" i="42" l="1"/>
  <c r="H6" i="13" l="1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70" i="13"/>
  <c r="H172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171" i="13" l="1"/>
  <c r="H168" i="13"/>
  <c r="H164" i="13"/>
  <c r="H160" i="13"/>
  <c r="H156" i="13"/>
  <c r="H152" i="13"/>
  <c r="H148" i="13"/>
  <c r="H144" i="13"/>
  <c r="H173" i="13"/>
  <c r="H167" i="13"/>
  <c r="H163" i="13"/>
  <c r="H159" i="13"/>
  <c r="H155" i="13"/>
  <c r="H151" i="13"/>
  <c r="H147" i="13"/>
  <c r="H143" i="13"/>
  <c r="H166" i="13"/>
  <c r="H162" i="13"/>
  <c r="H158" i="13"/>
  <c r="H154" i="13"/>
  <c r="H150" i="13"/>
  <c r="H146" i="13"/>
  <c r="H142" i="13"/>
  <c r="H169" i="13"/>
  <c r="H165" i="13"/>
  <c r="H161" i="13"/>
  <c r="H157" i="13"/>
  <c r="H153" i="13"/>
  <c r="H149" i="13"/>
  <c r="H145" i="13"/>
  <c r="H141" i="13"/>
  <c r="A6" i="39" l="1"/>
  <c r="B6" i="39"/>
  <c r="A7" i="39"/>
  <c r="B7" i="39"/>
  <c r="A8" i="39"/>
  <c r="B8" i="39"/>
  <c r="A9" i="39"/>
  <c r="B9" i="39"/>
  <c r="A10" i="39"/>
  <c r="B10" i="39"/>
  <c r="A11" i="39"/>
  <c r="B11" i="39"/>
  <c r="A12" i="39"/>
  <c r="B12" i="39"/>
  <c r="A13" i="39"/>
  <c r="B13" i="39"/>
  <c r="A14" i="39"/>
  <c r="B14" i="39"/>
  <c r="A15" i="39"/>
  <c r="B15" i="39"/>
  <c r="A16" i="39"/>
  <c r="B16" i="39"/>
  <c r="A17" i="39"/>
  <c r="B17" i="39"/>
  <c r="A18" i="39"/>
  <c r="B18" i="39"/>
  <c r="A19" i="39"/>
  <c r="B19" i="39"/>
  <c r="A20" i="39"/>
  <c r="B20" i="39"/>
  <c r="A21" i="39"/>
  <c r="B21" i="39"/>
  <c r="A22" i="39"/>
  <c r="B22" i="39"/>
  <c r="A23" i="39"/>
  <c r="B23" i="39"/>
  <c r="A24" i="39"/>
  <c r="B24" i="39"/>
  <c r="A25" i="39"/>
  <c r="B25" i="39"/>
  <c r="A26" i="39"/>
  <c r="B26" i="39"/>
  <c r="A27" i="39"/>
  <c r="B27" i="39"/>
  <c r="A28" i="39"/>
  <c r="B28" i="39"/>
  <c r="A29" i="39"/>
  <c r="B29" i="39"/>
  <c r="A30" i="39"/>
  <c r="B30" i="39"/>
  <c r="A31" i="39"/>
  <c r="B31" i="39"/>
  <c r="A32" i="39"/>
  <c r="B32" i="39"/>
  <c r="A33" i="39"/>
  <c r="B33" i="39"/>
  <c r="A34" i="39"/>
  <c r="B34" i="39"/>
  <c r="A35" i="39"/>
  <c r="B35" i="39"/>
  <c r="A36" i="39"/>
  <c r="B36" i="39"/>
  <c r="A37" i="39"/>
  <c r="B37" i="39"/>
  <c r="A38" i="39"/>
  <c r="B38" i="39"/>
  <c r="A39" i="39"/>
  <c r="B39" i="39"/>
  <c r="A40" i="39"/>
  <c r="B40" i="39"/>
  <c r="A41" i="39"/>
  <c r="B41" i="39"/>
  <c r="A42" i="39"/>
  <c r="B42" i="39"/>
  <c r="A43" i="39"/>
  <c r="B43" i="39"/>
  <c r="A44" i="39"/>
  <c r="B44" i="39"/>
  <c r="A45" i="39"/>
  <c r="B45" i="39"/>
  <c r="A46" i="39"/>
  <c r="B46" i="39"/>
  <c r="A47" i="39"/>
  <c r="B47" i="39"/>
  <c r="A48" i="39"/>
  <c r="B48" i="39"/>
  <c r="A49" i="39"/>
  <c r="B49" i="39"/>
  <c r="A50" i="39"/>
  <c r="B50" i="39"/>
  <c r="A51" i="39"/>
  <c r="B51" i="39"/>
  <c r="A52" i="39"/>
  <c r="B52" i="39"/>
  <c r="A53" i="39"/>
  <c r="B53" i="39"/>
  <c r="A54" i="39"/>
  <c r="B54" i="39"/>
  <c r="A55" i="39"/>
  <c r="B55" i="39"/>
  <c r="A56" i="39"/>
  <c r="B56" i="39"/>
  <c r="A57" i="39"/>
  <c r="B57" i="39"/>
  <c r="A58" i="39"/>
  <c r="B58" i="39"/>
  <c r="A59" i="39"/>
  <c r="B59" i="39"/>
  <c r="A60" i="39"/>
  <c r="B60" i="39"/>
  <c r="A61" i="39"/>
  <c r="B61" i="39"/>
  <c r="A62" i="39"/>
  <c r="B62" i="39"/>
  <c r="A63" i="39"/>
  <c r="B63" i="39"/>
  <c r="A64" i="39"/>
  <c r="B64" i="39"/>
  <c r="A65" i="39"/>
  <c r="B65" i="39"/>
  <c r="A66" i="39"/>
  <c r="B66" i="39"/>
  <c r="A67" i="39"/>
  <c r="B67" i="39"/>
  <c r="A68" i="39"/>
  <c r="B68" i="39"/>
  <c r="A69" i="39"/>
  <c r="B69" i="39"/>
  <c r="A70" i="39"/>
  <c r="B70" i="39"/>
  <c r="A71" i="39"/>
  <c r="B71" i="39"/>
  <c r="A72" i="39"/>
  <c r="B72" i="39"/>
  <c r="A73" i="39"/>
  <c r="B73" i="39"/>
  <c r="A74" i="39"/>
  <c r="B74" i="39"/>
  <c r="A75" i="39"/>
  <c r="B75" i="39"/>
  <c r="A76" i="39"/>
  <c r="B76" i="39"/>
  <c r="A77" i="39"/>
  <c r="B77" i="39"/>
  <c r="A78" i="39"/>
  <c r="B78" i="39"/>
  <c r="A79" i="39"/>
  <c r="B79" i="39"/>
  <c r="A80" i="39"/>
  <c r="B80" i="39"/>
  <c r="A81" i="39"/>
  <c r="B81" i="39"/>
  <c r="A82" i="39"/>
  <c r="B82" i="39"/>
  <c r="A83" i="39"/>
  <c r="B83" i="39"/>
  <c r="A84" i="39"/>
  <c r="B84" i="39"/>
  <c r="A85" i="39"/>
  <c r="B85" i="39"/>
  <c r="A86" i="39"/>
  <c r="B86" i="39"/>
  <c r="A87" i="39"/>
  <c r="B87" i="39"/>
  <c r="A88" i="39"/>
  <c r="B88" i="39"/>
  <c r="A89" i="39"/>
  <c r="B89" i="39"/>
  <c r="A90" i="39"/>
  <c r="B90" i="39"/>
  <c r="A91" i="39"/>
  <c r="B91" i="39"/>
  <c r="A92" i="39"/>
  <c r="B92" i="39"/>
  <c r="A93" i="39"/>
  <c r="B93" i="39"/>
  <c r="A94" i="39"/>
  <c r="B94" i="39"/>
  <c r="A95" i="39"/>
  <c r="B95" i="39"/>
  <c r="A96" i="39"/>
  <c r="B96" i="39"/>
  <c r="A97" i="39"/>
  <c r="B97" i="39"/>
  <c r="A98" i="39"/>
  <c r="B98" i="39"/>
  <c r="A99" i="39"/>
  <c r="B99" i="39"/>
  <c r="A100" i="39"/>
  <c r="B100" i="39"/>
  <c r="A101" i="39"/>
  <c r="B101" i="39"/>
  <c r="A102" i="39"/>
  <c r="B102" i="39"/>
  <c r="A103" i="39"/>
  <c r="B103" i="39"/>
  <c r="A104" i="39"/>
  <c r="B104" i="39"/>
  <c r="A105" i="39"/>
  <c r="B105" i="39"/>
  <c r="A106" i="39"/>
  <c r="B106" i="39"/>
  <c r="A107" i="39"/>
  <c r="B107" i="39"/>
  <c r="A108" i="39"/>
  <c r="B108" i="39"/>
  <c r="A109" i="39"/>
  <c r="B109" i="39"/>
  <c r="A110" i="39"/>
  <c r="B110" i="39"/>
  <c r="A111" i="39"/>
  <c r="B111" i="39"/>
  <c r="A112" i="39"/>
  <c r="B112" i="39"/>
  <c r="A113" i="39"/>
  <c r="B113" i="39"/>
  <c r="A114" i="39"/>
  <c r="B114" i="39"/>
  <c r="A115" i="39"/>
  <c r="B115" i="39"/>
  <c r="A116" i="39"/>
  <c r="B116" i="39"/>
  <c r="A117" i="39"/>
  <c r="B117" i="39"/>
  <c r="A118" i="39"/>
  <c r="B118" i="39"/>
  <c r="A119" i="39"/>
  <c r="B119" i="39"/>
  <c r="A120" i="39"/>
  <c r="B120" i="39"/>
  <c r="A121" i="39"/>
  <c r="B121" i="39"/>
  <c r="A122" i="39"/>
  <c r="B122" i="39"/>
  <c r="A123" i="39"/>
  <c r="B123" i="39"/>
  <c r="A124" i="39"/>
  <c r="B124" i="39"/>
  <c r="A125" i="39"/>
  <c r="B125" i="39"/>
  <c r="A126" i="39"/>
  <c r="B126" i="39"/>
  <c r="A127" i="39"/>
  <c r="B127" i="39"/>
  <c r="A128" i="39"/>
  <c r="B128" i="39"/>
  <c r="A129" i="39"/>
  <c r="B129" i="39"/>
  <c r="A130" i="39"/>
  <c r="B130" i="39"/>
  <c r="A131" i="39"/>
  <c r="B131" i="39"/>
  <c r="A132" i="39"/>
  <c r="B132" i="39"/>
  <c r="A133" i="39"/>
  <c r="B133" i="39"/>
  <c r="A134" i="39"/>
  <c r="B134" i="39"/>
  <c r="A135" i="39"/>
  <c r="B135" i="39"/>
  <c r="A136" i="39"/>
  <c r="B136" i="39"/>
  <c r="A137" i="39"/>
  <c r="B137" i="39"/>
  <c r="A138" i="39"/>
  <c r="B138" i="39"/>
  <c r="A139" i="39"/>
  <c r="B139" i="39"/>
  <c r="A140" i="39"/>
  <c r="B140" i="39"/>
  <c r="A141" i="39"/>
  <c r="B141" i="39"/>
  <c r="A142" i="39"/>
  <c r="B142" i="39"/>
  <c r="A143" i="39"/>
  <c r="B143" i="39"/>
  <c r="A144" i="39"/>
  <c r="B144" i="39"/>
  <c r="A145" i="39"/>
  <c r="B145" i="39"/>
  <c r="A146" i="39"/>
  <c r="B146" i="39"/>
  <c r="A147" i="39"/>
  <c r="B147" i="39"/>
  <c r="A148" i="39"/>
  <c r="B148" i="39"/>
  <c r="A149" i="39"/>
  <c r="B149" i="39"/>
  <c r="A150" i="39"/>
  <c r="B150" i="39"/>
  <c r="A151" i="39"/>
  <c r="B151" i="39"/>
  <c r="A152" i="39"/>
  <c r="B152" i="39"/>
  <c r="A153" i="39"/>
  <c r="B153" i="39"/>
  <c r="A154" i="39"/>
  <c r="B154" i="39"/>
  <c r="A155" i="39"/>
  <c r="B155" i="39"/>
  <c r="A156" i="39"/>
  <c r="B156" i="39"/>
  <c r="A157" i="39"/>
  <c r="B157" i="39"/>
  <c r="A158" i="39"/>
  <c r="B158" i="39"/>
  <c r="A159" i="39"/>
  <c r="B159" i="39"/>
  <c r="A160" i="39"/>
  <c r="B160" i="39"/>
  <c r="A161" i="39"/>
  <c r="B161" i="39"/>
  <c r="A162" i="39"/>
  <c r="B162" i="39"/>
  <c r="A163" i="39"/>
  <c r="B163" i="39"/>
  <c r="A164" i="39"/>
  <c r="B164" i="39"/>
  <c r="A165" i="39"/>
  <c r="B165" i="39"/>
  <c r="A166" i="39"/>
  <c r="B166" i="39"/>
  <c r="A167" i="39"/>
  <c r="B167" i="39"/>
  <c r="A168" i="39"/>
  <c r="B168" i="39"/>
  <c r="A169" i="39"/>
  <c r="B169" i="39"/>
  <c r="A170" i="39"/>
  <c r="B170" i="39"/>
  <c r="A171" i="39"/>
  <c r="B171" i="39"/>
  <c r="A172" i="39"/>
  <c r="B172" i="39"/>
  <c r="A173" i="39"/>
  <c r="B173" i="39"/>
  <c r="A174" i="39"/>
  <c r="B174" i="39"/>
  <c r="A175" i="39"/>
  <c r="B175" i="39"/>
  <c r="A176" i="39"/>
  <c r="B176" i="39"/>
  <c r="A177" i="39"/>
  <c r="B177" i="39"/>
  <c r="A178" i="39"/>
  <c r="B178" i="39"/>
  <c r="A179" i="39"/>
  <c r="B179" i="39"/>
  <c r="A180" i="39"/>
  <c r="B180" i="39"/>
  <c r="A181" i="39"/>
  <c r="B181" i="39"/>
  <c r="A182" i="39"/>
  <c r="B182" i="39"/>
  <c r="A183" i="39"/>
  <c r="B183" i="39"/>
  <c r="A184" i="39"/>
  <c r="B184" i="39"/>
  <c r="A185" i="39"/>
  <c r="B185" i="39"/>
  <c r="A186" i="39"/>
  <c r="B186" i="39"/>
  <c r="A187" i="39"/>
  <c r="B187" i="39"/>
  <c r="A188" i="39"/>
  <c r="B188" i="39"/>
  <c r="A189" i="39"/>
  <c r="B189" i="39"/>
  <c r="A190" i="39"/>
  <c r="B190" i="39"/>
  <c r="A191" i="39"/>
  <c r="B191" i="39"/>
  <c r="A192" i="39"/>
  <c r="B192" i="39"/>
  <c r="A193" i="39"/>
  <c r="B193" i="39"/>
  <c r="A194" i="39"/>
  <c r="B194" i="39"/>
  <c r="A195" i="39"/>
  <c r="B195" i="39"/>
  <c r="A196" i="39"/>
  <c r="B196" i="39"/>
  <c r="A197" i="39"/>
  <c r="B197" i="39"/>
  <c r="A198" i="39"/>
  <c r="B198" i="39"/>
  <c r="A199" i="39"/>
  <c r="B199" i="39"/>
  <c r="A200" i="39"/>
  <c r="B200" i="39"/>
  <c r="A201" i="39"/>
  <c r="B201" i="39"/>
  <c r="A202" i="39"/>
  <c r="B202" i="39"/>
  <c r="A203" i="39"/>
  <c r="B203" i="39"/>
  <c r="A204" i="39"/>
  <c r="B204" i="39"/>
  <c r="A205" i="39"/>
  <c r="B205" i="39"/>
  <c r="A206" i="39"/>
  <c r="B206" i="39"/>
  <c r="A207" i="39"/>
  <c r="B207" i="39"/>
  <c r="A208" i="39"/>
  <c r="B208" i="39"/>
  <c r="A209" i="39"/>
  <c r="B209" i="39"/>
  <c r="A210" i="39"/>
  <c r="B210" i="39"/>
  <c r="A211" i="39"/>
  <c r="B211" i="39"/>
  <c r="A212" i="39"/>
  <c r="B212" i="39"/>
  <c r="A213" i="39"/>
  <c r="B213" i="39"/>
  <c r="A214" i="39"/>
  <c r="B214" i="39"/>
  <c r="A215" i="39"/>
  <c r="B215" i="39"/>
  <c r="A216" i="39"/>
  <c r="B216" i="39"/>
  <c r="A217" i="39"/>
  <c r="B217" i="39"/>
  <c r="A218" i="39"/>
  <c r="B218" i="39"/>
  <c r="A219" i="39"/>
  <c r="B219" i="39"/>
  <c r="A220" i="39"/>
  <c r="B220" i="39"/>
  <c r="A221" i="39"/>
  <c r="B221" i="39"/>
  <c r="A222" i="39"/>
  <c r="B222" i="39"/>
  <c r="A223" i="39"/>
  <c r="B223" i="39"/>
  <c r="A224" i="39"/>
  <c r="B224" i="39"/>
  <c r="A225" i="39"/>
  <c r="B225" i="39"/>
  <c r="A226" i="39"/>
  <c r="B226" i="39"/>
  <c r="A227" i="39"/>
  <c r="B227" i="39"/>
  <c r="A228" i="39"/>
  <c r="B228" i="39"/>
  <c r="A229" i="39"/>
  <c r="B229" i="39"/>
  <c r="A230" i="39"/>
  <c r="B230" i="39"/>
  <c r="A231" i="39"/>
  <c r="B231" i="39"/>
  <c r="A232" i="39"/>
  <c r="B232" i="39"/>
  <c r="A233" i="39"/>
  <c r="B233" i="39"/>
  <c r="A234" i="39"/>
  <c r="B234" i="39"/>
  <c r="A235" i="39"/>
  <c r="B235" i="39"/>
  <c r="A236" i="39"/>
  <c r="B236" i="39"/>
  <c r="A237" i="39"/>
  <c r="B237" i="39"/>
  <c r="A238" i="39"/>
  <c r="B238" i="39"/>
  <c r="A239" i="39"/>
  <c r="B239" i="39"/>
  <c r="A240" i="39"/>
  <c r="B240" i="39"/>
  <c r="A241" i="39"/>
  <c r="B241" i="39"/>
  <c r="A242" i="39"/>
  <c r="B242" i="39"/>
  <c r="A243" i="39"/>
  <c r="B243" i="39"/>
  <c r="A244" i="39"/>
  <c r="B244" i="39"/>
  <c r="A245" i="39"/>
  <c r="B245" i="39"/>
  <c r="A246" i="39"/>
  <c r="B246" i="39"/>
  <c r="A247" i="39"/>
  <c r="B247" i="39"/>
  <c r="A248" i="39"/>
  <c r="B248" i="39"/>
  <c r="A249" i="39"/>
  <c r="B249" i="39"/>
  <c r="A250" i="39"/>
  <c r="B250" i="39"/>
  <c r="A251" i="39"/>
  <c r="B251" i="39"/>
  <c r="A252" i="39"/>
  <c r="B252" i="39"/>
  <c r="A253" i="39"/>
  <c r="B253" i="39"/>
  <c r="A254" i="39"/>
  <c r="B254" i="39"/>
  <c r="A255" i="39"/>
  <c r="B255" i="39"/>
  <c r="A256" i="39"/>
  <c r="B256" i="39"/>
  <c r="A257" i="39"/>
  <c r="B257" i="39"/>
  <c r="A258" i="39"/>
  <c r="B258" i="39"/>
  <c r="A259" i="39"/>
  <c r="B259" i="39"/>
  <c r="A260" i="39"/>
  <c r="B260" i="39"/>
  <c r="A261" i="39"/>
  <c r="B261" i="39"/>
  <c r="A262" i="39"/>
  <c r="B262" i="39"/>
  <c r="A263" i="39"/>
  <c r="B263" i="39"/>
  <c r="A264" i="39"/>
  <c r="B264" i="39"/>
  <c r="A265" i="39"/>
  <c r="B265" i="39"/>
  <c r="A266" i="39"/>
  <c r="B266" i="39"/>
  <c r="A267" i="39"/>
  <c r="B267" i="39"/>
  <c r="A268" i="39"/>
  <c r="B268" i="39"/>
  <c r="A269" i="39"/>
  <c r="B269" i="39"/>
  <c r="A270" i="39"/>
  <c r="B270" i="39"/>
  <c r="A271" i="39"/>
  <c r="B271" i="39"/>
  <c r="A272" i="39"/>
  <c r="B272" i="39"/>
  <c r="A273" i="39"/>
  <c r="B273" i="39"/>
  <c r="A274" i="39"/>
  <c r="B274" i="39"/>
  <c r="A275" i="39"/>
  <c r="B275" i="39"/>
  <c r="A276" i="39"/>
  <c r="B276" i="39"/>
  <c r="A277" i="39"/>
  <c r="B277" i="39"/>
  <c r="A278" i="39"/>
  <c r="B278" i="39"/>
  <c r="A279" i="39"/>
  <c r="B279" i="39"/>
  <c r="A280" i="39"/>
  <c r="B280" i="39"/>
  <c r="A281" i="39"/>
  <c r="B281" i="39"/>
  <c r="A282" i="39"/>
  <c r="B282" i="39"/>
  <c r="A283" i="39"/>
  <c r="B283" i="39"/>
  <c r="A284" i="39"/>
  <c r="B284" i="39"/>
  <c r="A285" i="39"/>
  <c r="B285" i="39"/>
  <c r="A286" i="39"/>
  <c r="B286" i="39"/>
  <c r="A287" i="39"/>
  <c r="B287" i="39"/>
  <c r="A288" i="39"/>
  <c r="B288" i="39"/>
  <c r="A289" i="39"/>
  <c r="B289" i="39"/>
  <c r="A290" i="39"/>
  <c r="B290" i="39"/>
  <c r="A291" i="39"/>
  <c r="B291" i="39"/>
  <c r="A292" i="39"/>
  <c r="B292" i="39"/>
  <c r="A293" i="39"/>
  <c r="B293" i="39"/>
  <c r="A294" i="39"/>
  <c r="B294" i="39"/>
  <c r="A295" i="39"/>
  <c r="B295" i="39"/>
  <c r="A296" i="39"/>
  <c r="B296" i="39"/>
  <c r="A297" i="39"/>
  <c r="B297" i="39"/>
  <c r="A298" i="39"/>
  <c r="B298" i="39"/>
  <c r="A299" i="39"/>
  <c r="B299" i="39"/>
  <c r="A300" i="39"/>
  <c r="B300" i="39"/>
  <c r="A301" i="39"/>
  <c r="B301" i="39"/>
  <c r="A302" i="39"/>
  <c r="B302" i="39"/>
  <c r="A303" i="39"/>
  <c r="B303" i="39"/>
  <c r="A304" i="39"/>
  <c r="B304" i="39"/>
  <c r="A305" i="39"/>
  <c r="B305" i="39"/>
  <c r="A306" i="39"/>
  <c r="B306" i="39"/>
  <c r="A307" i="39"/>
  <c r="B307" i="39"/>
  <c r="A308" i="39"/>
  <c r="B308" i="39"/>
  <c r="A309" i="39"/>
  <c r="B309" i="39"/>
  <c r="A310" i="39"/>
  <c r="B310" i="39"/>
  <c r="A311" i="39"/>
  <c r="B311" i="39"/>
  <c r="A312" i="39"/>
  <c r="B312" i="39"/>
  <c r="A6" i="12"/>
  <c r="B6" i="12"/>
  <c r="A7" i="12"/>
  <c r="B7" i="12"/>
  <c r="A8" i="12"/>
  <c r="B8" i="12"/>
  <c r="A9" i="12"/>
  <c r="B9" i="12"/>
  <c r="A10" i="12"/>
  <c r="B10" i="12"/>
  <c r="A11" i="12"/>
  <c r="B11" i="12"/>
  <c r="A12" i="12"/>
  <c r="B12" i="12"/>
  <c r="A13" i="12"/>
  <c r="B13" i="12"/>
  <c r="A14" i="12"/>
  <c r="B14" i="12"/>
  <c r="A15" i="12"/>
  <c r="B15" i="12"/>
  <c r="A16" i="12"/>
  <c r="B16" i="12"/>
  <c r="A17" i="12"/>
  <c r="B17" i="12"/>
  <c r="A18" i="12"/>
  <c r="B18" i="12"/>
  <c r="A19" i="12"/>
  <c r="B19" i="12"/>
  <c r="A20" i="12"/>
  <c r="B20" i="12"/>
  <c r="A21" i="12"/>
  <c r="B21" i="12"/>
  <c r="A22" i="12"/>
  <c r="B22" i="12"/>
  <c r="A23" i="12"/>
  <c r="B23" i="12"/>
  <c r="A24" i="12"/>
  <c r="B24" i="12"/>
  <c r="A25" i="12"/>
  <c r="B25" i="12"/>
  <c r="A26" i="12"/>
  <c r="B26" i="12"/>
  <c r="A27" i="12"/>
  <c r="B27" i="12"/>
  <c r="A28" i="12"/>
  <c r="B28" i="12"/>
  <c r="A29" i="12"/>
  <c r="B29" i="12"/>
  <c r="A30" i="12"/>
  <c r="B30" i="12"/>
  <c r="A31" i="12"/>
  <c r="B31" i="12"/>
  <c r="A32" i="12"/>
  <c r="B32" i="12"/>
  <c r="A33" i="12"/>
  <c r="B33" i="12"/>
  <c r="A34" i="12"/>
  <c r="B34" i="12"/>
  <c r="A35" i="12"/>
  <c r="B35" i="12"/>
  <c r="A36" i="12"/>
  <c r="B36" i="12"/>
  <c r="A37" i="12"/>
  <c r="B37" i="12"/>
  <c r="A38" i="12"/>
  <c r="B38" i="12"/>
  <c r="A39" i="12"/>
  <c r="B39" i="12"/>
  <c r="A40" i="12"/>
  <c r="B40" i="12"/>
  <c r="A41" i="12"/>
  <c r="B41" i="12"/>
  <c r="A42" i="12"/>
  <c r="B42" i="12"/>
  <c r="A43" i="12"/>
  <c r="B43" i="12"/>
  <c r="A44" i="12"/>
  <c r="B44" i="12"/>
  <c r="A45" i="12"/>
  <c r="B45" i="12"/>
  <c r="A46" i="12"/>
  <c r="B46" i="12"/>
  <c r="A47" i="12"/>
  <c r="B47" i="12"/>
  <c r="A48" i="12"/>
  <c r="B48" i="12"/>
  <c r="A49" i="12"/>
  <c r="B49" i="12"/>
  <c r="A50" i="12"/>
  <c r="B50" i="12"/>
  <c r="A51" i="12"/>
  <c r="B51" i="12"/>
  <c r="A52" i="12"/>
  <c r="B52" i="12"/>
  <c r="A53" i="12"/>
  <c r="B53" i="12"/>
  <c r="A54" i="12"/>
  <c r="B54" i="12"/>
  <c r="A55" i="12"/>
  <c r="B55" i="12"/>
  <c r="A56" i="12"/>
  <c r="B56" i="12"/>
  <c r="A57" i="12"/>
  <c r="B57" i="12"/>
  <c r="A58" i="12"/>
  <c r="B58" i="12"/>
  <c r="A59" i="12"/>
  <c r="B59" i="12"/>
  <c r="A60" i="12"/>
  <c r="B60" i="12"/>
  <c r="A61" i="12"/>
  <c r="B61" i="12"/>
  <c r="A62" i="12"/>
  <c r="B62" i="12"/>
  <c r="A63" i="12"/>
  <c r="B63" i="12"/>
  <c r="A64" i="12"/>
  <c r="B64" i="12"/>
  <c r="A65" i="12"/>
  <c r="B65" i="12"/>
  <c r="A66" i="12"/>
  <c r="B66" i="12"/>
  <c r="A67" i="12"/>
  <c r="B67" i="12"/>
  <c r="A68" i="12"/>
  <c r="B68" i="12"/>
  <c r="A69" i="12"/>
  <c r="B69" i="12"/>
  <c r="A70" i="12"/>
  <c r="B70" i="12"/>
  <c r="A71" i="12"/>
  <c r="B71" i="12"/>
  <c r="A72" i="12"/>
  <c r="B72" i="12"/>
  <c r="A73" i="12"/>
  <c r="B73" i="12"/>
  <c r="A74" i="12"/>
  <c r="B74" i="12"/>
  <c r="A75" i="12"/>
  <c r="B75" i="12"/>
  <c r="A76" i="12"/>
  <c r="B76" i="12"/>
  <c r="A77" i="12"/>
  <c r="B77" i="12"/>
  <c r="A78" i="12"/>
  <c r="B78" i="12"/>
  <c r="A79" i="12"/>
  <c r="B79" i="12"/>
  <c r="A80" i="12"/>
  <c r="B80" i="12"/>
  <c r="A81" i="12"/>
  <c r="B81" i="12"/>
  <c r="A82" i="12"/>
  <c r="B82" i="12"/>
  <c r="A83" i="12"/>
  <c r="B83" i="12"/>
  <c r="A84" i="12"/>
  <c r="B84" i="12"/>
  <c r="A85" i="12"/>
  <c r="B85" i="12"/>
  <c r="A86" i="12"/>
  <c r="B86" i="12"/>
  <c r="A87" i="12"/>
  <c r="B87" i="12"/>
  <c r="A88" i="12"/>
  <c r="B88" i="12"/>
  <c r="A89" i="12"/>
  <c r="B89" i="12"/>
  <c r="A90" i="12"/>
  <c r="B90" i="12"/>
  <c r="A91" i="12"/>
  <c r="B91" i="12"/>
  <c r="A92" i="12"/>
  <c r="B92" i="12"/>
  <c r="A93" i="12"/>
  <c r="B93" i="12"/>
  <c r="A94" i="12"/>
  <c r="B94" i="12"/>
  <c r="A95" i="12"/>
  <c r="B95" i="12"/>
  <c r="A96" i="12"/>
  <c r="B96" i="12"/>
  <c r="A97" i="12"/>
  <c r="B97" i="12"/>
  <c r="A98" i="12"/>
  <c r="B98" i="12"/>
  <c r="A99" i="12"/>
  <c r="B99" i="12"/>
  <c r="A100" i="12"/>
  <c r="B100" i="12"/>
  <c r="A101" i="12"/>
  <c r="B101" i="12"/>
  <c r="A102" i="12"/>
  <c r="B102" i="12"/>
  <c r="A103" i="12"/>
  <c r="B103" i="12"/>
  <c r="A104" i="12"/>
  <c r="B104" i="12"/>
  <c r="A105" i="12"/>
  <c r="B105" i="12"/>
  <c r="A106" i="12"/>
  <c r="B106" i="12"/>
  <c r="A107" i="12"/>
  <c r="B107" i="12"/>
  <c r="A108" i="12"/>
  <c r="B108" i="12"/>
  <c r="A109" i="12"/>
  <c r="B109" i="12"/>
  <c r="A110" i="12"/>
  <c r="B110" i="12"/>
  <c r="A111" i="12"/>
  <c r="B111" i="12"/>
  <c r="A112" i="12"/>
  <c r="B112" i="12"/>
  <c r="A113" i="12"/>
  <c r="B113" i="12"/>
  <c r="A114" i="12"/>
  <c r="B114" i="12"/>
  <c r="A115" i="12"/>
  <c r="B115" i="12"/>
  <c r="A116" i="12"/>
  <c r="B116" i="12"/>
  <c r="A117" i="12"/>
  <c r="B117" i="12"/>
  <c r="A118" i="12"/>
  <c r="B118" i="12"/>
  <c r="A119" i="12"/>
  <c r="B119" i="12"/>
  <c r="A120" i="12"/>
  <c r="B120" i="12"/>
  <c r="A121" i="12"/>
  <c r="B121" i="12"/>
  <c r="A122" i="12"/>
  <c r="B122" i="12"/>
  <c r="A123" i="12"/>
  <c r="B123" i="12"/>
  <c r="A124" i="12"/>
  <c r="B124" i="12"/>
  <c r="A125" i="12"/>
  <c r="B125" i="12"/>
  <c r="A126" i="12"/>
  <c r="B126" i="12"/>
  <c r="A127" i="12"/>
  <c r="B127" i="12"/>
  <c r="A128" i="12"/>
  <c r="B128" i="12"/>
  <c r="A129" i="12"/>
  <c r="B129" i="12"/>
  <c r="A130" i="12"/>
  <c r="B130" i="12"/>
  <c r="A131" i="12"/>
  <c r="B131" i="12"/>
  <c r="A132" i="12"/>
  <c r="B132" i="12"/>
  <c r="A133" i="12"/>
  <c r="B133" i="12"/>
  <c r="A134" i="12"/>
  <c r="B134" i="12"/>
  <c r="A135" i="12"/>
  <c r="B135" i="12"/>
  <c r="A136" i="12"/>
  <c r="B136" i="12"/>
  <c r="A137" i="12"/>
  <c r="B137" i="12"/>
  <c r="A138" i="12"/>
  <c r="B138" i="12"/>
  <c r="A139" i="12"/>
  <c r="B139" i="12"/>
  <c r="A140" i="12"/>
  <c r="B140" i="12"/>
  <c r="A141" i="12"/>
  <c r="B141" i="12"/>
  <c r="A142" i="12"/>
  <c r="B142" i="12"/>
  <c r="A143" i="12"/>
  <c r="B143" i="12"/>
  <c r="A144" i="12"/>
  <c r="B144" i="12"/>
  <c r="A145" i="12"/>
  <c r="B145" i="12"/>
  <c r="A146" i="12"/>
  <c r="B146" i="12"/>
  <c r="A147" i="12"/>
  <c r="B147" i="12"/>
  <c r="A148" i="12"/>
  <c r="B148" i="12"/>
  <c r="A149" i="12"/>
  <c r="B149" i="12"/>
  <c r="A150" i="12"/>
  <c r="B150" i="12"/>
  <c r="A151" i="12"/>
  <c r="B151" i="12"/>
  <c r="A152" i="12"/>
  <c r="B152" i="12"/>
  <c r="A153" i="12"/>
  <c r="B153" i="12"/>
  <c r="A154" i="12"/>
  <c r="B154" i="12"/>
  <c r="A155" i="12"/>
  <c r="B155" i="12"/>
  <c r="A156" i="12"/>
  <c r="B156" i="12"/>
  <c r="A157" i="12"/>
  <c r="B157" i="12"/>
  <c r="A158" i="12"/>
  <c r="B158" i="12"/>
  <c r="A159" i="12"/>
  <c r="B159" i="12"/>
  <c r="A160" i="12"/>
  <c r="B160" i="12"/>
  <c r="A161" i="12"/>
  <c r="B161" i="12"/>
  <c r="A162" i="12"/>
  <c r="B162" i="12"/>
  <c r="A163" i="12"/>
  <c r="B163" i="12"/>
  <c r="A164" i="12"/>
  <c r="B164" i="12"/>
  <c r="A165" i="12"/>
  <c r="B165" i="12"/>
  <c r="A166" i="12"/>
  <c r="B166" i="12"/>
  <c r="A167" i="12"/>
  <c r="B167" i="12"/>
  <c r="A168" i="12"/>
  <c r="B168" i="12"/>
  <c r="A169" i="12"/>
  <c r="B169" i="12"/>
  <c r="A170" i="12"/>
  <c r="B170" i="12"/>
  <c r="A171" i="12"/>
  <c r="B171" i="12"/>
  <c r="A172" i="12"/>
  <c r="B172" i="12"/>
  <c r="A173" i="12"/>
  <c r="B173" i="12"/>
  <c r="A174" i="12"/>
  <c r="B174" i="12"/>
  <c r="A175" i="12"/>
  <c r="B175" i="12"/>
  <c r="A176" i="12"/>
  <c r="B176" i="12"/>
  <c r="A177" i="12"/>
  <c r="B177" i="12"/>
  <c r="A178" i="12"/>
  <c r="B178" i="12"/>
  <c r="A179" i="12"/>
  <c r="B179" i="12"/>
  <c r="A180" i="12"/>
  <c r="B180" i="12"/>
  <c r="A181" i="12"/>
  <c r="B181" i="12"/>
  <c r="A182" i="12"/>
  <c r="B182" i="12"/>
  <c r="A183" i="12"/>
  <c r="B183" i="12"/>
  <c r="A184" i="12"/>
  <c r="B184" i="12"/>
  <c r="A185" i="12"/>
  <c r="B185" i="12"/>
  <c r="A186" i="12"/>
  <c r="B186" i="12"/>
  <c r="A187" i="12"/>
  <c r="B187" i="12"/>
  <c r="A188" i="12"/>
  <c r="B188" i="12"/>
  <c r="A189" i="12"/>
  <c r="B189" i="12"/>
  <c r="A190" i="12"/>
  <c r="B190" i="12"/>
  <c r="A191" i="12"/>
  <c r="B191" i="12"/>
  <c r="A192" i="12"/>
  <c r="B192" i="12"/>
  <c r="A193" i="12"/>
  <c r="B193" i="12"/>
  <c r="A194" i="12"/>
  <c r="B194" i="12"/>
  <c r="A195" i="12"/>
  <c r="B195" i="12"/>
  <c r="A196" i="12"/>
  <c r="B196" i="12"/>
  <c r="A197" i="12"/>
  <c r="B197" i="12"/>
  <c r="A198" i="12"/>
  <c r="B198" i="12"/>
  <c r="A199" i="12"/>
  <c r="B199" i="12"/>
  <c r="A200" i="12"/>
  <c r="B200" i="12"/>
  <c r="A201" i="12"/>
  <c r="B201" i="12"/>
  <c r="A202" i="12"/>
  <c r="B202" i="12"/>
  <c r="A203" i="12"/>
  <c r="B203" i="12"/>
  <c r="A204" i="12"/>
  <c r="B204" i="12"/>
  <c r="A205" i="12"/>
  <c r="B205" i="12"/>
  <c r="A206" i="12"/>
  <c r="B206" i="12"/>
  <c r="A207" i="12"/>
  <c r="B207" i="12"/>
  <c r="A208" i="12"/>
  <c r="B208" i="12"/>
  <c r="A209" i="12"/>
  <c r="B209" i="12"/>
  <c r="A210" i="12"/>
  <c r="B210" i="12"/>
  <c r="A211" i="12"/>
  <c r="B211" i="12"/>
  <c r="A212" i="12"/>
  <c r="B212" i="12"/>
  <c r="A213" i="12"/>
  <c r="B213" i="12"/>
  <c r="A214" i="12"/>
  <c r="B214" i="12"/>
  <c r="A215" i="12"/>
  <c r="B215" i="12"/>
  <c r="A216" i="12"/>
  <c r="B216" i="12"/>
  <c r="A217" i="12"/>
  <c r="B217" i="12"/>
  <c r="A218" i="12"/>
  <c r="B218" i="12"/>
  <c r="A219" i="12"/>
  <c r="B219" i="12"/>
  <c r="A220" i="12"/>
  <c r="B220" i="12"/>
  <c r="A221" i="12"/>
  <c r="B221" i="12"/>
  <c r="A222" i="12"/>
  <c r="B222" i="12"/>
  <c r="A223" i="12"/>
  <c r="B223" i="12"/>
  <c r="A224" i="12"/>
  <c r="B224" i="12"/>
  <c r="A225" i="12"/>
  <c r="B225" i="12"/>
  <c r="A226" i="12"/>
  <c r="B226" i="12"/>
  <c r="A227" i="12"/>
  <c r="B227" i="12"/>
  <c r="A228" i="12"/>
  <c r="B228" i="12"/>
  <c r="A229" i="12"/>
  <c r="B229" i="12"/>
  <c r="A230" i="12"/>
  <c r="B230" i="12"/>
  <c r="A231" i="12"/>
  <c r="B231" i="12"/>
  <c r="A232" i="12"/>
  <c r="B232" i="12"/>
  <c r="A233" i="12"/>
  <c r="B233" i="12"/>
  <c r="A234" i="12"/>
  <c r="B234" i="12"/>
  <c r="A235" i="12"/>
  <c r="B235" i="12"/>
  <c r="A236" i="12"/>
  <c r="B236" i="12"/>
  <c r="A237" i="12"/>
  <c r="B237" i="12"/>
  <c r="A238" i="12"/>
  <c r="B238" i="12"/>
  <c r="A239" i="12"/>
  <c r="B239" i="12"/>
  <c r="A240" i="12"/>
  <c r="B240" i="12"/>
  <c r="A241" i="12"/>
  <c r="B241" i="12"/>
  <c r="A242" i="12"/>
  <c r="B242" i="12"/>
  <c r="A243" i="12"/>
  <c r="B243" i="12"/>
  <c r="A244" i="12"/>
  <c r="B244" i="12"/>
  <c r="A245" i="12"/>
  <c r="B245" i="12"/>
  <c r="A246" i="12"/>
  <c r="B246" i="12"/>
  <c r="A247" i="12"/>
  <c r="B247" i="12"/>
  <c r="A248" i="12"/>
  <c r="B248" i="12"/>
  <c r="A249" i="12"/>
  <c r="B249" i="12"/>
  <c r="A250" i="12"/>
  <c r="B250" i="12"/>
  <c r="A251" i="12"/>
  <c r="B251" i="12"/>
  <c r="A252" i="12"/>
  <c r="B252" i="12"/>
  <c r="A253" i="12"/>
  <c r="B253" i="12"/>
  <c r="A254" i="12"/>
  <c r="B254" i="12"/>
  <c r="A255" i="12"/>
  <c r="B255" i="12"/>
  <c r="A256" i="12"/>
  <c r="B256" i="12"/>
  <c r="A257" i="12"/>
  <c r="B257" i="12"/>
  <c r="A258" i="12"/>
  <c r="B258" i="12"/>
  <c r="A259" i="12"/>
  <c r="B259" i="12"/>
  <c r="A260" i="12"/>
  <c r="B260" i="12"/>
  <c r="A261" i="12"/>
  <c r="B261" i="12"/>
  <c r="A262" i="12"/>
  <c r="B262" i="12"/>
  <c r="A263" i="12"/>
  <c r="B263" i="12"/>
  <c r="A264" i="12"/>
  <c r="B264" i="12"/>
  <c r="A265" i="12"/>
  <c r="B265" i="12"/>
  <c r="A266" i="12"/>
  <c r="B266" i="12"/>
  <c r="A267" i="12"/>
  <c r="B267" i="12"/>
  <c r="A268" i="12"/>
  <c r="B268" i="12"/>
  <c r="A269" i="12"/>
  <c r="B269" i="12"/>
  <c r="A270" i="12"/>
  <c r="B270" i="12"/>
  <c r="A271" i="12"/>
  <c r="B271" i="12"/>
  <c r="A272" i="12"/>
  <c r="B272" i="12"/>
  <c r="A273" i="12"/>
  <c r="B273" i="12"/>
  <c r="A274" i="12"/>
  <c r="B274" i="12"/>
  <c r="A275" i="12"/>
  <c r="B275" i="12"/>
  <c r="A276" i="12"/>
  <c r="B276" i="12"/>
  <c r="A277" i="12"/>
  <c r="B277" i="12"/>
  <c r="A278" i="12"/>
  <c r="B278" i="12"/>
  <c r="A279" i="12"/>
  <c r="B279" i="12"/>
  <c r="A280" i="12"/>
  <c r="B280" i="12"/>
  <c r="A281" i="12"/>
  <c r="B281" i="12"/>
  <c r="A282" i="12"/>
  <c r="B282" i="12"/>
  <c r="A283" i="12"/>
  <c r="B283" i="12"/>
  <c r="A284" i="12"/>
  <c r="B284" i="12"/>
  <c r="A285" i="12"/>
  <c r="B285" i="12"/>
  <c r="A286" i="12"/>
  <c r="B286" i="12"/>
  <c r="A287" i="12"/>
  <c r="B287" i="12"/>
  <c r="A288" i="12"/>
  <c r="B288" i="12"/>
  <c r="A289" i="12"/>
  <c r="B289" i="12"/>
  <c r="A290" i="12"/>
  <c r="B290" i="12"/>
  <c r="A291" i="12"/>
  <c r="B291" i="12"/>
  <c r="A292" i="12"/>
  <c r="B292" i="12"/>
  <c r="A293" i="12"/>
  <c r="B293" i="12"/>
  <c r="A294" i="12"/>
  <c r="B294" i="12"/>
  <c r="A295" i="12"/>
  <c r="B295" i="12"/>
  <c r="A296" i="12"/>
  <c r="B296" i="12"/>
  <c r="A297" i="12"/>
  <c r="B297" i="12"/>
  <c r="A298" i="12"/>
  <c r="B298" i="12"/>
  <c r="A299" i="12"/>
  <c r="B299" i="12"/>
  <c r="A300" i="12"/>
  <c r="B300" i="12"/>
  <c r="A301" i="12"/>
  <c r="B301" i="12"/>
  <c r="A302" i="12"/>
  <c r="B302" i="12"/>
  <c r="A303" i="12"/>
  <c r="B303" i="12"/>
  <c r="A304" i="12"/>
  <c r="B304" i="12"/>
  <c r="A305" i="12"/>
  <c r="B305" i="12"/>
  <c r="A306" i="12"/>
  <c r="B306" i="12"/>
  <c r="A307" i="12"/>
  <c r="B307" i="12"/>
  <c r="A308" i="12"/>
  <c r="B308" i="12"/>
  <c r="A309" i="12"/>
  <c r="B309" i="12"/>
  <c r="A310" i="12"/>
  <c r="B310" i="12"/>
  <c r="A311" i="12"/>
  <c r="B311" i="12"/>
  <c r="A312" i="12"/>
  <c r="B312" i="12"/>
  <c r="A17" i="34"/>
  <c r="B17" i="34"/>
  <c r="D17" i="34"/>
  <c r="A18" i="34"/>
  <c r="B18" i="34"/>
  <c r="D18" i="34"/>
  <c r="A19" i="34"/>
  <c r="B19" i="34"/>
  <c r="D19" i="34"/>
  <c r="A20" i="34"/>
  <c r="B20" i="34"/>
  <c r="D20" i="34"/>
  <c r="A21" i="34"/>
  <c r="B21" i="34"/>
  <c r="D21" i="34"/>
  <c r="A22" i="34"/>
  <c r="B22" i="34"/>
  <c r="D22" i="34"/>
  <c r="A23" i="34"/>
  <c r="B23" i="34"/>
  <c r="D23" i="34"/>
  <c r="A24" i="34"/>
  <c r="B24" i="34"/>
  <c r="D24" i="34"/>
  <c r="A25" i="34"/>
  <c r="B25" i="34"/>
  <c r="D25" i="34"/>
  <c r="A26" i="34"/>
  <c r="B26" i="34"/>
  <c r="D26" i="34"/>
  <c r="A27" i="34"/>
  <c r="B27" i="34"/>
  <c r="D27" i="34"/>
  <c r="A28" i="34"/>
  <c r="B28" i="34"/>
  <c r="D28" i="34"/>
  <c r="A29" i="34"/>
  <c r="B29" i="34"/>
  <c r="D29" i="34"/>
  <c r="A30" i="34"/>
  <c r="B30" i="34"/>
  <c r="D30" i="34"/>
  <c r="A31" i="34"/>
  <c r="B31" i="34"/>
  <c r="D31" i="34"/>
  <c r="A32" i="34"/>
  <c r="B32" i="34"/>
  <c r="D32" i="34"/>
  <c r="A33" i="34"/>
  <c r="B33" i="34"/>
  <c r="D33" i="34"/>
  <c r="A34" i="34"/>
  <c r="B34" i="34"/>
  <c r="D34" i="34"/>
  <c r="A35" i="34"/>
  <c r="B35" i="34"/>
  <c r="D35" i="34"/>
  <c r="A36" i="34"/>
  <c r="B36" i="34"/>
  <c r="D36" i="34"/>
  <c r="A37" i="34"/>
  <c r="B37" i="34"/>
  <c r="D37" i="34"/>
  <c r="A38" i="34"/>
  <c r="B38" i="34"/>
  <c r="D38" i="34"/>
  <c r="A39" i="34"/>
  <c r="B39" i="34"/>
  <c r="D39" i="34"/>
  <c r="A40" i="34"/>
  <c r="B40" i="34"/>
  <c r="D40" i="34"/>
  <c r="A41" i="34"/>
  <c r="B41" i="34"/>
  <c r="D41" i="34"/>
  <c r="A42" i="34"/>
  <c r="B42" i="34"/>
  <c r="D42" i="34"/>
  <c r="A43" i="34"/>
  <c r="B43" i="34"/>
  <c r="D43" i="34"/>
  <c r="A44" i="34"/>
  <c r="B44" i="34"/>
  <c r="D44" i="34"/>
  <c r="A45" i="34"/>
  <c r="B45" i="34"/>
  <c r="D45" i="34"/>
  <c r="A46" i="34"/>
  <c r="B46" i="34"/>
  <c r="D46" i="34"/>
  <c r="A47" i="34"/>
  <c r="B47" i="34"/>
  <c r="D47" i="34"/>
  <c r="A48" i="34"/>
  <c r="B48" i="34"/>
  <c r="D48" i="34"/>
  <c r="A49" i="34"/>
  <c r="B49" i="34"/>
  <c r="D49" i="34"/>
  <c r="A50" i="34"/>
  <c r="B50" i="34"/>
  <c r="D50" i="34"/>
  <c r="A51" i="34"/>
  <c r="B51" i="34"/>
  <c r="D51" i="34"/>
  <c r="A52" i="34"/>
  <c r="B52" i="34"/>
  <c r="D52" i="34"/>
  <c r="A53" i="34"/>
  <c r="B53" i="34"/>
  <c r="D53" i="34"/>
  <c r="A54" i="34"/>
  <c r="B54" i="34"/>
  <c r="D54" i="34"/>
  <c r="A55" i="34"/>
  <c r="B55" i="34"/>
  <c r="D55" i="34"/>
  <c r="A56" i="34"/>
  <c r="B56" i="34"/>
  <c r="D56" i="34"/>
  <c r="A57" i="34"/>
  <c r="B57" i="34"/>
  <c r="D57" i="34"/>
  <c r="A58" i="34"/>
  <c r="B58" i="34"/>
  <c r="D58" i="34"/>
  <c r="A59" i="34"/>
  <c r="B59" i="34"/>
  <c r="D59" i="34"/>
  <c r="A60" i="34"/>
  <c r="B60" i="34"/>
  <c r="D60" i="34"/>
  <c r="A61" i="34"/>
  <c r="B61" i="34"/>
  <c r="D61" i="34"/>
  <c r="A62" i="34"/>
  <c r="B62" i="34"/>
  <c r="D62" i="34"/>
  <c r="A63" i="34"/>
  <c r="B63" i="34"/>
  <c r="D63" i="34"/>
  <c r="A64" i="34"/>
  <c r="B64" i="34"/>
  <c r="D64" i="34"/>
  <c r="A65" i="34"/>
  <c r="B65" i="34"/>
  <c r="D65" i="34"/>
  <c r="A66" i="34"/>
  <c r="B66" i="34"/>
  <c r="D66" i="34"/>
  <c r="A67" i="34"/>
  <c r="B67" i="34"/>
  <c r="D67" i="34"/>
  <c r="A68" i="34"/>
  <c r="B68" i="34"/>
  <c r="D68" i="34"/>
  <c r="A69" i="34"/>
  <c r="B69" i="34"/>
  <c r="D69" i="34"/>
  <c r="A70" i="34"/>
  <c r="B70" i="34"/>
  <c r="D70" i="34"/>
  <c r="A71" i="34"/>
  <c r="B71" i="34"/>
  <c r="D71" i="34"/>
  <c r="A72" i="34"/>
  <c r="B72" i="34"/>
  <c r="D72" i="34"/>
  <c r="A73" i="34"/>
  <c r="B73" i="34"/>
  <c r="D73" i="34"/>
  <c r="A74" i="34"/>
  <c r="B74" i="34"/>
  <c r="D74" i="34"/>
  <c r="A75" i="34"/>
  <c r="B75" i="34"/>
  <c r="D75" i="34"/>
  <c r="A76" i="34"/>
  <c r="B76" i="34"/>
  <c r="D76" i="34"/>
  <c r="A77" i="34"/>
  <c r="B77" i="34"/>
  <c r="D77" i="34"/>
  <c r="A78" i="34"/>
  <c r="B78" i="34"/>
  <c r="D78" i="34"/>
  <c r="A79" i="34"/>
  <c r="B79" i="34"/>
  <c r="D79" i="34"/>
  <c r="A80" i="34"/>
  <c r="B80" i="34"/>
  <c r="D80" i="34"/>
  <c r="A81" i="34"/>
  <c r="B81" i="34"/>
  <c r="D81" i="34"/>
  <c r="A82" i="34"/>
  <c r="B82" i="34"/>
  <c r="D82" i="34"/>
  <c r="A83" i="34"/>
  <c r="B83" i="34"/>
  <c r="D83" i="34"/>
  <c r="A84" i="34"/>
  <c r="B84" i="34"/>
  <c r="D84" i="34"/>
  <c r="A85" i="34"/>
  <c r="B85" i="34"/>
  <c r="D85" i="34"/>
  <c r="A86" i="34"/>
  <c r="B86" i="34"/>
  <c r="D86" i="34"/>
  <c r="A87" i="34"/>
  <c r="B87" i="34"/>
  <c r="D87" i="34"/>
  <c r="A88" i="34"/>
  <c r="B88" i="34"/>
  <c r="D88" i="34"/>
  <c r="A89" i="34"/>
  <c r="B89" i="34"/>
  <c r="D89" i="34"/>
  <c r="A90" i="34"/>
  <c r="B90" i="34"/>
  <c r="D90" i="34"/>
  <c r="A91" i="34"/>
  <c r="B91" i="34"/>
  <c r="D91" i="34"/>
  <c r="A92" i="34"/>
  <c r="B92" i="34"/>
  <c r="D92" i="34"/>
  <c r="A93" i="34"/>
  <c r="B93" i="34"/>
  <c r="D93" i="34"/>
  <c r="A94" i="34"/>
  <c r="B94" i="34"/>
  <c r="D94" i="34"/>
  <c r="A95" i="34"/>
  <c r="B95" i="34"/>
  <c r="D95" i="34"/>
  <c r="A96" i="34"/>
  <c r="B96" i="34"/>
  <c r="D96" i="34"/>
  <c r="A97" i="34"/>
  <c r="B97" i="34"/>
  <c r="D97" i="34"/>
  <c r="A98" i="34"/>
  <c r="B98" i="34"/>
  <c r="D98" i="34"/>
  <c r="A99" i="34"/>
  <c r="B99" i="34"/>
  <c r="D99" i="34"/>
  <c r="A100" i="34"/>
  <c r="B100" i="34"/>
  <c r="D100" i="34"/>
  <c r="A101" i="34"/>
  <c r="B101" i="34"/>
  <c r="D101" i="34"/>
  <c r="A102" i="34"/>
  <c r="B102" i="34"/>
  <c r="D102" i="34"/>
  <c r="A103" i="34"/>
  <c r="B103" i="34"/>
  <c r="D103" i="34"/>
  <c r="A104" i="34"/>
  <c r="B104" i="34"/>
  <c r="D104" i="34"/>
  <c r="A105" i="34"/>
  <c r="B105" i="34"/>
  <c r="D105" i="34"/>
  <c r="A106" i="34"/>
  <c r="B106" i="34"/>
  <c r="D106" i="34"/>
  <c r="A107" i="34"/>
  <c r="B107" i="34"/>
  <c r="D107" i="34"/>
  <c r="A108" i="34"/>
  <c r="B108" i="34"/>
  <c r="D108" i="34"/>
  <c r="A109" i="34"/>
  <c r="B109" i="34"/>
  <c r="D109" i="34"/>
  <c r="A110" i="34"/>
  <c r="B110" i="34"/>
  <c r="D110" i="34"/>
  <c r="A111" i="34"/>
  <c r="B111" i="34"/>
  <c r="D111" i="34"/>
  <c r="A112" i="34"/>
  <c r="B112" i="34"/>
  <c r="D112" i="34"/>
  <c r="A113" i="34"/>
  <c r="B113" i="34"/>
  <c r="D113" i="34"/>
  <c r="A114" i="34"/>
  <c r="B114" i="34"/>
  <c r="D114" i="34"/>
  <c r="A115" i="34"/>
  <c r="B115" i="34"/>
  <c r="D115" i="34"/>
  <c r="A116" i="34"/>
  <c r="B116" i="34"/>
  <c r="D116" i="34"/>
  <c r="A117" i="34"/>
  <c r="B117" i="34"/>
  <c r="D117" i="34"/>
  <c r="A118" i="34"/>
  <c r="B118" i="34"/>
  <c r="D118" i="34"/>
  <c r="A119" i="34"/>
  <c r="B119" i="34"/>
  <c r="D119" i="34"/>
  <c r="A120" i="34"/>
  <c r="B120" i="34"/>
  <c r="D120" i="34"/>
  <c r="A121" i="34"/>
  <c r="B121" i="34"/>
  <c r="D121" i="34"/>
  <c r="A122" i="34"/>
  <c r="B122" i="34"/>
  <c r="D122" i="34"/>
  <c r="A123" i="34"/>
  <c r="B123" i="34"/>
  <c r="D123" i="34"/>
  <c r="A124" i="34"/>
  <c r="B124" i="34"/>
  <c r="D124" i="34"/>
  <c r="A125" i="34"/>
  <c r="B125" i="34"/>
  <c r="D125" i="34"/>
  <c r="A126" i="34"/>
  <c r="B126" i="34"/>
  <c r="D126" i="34"/>
  <c r="A127" i="34"/>
  <c r="B127" i="34"/>
  <c r="D127" i="34"/>
  <c r="A128" i="34"/>
  <c r="B128" i="34"/>
  <c r="D128" i="34"/>
  <c r="A129" i="34"/>
  <c r="B129" i="34"/>
  <c r="D129" i="34"/>
  <c r="A130" i="34"/>
  <c r="B130" i="34"/>
  <c r="D130" i="34"/>
  <c r="A131" i="34"/>
  <c r="B131" i="34"/>
  <c r="D131" i="34"/>
  <c r="A132" i="34"/>
  <c r="B132" i="34"/>
  <c r="D132" i="34"/>
  <c r="A133" i="34"/>
  <c r="B133" i="34"/>
  <c r="D133" i="34"/>
  <c r="A134" i="34"/>
  <c r="B134" i="34"/>
  <c r="D134" i="34"/>
  <c r="A135" i="34"/>
  <c r="B135" i="34"/>
  <c r="D135" i="34"/>
  <c r="A136" i="34"/>
  <c r="B136" i="34"/>
  <c r="D136" i="34"/>
  <c r="A137" i="34"/>
  <c r="B137" i="34"/>
  <c r="D137" i="34"/>
  <c r="A138" i="34"/>
  <c r="B138" i="34"/>
  <c r="D138" i="34"/>
  <c r="A139" i="34"/>
  <c r="B139" i="34"/>
  <c r="D139" i="34"/>
  <c r="A140" i="34"/>
  <c r="B140" i="34"/>
  <c r="D140" i="34"/>
  <c r="A141" i="34"/>
  <c r="B141" i="34"/>
  <c r="D141" i="34"/>
  <c r="A142" i="34"/>
  <c r="B142" i="34"/>
  <c r="D142" i="34"/>
  <c r="A143" i="34"/>
  <c r="B143" i="34"/>
  <c r="D143" i="34"/>
  <c r="A144" i="34"/>
  <c r="B144" i="34"/>
  <c r="D144" i="34"/>
  <c r="A145" i="34"/>
  <c r="B145" i="34"/>
  <c r="D145" i="34"/>
  <c r="A146" i="34"/>
  <c r="B146" i="34"/>
  <c r="D146" i="34"/>
  <c r="A147" i="34"/>
  <c r="B147" i="34"/>
  <c r="D147" i="34"/>
  <c r="A148" i="34"/>
  <c r="B148" i="34"/>
  <c r="D148" i="34"/>
  <c r="A149" i="34"/>
  <c r="B149" i="34"/>
  <c r="D149" i="34"/>
  <c r="A150" i="34"/>
  <c r="B150" i="34"/>
  <c r="D150" i="34"/>
  <c r="A151" i="34"/>
  <c r="B151" i="34"/>
  <c r="D151" i="34"/>
  <c r="A152" i="34"/>
  <c r="B152" i="34"/>
  <c r="D152" i="34"/>
  <c r="A153" i="34"/>
  <c r="B153" i="34"/>
  <c r="D153" i="34"/>
  <c r="A154" i="34"/>
  <c r="B154" i="34"/>
  <c r="D154" i="34"/>
  <c r="A155" i="34"/>
  <c r="B155" i="34"/>
  <c r="D155" i="34"/>
  <c r="A156" i="34"/>
  <c r="B156" i="34"/>
  <c r="D156" i="34"/>
  <c r="A157" i="34"/>
  <c r="B157" i="34"/>
  <c r="D157" i="34"/>
  <c r="A158" i="34"/>
  <c r="B158" i="34"/>
  <c r="D158" i="34"/>
  <c r="A159" i="34"/>
  <c r="B159" i="34"/>
  <c r="D159" i="34"/>
  <c r="A160" i="34"/>
  <c r="B160" i="34"/>
  <c r="D160" i="34"/>
  <c r="A161" i="34"/>
  <c r="B161" i="34"/>
  <c r="D161" i="34"/>
  <c r="A162" i="34"/>
  <c r="B162" i="34"/>
  <c r="D162" i="34"/>
  <c r="A163" i="34"/>
  <c r="B163" i="34"/>
  <c r="D163" i="34"/>
  <c r="A164" i="34"/>
  <c r="B164" i="34"/>
  <c r="D164" i="34"/>
  <c r="A165" i="34"/>
  <c r="B165" i="34"/>
  <c r="D165" i="34"/>
  <c r="A166" i="34"/>
  <c r="B166" i="34"/>
  <c r="D166" i="34"/>
  <c r="A167" i="34"/>
  <c r="B167" i="34"/>
  <c r="D167" i="34"/>
  <c r="A168" i="34"/>
  <c r="B168" i="34"/>
  <c r="D168" i="34"/>
  <c r="A169" i="34"/>
  <c r="B169" i="34"/>
  <c r="D169" i="34"/>
  <c r="A170" i="34"/>
  <c r="B170" i="34"/>
  <c r="D170" i="34"/>
  <c r="A171" i="34"/>
  <c r="B171" i="34"/>
  <c r="D171" i="34"/>
  <c r="A172" i="34"/>
  <c r="B172" i="34"/>
  <c r="D172" i="34"/>
  <c r="A173" i="34"/>
  <c r="B173" i="34"/>
  <c r="D173" i="34"/>
  <c r="A174" i="34"/>
  <c r="B174" i="34"/>
  <c r="D174" i="34"/>
  <c r="A175" i="34"/>
  <c r="B175" i="34"/>
  <c r="D175" i="34"/>
  <c r="A176" i="34"/>
  <c r="B176" i="34"/>
  <c r="D176" i="34"/>
  <c r="A177" i="34"/>
  <c r="B177" i="34"/>
  <c r="D177" i="34"/>
  <c r="A178" i="34"/>
  <c r="B178" i="34"/>
  <c r="D178" i="34"/>
  <c r="A179" i="34"/>
  <c r="B179" i="34"/>
  <c r="D179" i="34"/>
  <c r="A180" i="34"/>
  <c r="B180" i="34"/>
  <c r="D180" i="34"/>
  <c r="A181" i="34"/>
  <c r="B181" i="34"/>
  <c r="D181" i="34"/>
  <c r="A182" i="34"/>
  <c r="B182" i="34"/>
  <c r="D182" i="34"/>
  <c r="A183" i="34"/>
  <c r="B183" i="34"/>
  <c r="D183" i="34"/>
  <c r="A184" i="34"/>
  <c r="B184" i="34"/>
  <c r="D184" i="34"/>
  <c r="A185" i="34"/>
  <c r="B185" i="34"/>
  <c r="D185" i="34"/>
  <c r="A186" i="34"/>
  <c r="B186" i="34"/>
  <c r="D186" i="34"/>
  <c r="A187" i="34"/>
  <c r="B187" i="34"/>
  <c r="D187" i="34"/>
  <c r="A188" i="34"/>
  <c r="B188" i="34"/>
  <c r="D188" i="34"/>
  <c r="A189" i="34"/>
  <c r="B189" i="34"/>
  <c r="D189" i="34"/>
  <c r="A190" i="34"/>
  <c r="B190" i="34"/>
  <c r="D190" i="34"/>
  <c r="A191" i="34"/>
  <c r="B191" i="34"/>
  <c r="D191" i="34"/>
  <c r="A192" i="34"/>
  <c r="B192" i="34"/>
  <c r="D192" i="34"/>
  <c r="A193" i="34"/>
  <c r="B193" i="34"/>
  <c r="D193" i="34"/>
  <c r="A194" i="34"/>
  <c r="B194" i="34"/>
  <c r="D194" i="34"/>
  <c r="A195" i="34"/>
  <c r="B195" i="34"/>
  <c r="D195" i="34"/>
  <c r="A196" i="34"/>
  <c r="B196" i="34"/>
  <c r="D196" i="34"/>
  <c r="A197" i="34"/>
  <c r="B197" i="34"/>
  <c r="D197" i="34"/>
  <c r="A198" i="34"/>
  <c r="B198" i="34"/>
  <c r="D198" i="34"/>
  <c r="A199" i="34"/>
  <c r="B199" i="34"/>
  <c r="D199" i="34"/>
  <c r="A200" i="34"/>
  <c r="B200" i="34"/>
  <c r="D200" i="34"/>
  <c r="A201" i="34"/>
  <c r="B201" i="34"/>
  <c r="D201" i="34"/>
  <c r="A202" i="34"/>
  <c r="B202" i="34"/>
  <c r="D202" i="34"/>
  <c r="A203" i="34"/>
  <c r="B203" i="34"/>
  <c r="D203" i="34"/>
  <c r="A204" i="34"/>
  <c r="B204" i="34"/>
  <c r="D204" i="34"/>
  <c r="A205" i="34"/>
  <c r="B205" i="34"/>
  <c r="D205" i="34"/>
  <c r="A206" i="34"/>
  <c r="B206" i="34"/>
  <c r="D206" i="34"/>
  <c r="A207" i="34"/>
  <c r="B207" i="34"/>
  <c r="D207" i="34"/>
  <c r="A208" i="34"/>
  <c r="B208" i="34"/>
  <c r="D208" i="34"/>
  <c r="A209" i="34"/>
  <c r="B209" i="34"/>
  <c r="D209" i="34"/>
  <c r="A210" i="34"/>
  <c r="B210" i="34"/>
  <c r="D210" i="34"/>
  <c r="A211" i="34"/>
  <c r="B211" i="34"/>
  <c r="D211" i="34"/>
  <c r="A212" i="34"/>
  <c r="B212" i="34"/>
  <c r="D212" i="34"/>
  <c r="A213" i="34"/>
  <c r="B213" i="34"/>
  <c r="D213" i="34"/>
  <c r="A214" i="34"/>
  <c r="B214" i="34"/>
  <c r="D214" i="34"/>
  <c r="A215" i="34"/>
  <c r="B215" i="34"/>
  <c r="D215" i="34"/>
  <c r="A216" i="34"/>
  <c r="B216" i="34"/>
  <c r="D216" i="34"/>
  <c r="A217" i="34"/>
  <c r="B217" i="34"/>
  <c r="D217" i="34"/>
  <c r="A218" i="34"/>
  <c r="B218" i="34"/>
  <c r="D218" i="34"/>
  <c r="A219" i="34"/>
  <c r="B219" i="34"/>
  <c r="D219" i="34"/>
  <c r="A220" i="34"/>
  <c r="B220" i="34"/>
  <c r="D220" i="34"/>
  <c r="A221" i="34"/>
  <c r="B221" i="34"/>
  <c r="D221" i="34"/>
  <c r="A222" i="34"/>
  <c r="B222" i="34"/>
  <c r="D222" i="34"/>
  <c r="A223" i="34"/>
  <c r="B223" i="34"/>
  <c r="D223" i="34"/>
  <c r="A224" i="34"/>
  <c r="B224" i="34"/>
  <c r="D224" i="34"/>
  <c r="A225" i="34"/>
  <c r="B225" i="34"/>
  <c r="D225" i="34"/>
  <c r="A226" i="34"/>
  <c r="B226" i="34"/>
  <c r="D226" i="34"/>
  <c r="A227" i="34"/>
  <c r="B227" i="34"/>
  <c r="D227" i="34"/>
  <c r="A228" i="34"/>
  <c r="B228" i="34"/>
  <c r="D228" i="34"/>
  <c r="A229" i="34"/>
  <c r="B229" i="34"/>
  <c r="D229" i="34"/>
  <c r="A230" i="34"/>
  <c r="B230" i="34"/>
  <c r="D230" i="34"/>
  <c r="A231" i="34"/>
  <c r="B231" i="34"/>
  <c r="D231" i="34"/>
  <c r="A232" i="34"/>
  <c r="B232" i="34"/>
  <c r="D232" i="34"/>
  <c r="A233" i="34"/>
  <c r="B233" i="34"/>
  <c r="D233" i="34"/>
  <c r="A234" i="34"/>
  <c r="B234" i="34"/>
  <c r="D234" i="34"/>
  <c r="A235" i="34"/>
  <c r="B235" i="34"/>
  <c r="D235" i="34"/>
  <c r="A236" i="34"/>
  <c r="B236" i="34"/>
  <c r="D236" i="34"/>
  <c r="A237" i="34"/>
  <c r="B237" i="34"/>
  <c r="D237" i="34"/>
  <c r="A238" i="34"/>
  <c r="B238" i="34"/>
  <c r="D238" i="34"/>
  <c r="A239" i="34"/>
  <c r="B239" i="34"/>
  <c r="D239" i="34"/>
  <c r="A240" i="34"/>
  <c r="B240" i="34"/>
  <c r="D240" i="34"/>
  <c r="A241" i="34"/>
  <c r="B241" i="34"/>
  <c r="D241" i="34"/>
  <c r="A242" i="34"/>
  <c r="B242" i="34"/>
  <c r="D242" i="34"/>
  <c r="A243" i="34"/>
  <c r="B243" i="34"/>
  <c r="D243" i="34"/>
  <c r="A244" i="34"/>
  <c r="B244" i="34"/>
  <c r="D244" i="34"/>
  <c r="A245" i="34"/>
  <c r="B245" i="34"/>
  <c r="D245" i="34"/>
  <c r="A246" i="34"/>
  <c r="B246" i="34"/>
  <c r="D246" i="34"/>
  <c r="A247" i="34"/>
  <c r="B247" i="34"/>
  <c r="D247" i="34"/>
  <c r="A248" i="34"/>
  <c r="B248" i="34"/>
  <c r="D248" i="34"/>
  <c r="A249" i="34"/>
  <c r="B249" i="34"/>
  <c r="D249" i="34"/>
  <c r="A250" i="34"/>
  <c r="B250" i="34"/>
  <c r="D250" i="34"/>
  <c r="A251" i="34"/>
  <c r="B251" i="34"/>
  <c r="D251" i="34"/>
  <c r="A252" i="34"/>
  <c r="B252" i="34"/>
  <c r="D252" i="34"/>
  <c r="A253" i="34"/>
  <c r="B253" i="34"/>
  <c r="D253" i="34"/>
  <c r="A254" i="34"/>
  <c r="B254" i="34"/>
  <c r="D254" i="34"/>
  <c r="A255" i="34"/>
  <c r="B255" i="34"/>
  <c r="D255" i="34"/>
  <c r="A256" i="34"/>
  <c r="B256" i="34"/>
  <c r="D256" i="34"/>
  <c r="A257" i="34"/>
  <c r="B257" i="34"/>
  <c r="D257" i="34"/>
  <c r="A258" i="34"/>
  <c r="B258" i="34"/>
  <c r="D258" i="34"/>
  <c r="A259" i="34"/>
  <c r="B259" i="34"/>
  <c r="D259" i="34"/>
  <c r="A260" i="34"/>
  <c r="B260" i="34"/>
  <c r="D260" i="34"/>
  <c r="A261" i="34"/>
  <c r="B261" i="34"/>
  <c r="D261" i="34"/>
  <c r="A262" i="34"/>
  <c r="B262" i="34"/>
  <c r="D262" i="34"/>
  <c r="A263" i="34"/>
  <c r="B263" i="34"/>
  <c r="D263" i="34"/>
  <c r="A264" i="34"/>
  <c r="B264" i="34"/>
  <c r="D264" i="34"/>
  <c r="A265" i="34"/>
  <c r="B265" i="34"/>
  <c r="D265" i="34"/>
  <c r="A266" i="34"/>
  <c r="B266" i="34"/>
  <c r="D266" i="34"/>
  <c r="A267" i="34"/>
  <c r="B267" i="34"/>
  <c r="D267" i="34"/>
  <c r="A268" i="34"/>
  <c r="B268" i="34"/>
  <c r="D268" i="34"/>
  <c r="A269" i="34"/>
  <c r="B269" i="34"/>
  <c r="D269" i="34"/>
  <c r="A270" i="34"/>
  <c r="B270" i="34"/>
  <c r="D270" i="34"/>
  <c r="A271" i="34"/>
  <c r="B271" i="34"/>
  <c r="D271" i="34"/>
  <c r="A272" i="34"/>
  <c r="B272" i="34"/>
  <c r="D272" i="34"/>
  <c r="A273" i="34"/>
  <c r="B273" i="34"/>
  <c r="D273" i="34"/>
  <c r="A274" i="34"/>
  <c r="B274" i="34"/>
  <c r="D274" i="34"/>
  <c r="A275" i="34"/>
  <c r="B275" i="34"/>
  <c r="D275" i="34"/>
  <c r="A276" i="34"/>
  <c r="B276" i="34"/>
  <c r="D276" i="34"/>
  <c r="A277" i="34"/>
  <c r="B277" i="34"/>
  <c r="D277" i="34"/>
  <c r="A278" i="34"/>
  <c r="B278" i="34"/>
  <c r="D278" i="34"/>
  <c r="A279" i="34"/>
  <c r="B279" i="34"/>
  <c r="D279" i="34"/>
  <c r="A280" i="34"/>
  <c r="B280" i="34"/>
  <c r="D280" i="34"/>
  <c r="A281" i="34"/>
  <c r="B281" i="34"/>
  <c r="D281" i="34"/>
  <c r="A282" i="34"/>
  <c r="B282" i="34"/>
  <c r="D282" i="34"/>
  <c r="A283" i="34"/>
  <c r="B283" i="34"/>
  <c r="D283" i="34"/>
  <c r="A284" i="34"/>
  <c r="B284" i="34"/>
  <c r="D284" i="34"/>
  <c r="A285" i="34"/>
  <c r="B285" i="34"/>
  <c r="D285" i="34"/>
  <c r="A286" i="34"/>
  <c r="B286" i="34"/>
  <c r="D286" i="34"/>
  <c r="A287" i="34"/>
  <c r="B287" i="34"/>
  <c r="D287" i="34"/>
  <c r="A288" i="34"/>
  <c r="B288" i="34"/>
  <c r="D288" i="34"/>
  <c r="A289" i="34"/>
  <c r="B289" i="34"/>
  <c r="D289" i="34"/>
  <c r="A290" i="34"/>
  <c r="B290" i="34"/>
  <c r="D290" i="34"/>
  <c r="A291" i="34"/>
  <c r="B291" i="34"/>
  <c r="D291" i="34"/>
  <c r="A292" i="34"/>
  <c r="B292" i="34"/>
  <c r="D292" i="34"/>
  <c r="A293" i="34"/>
  <c r="B293" i="34"/>
  <c r="D293" i="34"/>
  <c r="A294" i="34"/>
  <c r="B294" i="34"/>
  <c r="D294" i="34"/>
  <c r="A295" i="34"/>
  <c r="B295" i="34"/>
  <c r="D295" i="34"/>
  <c r="A296" i="34"/>
  <c r="B296" i="34"/>
  <c r="D296" i="34"/>
  <c r="A297" i="34"/>
  <c r="B297" i="34"/>
  <c r="D297" i="34"/>
  <c r="A298" i="34"/>
  <c r="B298" i="34"/>
  <c r="D298" i="34"/>
  <c r="A299" i="34"/>
  <c r="B299" i="34"/>
  <c r="D299" i="34"/>
  <c r="A300" i="34"/>
  <c r="B300" i="34"/>
  <c r="D300" i="34"/>
  <c r="A301" i="34"/>
  <c r="B301" i="34"/>
  <c r="D301" i="34"/>
  <c r="A302" i="34"/>
  <c r="B302" i="34"/>
  <c r="D302" i="34"/>
  <c r="A303" i="34"/>
  <c r="B303" i="34"/>
  <c r="D303" i="34"/>
  <c r="A304" i="34"/>
  <c r="B304" i="34"/>
  <c r="D304" i="34"/>
  <c r="A305" i="34"/>
  <c r="B305" i="34"/>
  <c r="D305" i="34"/>
  <c r="A306" i="34"/>
  <c r="B306" i="34"/>
  <c r="D306" i="34"/>
  <c r="A307" i="34"/>
  <c r="B307" i="34"/>
  <c r="D307" i="34"/>
  <c r="A308" i="34"/>
  <c r="B308" i="34"/>
  <c r="D308" i="34"/>
  <c r="A309" i="34"/>
  <c r="B309" i="34"/>
  <c r="D309" i="34"/>
  <c r="A310" i="34"/>
  <c r="B310" i="34"/>
  <c r="D310" i="34"/>
  <c r="A311" i="34"/>
  <c r="B311" i="34"/>
  <c r="D311" i="34"/>
  <c r="A312" i="34"/>
  <c r="B312" i="34"/>
  <c r="D312" i="34"/>
  <c r="A313" i="34"/>
  <c r="B313" i="34"/>
  <c r="D313" i="34"/>
  <c r="A314" i="34"/>
  <c r="B314" i="34"/>
  <c r="D314" i="34"/>
  <c r="A315" i="34"/>
  <c r="B315" i="34"/>
  <c r="D315" i="34"/>
  <c r="A316" i="34"/>
  <c r="B316" i="34"/>
  <c r="D316" i="34"/>
  <c r="A317" i="34"/>
  <c r="B317" i="34"/>
  <c r="D317" i="34"/>
  <c r="A318" i="34"/>
  <c r="B318" i="34"/>
  <c r="D318" i="34"/>
  <c r="A319" i="34"/>
  <c r="B319" i="34"/>
  <c r="D319" i="34"/>
  <c r="A320" i="34"/>
  <c r="B320" i="34"/>
  <c r="D320" i="34"/>
  <c r="A321" i="34"/>
  <c r="B321" i="34"/>
  <c r="D321" i="34"/>
  <c r="A322" i="34"/>
  <c r="B322" i="34"/>
  <c r="D322" i="34"/>
  <c r="A323" i="34"/>
  <c r="B323" i="34"/>
  <c r="D323" i="34"/>
  <c r="A6" i="37"/>
  <c r="B6" i="37"/>
  <c r="C6" i="37"/>
  <c r="G6" i="37"/>
  <c r="A7" i="37"/>
  <c r="B7" i="37"/>
  <c r="C7" i="37"/>
  <c r="G7" i="37"/>
  <c r="A8" i="37"/>
  <c r="B8" i="37"/>
  <c r="C8" i="37"/>
  <c r="G8" i="37"/>
  <c r="A9" i="37"/>
  <c r="B9" i="37"/>
  <c r="C9" i="37"/>
  <c r="G9" i="37"/>
  <c r="A10" i="37"/>
  <c r="B10" i="37"/>
  <c r="C10" i="37"/>
  <c r="G10" i="37"/>
  <c r="A11" i="37"/>
  <c r="B11" i="37"/>
  <c r="C11" i="37"/>
  <c r="G11" i="37"/>
  <c r="A12" i="37"/>
  <c r="B12" i="37"/>
  <c r="C12" i="37"/>
  <c r="G12" i="37"/>
  <c r="A13" i="37"/>
  <c r="B13" i="37"/>
  <c r="C13" i="37"/>
  <c r="G13" i="37"/>
  <c r="A14" i="37"/>
  <c r="B14" i="37"/>
  <c r="C14" i="37"/>
  <c r="G14" i="37"/>
  <c r="A15" i="37"/>
  <c r="B15" i="37"/>
  <c r="C15" i="37"/>
  <c r="G15" i="37"/>
  <c r="A16" i="37"/>
  <c r="B16" i="37"/>
  <c r="C16" i="37"/>
  <c r="G16" i="37"/>
  <c r="A17" i="37"/>
  <c r="B17" i="37"/>
  <c r="C17" i="37"/>
  <c r="G17" i="37"/>
  <c r="A18" i="37"/>
  <c r="B18" i="37"/>
  <c r="C18" i="37"/>
  <c r="G18" i="37"/>
  <c r="A19" i="37"/>
  <c r="B19" i="37"/>
  <c r="C19" i="37"/>
  <c r="G19" i="37"/>
  <c r="A20" i="37"/>
  <c r="B20" i="37"/>
  <c r="C20" i="37"/>
  <c r="G20" i="37"/>
  <c r="A21" i="37"/>
  <c r="B21" i="37"/>
  <c r="C21" i="37"/>
  <c r="G21" i="37"/>
  <c r="A22" i="37"/>
  <c r="B22" i="37"/>
  <c r="C22" i="37"/>
  <c r="G22" i="37"/>
  <c r="A23" i="37"/>
  <c r="B23" i="37"/>
  <c r="C23" i="37"/>
  <c r="G23" i="37"/>
  <c r="A24" i="37"/>
  <c r="B24" i="37"/>
  <c r="C24" i="37"/>
  <c r="G24" i="37"/>
  <c r="A25" i="37"/>
  <c r="B25" i="37"/>
  <c r="C25" i="37"/>
  <c r="G25" i="37"/>
  <c r="A26" i="37"/>
  <c r="B26" i="37"/>
  <c r="C26" i="37"/>
  <c r="G26" i="37"/>
  <c r="A27" i="37"/>
  <c r="B27" i="37"/>
  <c r="C27" i="37"/>
  <c r="G27" i="37"/>
  <c r="A28" i="37"/>
  <c r="B28" i="37"/>
  <c r="C28" i="37"/>
  <c r="G28" i="37"/>
  <c r="A29" i="37"/>
  <c r="B29" i="37"/>
  <c r="C29" i="37"/>
  <c r="G29" i="37"/>
  <c r="A30" i="37"/>
  <c r="B30" i="37"/>
  <c r="C30" i="37"/>
  <c r="G30" i="37"/>
  <c r="A31" i="37"/>
  <c r="B31" i="37"/>
  <c r="C31" i="37"/>
  <c r="G31" i="37"/>
  <c r="A32" i="37"/>
  <c r="B32" i="37"/>
  <c r="C32" i="37"/>
  <c r="G32" i="37"/>
  <c r="A33" i="37"/>
  <c r="B33" i="37"/>
  <c r="C33" i="37"/>
  <c r="G33" i="37"/>
  <c r="A34" i="37"/>
  <c r="B34" i="37"/>
  <c r="C34" i="37"/>
  <c r="G34" i="37"/>
  <c r="A35" i="37"/>
  <c r="B35" i="37"/>
  <c r="C35" i="37"/>
  <c r="G35" i="37"/>
  <c r="A36" i="37"/>
  <c r="B36" i="37"/>
  <c r="C36" i="37"/>
  <c r="G36" i="37"/>
  <c r="A37" i="37"/>
  <c r="B37" i="37"/>
  <c r="C37" i="37"/>
  <c r="G37" i="37"/>
  <c r="A38" i="37"/>
  <c r="B38" i="37"/>
  <c r="C38" i="37"/>
  <c r="G38" i="37"/>
  <c r="A39" i="37"/>
  <c r="B39" i="37"/>
  <c r="C39" i="37"/>
  <c r="G39" i="37"/>
  <c r="A40" i="37"/>
  <c r="B40" i="37"/>
  <c r="C40" i="37"/>
  <c r="G40" i="37"/>
  <c r="A41" i="37"/>
  <c r="B41" i="37"/>
  <c r="C41" i="37"/>
  <c r="G41" i="37"/>
  <c r="A42" i="37"/>
  <c r="B42" i="37"/>
  <c r="C42" i="37"/>
  <c r="G42" i="37"/>
  <c r="A43" i="37"/>
  <c r="B43" i="37"/>
  <c r="C43" i="37"/>
  <c r="G43" i="37"/>
  <c r="A44" i="37"/>
  <c r="B44" i="37"/>
  <c r="C44" i="37"/>
  <c r="G44" i="37"/>
  <c r="A45" i="37"/>
  <c r="B45" i="37"/>
  <c r="C45" i="37"/>
  <c r="G45" i="37"/>
  <c r="A46" i="37"/>
  <c r="B46" i="37"/>
  <c r="C46" i="37"/>
  <c r="G46" i="37"/>
  <c r="A47" i="37"/>
  <c r="B47" i="37"/>
  <c r="C47" i="37"/>
  <c r="G47" i="37"/>
  <c r="A48" i="37"/>
  <c r="B48" i="37"/>
  <c r="C48" i="37"/>
  <c r="G48" i="37"/>
  <c r="A49" i="37"/>
  <c r="B49" i="37"/>
  <c r="C49" i="37"/>
  <c r="G49" i="37"/>
  <c r="A50" i="37"/>
  <c r="B50" i="37"/>
  <c r="C50" i="37"/>
  <c r="G50" i="37"/>
  <c r="A51" i="37"/>
  <c r="B51" i="37"/>
  <c r="C51" i="37"/>
  <c r="G51" i="37"/>
  <c r="A52" i="37"/>
  <c r="B52" i="37"/>
  <c r="C52" i="37"/>
  <c r="G52" i="37"/>
  <c r="A53" i="37"/>
  <c r="B53" i="37"/>
  <c r="C53" i="37"/>
  <c r="G53" i="37"/>
  <c r="A54" i="37"/>
  <c r="B54" i="37"/>
  <c r="C54" i="37"/>
  <c r="G54" i="37"/>
  <c r="A55" i="37"/>
  <c r="B55" i="37"/>
  <c r="C55" i="37"/>
  <c r="G55" i="37"/>
  <c r="A56" i="37"/>
  <c r="B56" i="37"/>
  <c r="C56" i="37"/>
  <c r="G56" i="37"/>
  <c r="A57" i="37"/>
  <c r="B57" i="37"/>
  <c r="C57" i="37"/>
  <c r="G57" i="37"/>
  <c r="A58" i="37"/>
  <c r="B58" i="37"/>
  <c r="C58" i="37"/>
  <c r="G58" i="37"/>
  <c r="A59" i="37"/>
  <c r="B59" i="37"/>
  <c r="C59" i="37"/>
  <c r="G59" i="37"/>
  <c r="A60" i="37"/>
  <c r="B60" i="37"/>
  <c r="C60" i="37"/>
  <c r="G60" i="37"/>
  <c r="A61" i="37"/>
  <c r="B61" i="37"/>
  <c r="C61" i="37"/>
  <c r="G61" i="37"/>
  <c r="A62" i="37"/>
  <c r="B62" i="37"/>
  <c r="C62" i="37"/>
  <c r="G62" i="37"/>
  <c r="A63" i="37"/>
  <c r="B63" i="37"/>
  <c r="C63" i="37"/>
  <c r="G63" i="37"/>
  <c r="A64" i="37"/>
  <c r="B64" i="37"/>
  <c r="C64" i="37"/>
  <c r="G64" i="37"/>
  <c r="A65" i="37"/>
  <c r="B65" i="37"/>
  <c r="C65" i="37"/>
  <c r="G65" i="37"/>
  <c r="A66" i="37"/>
  <c r="B66" i="37"/>
  <c r="C66" i="37"/>
  <c r="G66" i="37"/>
  <c r="A67" i="37"/>
  <c r="B67" i="37"/>
  <c r="C67" i="37"/>
  <c r="G67" i="37"/>
  <c r="A68" i="37"/>
  <c r="B68" i="37"/>
  <c r="C68" i="37"/>
  <c r="G68" i="37"/>
  <c r="A69" i="37"/>
  <c r="B69" i="37"/>
  <c r="C69" i="37"/>
  <c r="G69" i="37"/>
  <c r="A70" i="37"/>
  <c r="B70" i="37"/>
  <c r="C70" i="37"/>
  <c r="G70" i="37"/>
  <c r="A71" i="37"/>
  <c r="B71" i="37"/>
  <c r="C71" i="37"/>
  <c r="G71" i="37"/>
  <c r="A72" i="37"/>
  <c r="B72" i="37"/>
  <c r="C72" i="37"/>
  <c r="G72" i="37"/>
  <c r="A73" i="37"/>
  <c r="B73" i="37"/>
  <c r="C73" i="37"/>
  <c r="G73" i="37"/>
  <c r="A74" i="37"/>
  <c r="B74" i="37"/>
  <c r="C74" i="37"/>
  <c r="G74" i="37"/>
  <c r="A75" i="37"/>
  <c r="B75" i="37"/>
  <c r="C75" i="37"/>
  <c r="G75" i="37"/>
  <c r="A76" i="37"/>
  <c r="B76" i="37"/>
  <c r="C76" i="37"/>
  <c r="G76" i="37"/>
  <c r="A77" i="37"/>
  <c r="B77" i="37"/>
  <c r="C77" i="37"/>
  <c r="G77" i="37"/>
  <c r="A78" i="37"/>
  <c r="B78" i="37"/>
  <c r="C78" i="37"/>
  <c r="G78" i="37"/>
  <c r="A79" i="37"/>
  <c r="B79" i="37"/>
  <c r="C79" i="37"/>
  <c r="G79" i="37"/>
  <c r="A80" i="37"/>
  <c r="B80" i="37"/>
  <c r="C80" i="37"/>
  <c r="G80" i="37"/>
  <c r="A81" i="37"/>
  <c r="B81" i="37"/>
  <c r="C81" i="37"/>
  <c r="G81" i="37"/>
  <c r="A82" i="37"/>
  <c r="B82" i="37"/>
  <c r="C82" i="37"/>
  <c r="G82" i="37"/>
  <c r="A83" i="37"/>
  <c r="B83" i="37"/>
  <c r="C83" i="37"/>
  <c r="G83" i="37"/>
  <c r="A84" i="37"/>
  <c r="B84" i="37"/>
  <c r="C84" i="37"/>
  <c r="G84" i="37"/>
  <c r="A85" i="37"/>
  <c r="B85" i="37"/>
  <c r="C85" i="37"/>
  <c r="G85" i="37"/>
  <c r="A86" i="37"/>
  <c r="B86" i="37"/>
  <c r="C86" i="37"/>
  <c r="G86" i="37"/>
  <c r="A87" i="37"/>
  <c r="B87" i="37"/>
  <c r="C87" i="37"/>
  <c r="G87" i="37"/>
  <c r="A88" i="37"/>
  <c r="B88" i="37"/>
  <c r="C88" i="37"/>
  <c r="G88" i="37"/>
  <c r="A89" i="37"/>
  <c r="B89" i="37"/>
  <c r="C89" i="37"/>
  <c r="G89" i="37"/>
  <c r="A90" i="37"/>
  <c r="B90" i="37"/>
  <c r="C90" i="37"/>
  <c r="G90" i="37"/>
  <c r="A91" i="37"/>
  <c r="B91" i="37"/>
  <c r="C91" i="37"/>
  <c r="G91" i="37"/>
  <c r="A92" i="37"/>
  <c r="B92" i="37"/>
  <c r="C92" i="37"/>
  <c r="G92" i="37"/>
  <c r="A93" i="37"/>
  <c r="B93" i="37"/>
  <c r="C93" i="37"/>
  <c r="G93" i="37"/>
  <c r="A94" i="37"/>
  <c r="B94" i="37"/>
  <c r="C94" i="37"/>
  <c r="G94" i="37"/>
  <c r="A95" i="37"/>
  <c r="B95" i="37"/>
  <c r="C95" i="37"/>
  <c r="G95" i="37"/>
  <c r="A96" i="37"/>
  <c r="B96" i="37"/>
  <c r="C96" i="37"/>
  <c r="G96" i="37"/>
  <c r="A97" i="37"/>
  <c r="B97" i="37"/>
  <c r="C97" i="37"/>
  <c r="G97" i="37"/>
  <c r="A98" i="37"/>
  <c r="B98" i="37"/>
  <c r="C98" i="37"/>
  <c r="G98" i="37"/>
  <c r="A99" i="37"/>
  <c r="B99" i="37"/>
  <c r="C99" i="37"/>
  <c r="G99" i="37"/>
  <c r="A100" i="37"/>
  <c r="B100" i="37"/>
  <c r="C100" i="37"/>
  <c r="G100" i="37"/>
  <c r="A101" i="37"/>
  <c r="B101" i="37"/>
  <c r="C101" i="37"/>
  <c r="G101" i="37"/>
  <c r="A102" i="37"/>
  <c r="B102" i="37"/>
  <c r="C102" i="37"/>
  <c r="G102" i="37"/>
  <c r="A103" i="37"/>
  <c r="B103" i="37"/>
  <c r="C103" i="37"/>
  <c r="G103" i="37"/>
  <c r="A104" i="37"/>
  <c r="B104" i="37"/>
  <c r="C104" i="37"/>
  <c r="G104" i="37"/>
  <c r="A105" i="37"/>
  <c r="B105" i="37"/>
  <c r="C105" i="37"/>
  <c r="G105" i="37"/>
  <c r="A106" i="37"/>
  <c r="B106" i="37"/>
  <c r="C106" i="37"/>
  <c r="G106" i="37"/>
  <c r="A107" i="37"/>
  <c r="B107" i="37"/>
  <c r="C107" i="37"/>
  <c r="G107" i="37"/>
  <c r="A108" i="37"/>
  <c r="B108" i="37"/>
  <c r="C108" i="37"/>
  <c r="G108" i="37"/>
  <c r="A109" i="37"/>
  <c r="B109" i="37"/>
  <c r="C109" i="37"/>
  <c r="G109" i="37"/>
  <c r="A110" i="37"/>
  <c r="B110" i="37"/>
  <c r="C110" i="37"/>
  <c r="G110" i="37"/>
  <c r="A111" i="37"/>
  <c r="B111" i="37"/>
  <c r="C111" i="37"/>
  <c r="G111" i="37"/>
  <c r="A112" i="37"/>
  <c r="B112" i="37"/>
  <c r="C112" i="37"/>
  <c r="G112" i="37"/>
  <c r="A113" i="37"/>
  <c r="B113" i="37"/>
  <c r="C113" i="37"/>
  <c r="G113" i="37"/>
  <c r="A114" i="37"/>
  <c r="B114" i="37"/>
  <c r="C114" i="37"/>
  <c r="G114" i="37"/>
  <c r="A115" i="37"/>
  <c r="B115" i="37"/>
  <c r="C115" i="37"/>
  <c r="G115" i="37"/>
  <c r="A116" i="37"/>
  <c r="B116" i="37"/>
  <c r="C116" i="37"/>
  <c r="G116" i="37"/>
  <c r="A117" i="37"/>
  <c r="B117" i="37"/>
  <c r="C117" i="37"/>
  <c r="G117" i="37"/>
  <c r="A118" i="37"/>
  <c r="B118" i="37"/>
  <c r="C118" i="37"/>
  <c r="G118" i="37"/>
  <c r="A119" i="37"/>
  <c r="B119" i="37"/>
  <c r="C119" i="37"/>
  <c r="G119" i="37"/>
  <c r="A120" i="37"/>
  <c r="B120" i="37"/>
  <c r="C120" i="37"/>
  <c r="G120" i="37"/>
  <c r="A121" i="37"/>
  <c r="B121" i="37"/>
  <c r="C121" i="37"/>
  <c r="G121" i="37"/>
  <c r="A122" i="37"/>
  <c r="B122" i="37"/>
  <c r="C122" i="37"/>
  <c r="G122" i="37"/>
  <c r="A123" i="37"/>
  <c r="B123" i="37"/>
  <c r="C123" i="37"/>
  <c r="G123" i="37"/>
  <c r="A124" i="37"/>
  <c r="B124" i="37"/>
  <c r="C124" i="37"/>
  <c r="G124" i="37"/>
  <c r="A125" i="37"/>
  <c r="B125" i="37"/>
  <c r="C125" i="37"/>
  <c r="G125" i="37"/>
  <c r="A126" i="37"/>
  <c r="B126" i="37"/>
  <c r="C126" i="37"/>
  <c r="G126" i="37"/>
  <c r="A127" i="37"/>
  <c r="B127" i="37"/>
  <c r="C127" i="37"/>
  <c r="G127" i="37"/>
  <c r="A128" i="37"/>
  <c r="B128" i="37"/>
  <c r="C128" i="37"/>
  <c r="G128" i="37"/>
  <c r="A129" i="37"/>
  <c r="B129" i="37"/>
  <c r="C129" i="37"/>
  <c r="G129" i="37"/>
  <c r="A130" i="37"/>
  <c r="B130" i="37"/>
  <c r="C130" i="37"/>
  <c r="G130" i="37"/>
  <c r="A131" i="37"/>
  <c r="B131" i="37"/>
  <c r="C131" i="37"/>
  <c r="G131" i="37"/>
  <c r="A132" i="37"/>
  <c r="B132" i="37"/>
  <c r="C132" i="37"/>
  <c r="G132" i="37"/>
  <c r="A133" i="37"/>
  <c r="B133" i="37"/>
  <c r="C133" i="37"/>
  <c r="G133" i="37"/>
  <c r="A134" i="37"/>
  <c r="B134" i="37"/>
  <c r="C134" i="37"/>
  <c r="G134" i="37"/>
  <c r="A135" i="37"/>
  <c r="B135" i="37"/>
  <c r="C135" i="37"/>
  <c r="G135" i="37"/>
  <c r="A136" i="37"/>
  <c r="B136" i="37"/>
  <c r="C136" i="37"/>
  <c r="G136" i="37"/>
  <c r="A137" i="37"/>
  <c r="B137" i="37"/>
  <c r="C137" i="37"/>
  <c r="G137" i="37"/>
  <c r="A138" i="37"/>
  <c r="B138" i="37"/>
  <c r="C138" i="37"/>
  <c r="G138" i="37"/>
  <c r="A139" i="37"/>
  <c r="B139" i="37"/>
  <c r="C139" i="37"/>
  <c r="G139" i="37"/>
  <c r="A140" i="37"/>
  <c r="B140" i="37"/>
  <c r="C140" i="37"/>
  <c r="G140" i="37"/>
  <c r="A141" i="37"/>
  <c r="B141" i="37"/>
  <c r="C141" i="37"/>
  <c r="G141" i="37"/>
  <c r="A142" i="37"/>
  <c r="B142" i="37"/>
  <c r="C142" i="37"/>
  <c r="G142" i="37"/>
  <c r="A143" i="37"/>
  <c r="B143" i="37"/>
  <c r="C143" i="37"/>
  <c r="G143" i="37"/>
  <c r="A144" i="37"/>
  <c r="B144" i="37"/>
  <c r="C144" i="37"/>
  <c r="G144" i="37"/>
  <c r="A145" i="37"/>
  <c r="B145" i="37"/>
  <c r="C145" i="37"/>
  <c r="G145" i="37"/>
  <c r="A146" i="37"/>
  <c r="B146" i="37"/>
  <c r="C146" i="37"/>
  <c r="G146" i="37"/>
  <c r="A147" i="37"/>
  <c r="B147" i="37"/>
  <c r="C147" i="37"/>
  <c r="G147" i="37"/>
  <c r="A148" i="37"/>
  <c r="B148" i="37"/>
  <c r="C148" i="37"/>
  <c r="G148" i="37"/>
  <c r="A149" i="37"/>
  <c r="B149" i="37"/>
  <c r="C149" i="37"/>
  <c r="G149" i="37"/>
  <c r="A150" i="37"/>
  <c r="B150" i="37"/>
  <c r="C150" i="37"/>
  <c r="G150" i="37"/>
  <c r="A151" i="37"/>
  <c r="B151" i="37"/>
  <c r="C151" i="37"/>
  <c r="G151" i="37"/>
  <c r="A152" i="37"/>
  <c r="B152" i="37"/>
  <c r="C152" i="37"/>
  <c r="G152" i="37"/>
  <c r="A153" i="37"/>
  <c r="B153" i="37"/>
  <c r="C153" i="37"/>
  <c r="G153" i="37"/>
  <c r="A154" i="37"/>
  <c r="B154" i="37"/>
  <c r="C154" i="37"/>
  <c r="G154" i="37"/>
  <c r="A155" i="37"/>
  <c r="B155" i="37"/>
  <c r="C155" i="37"/>
  <c r="G155" i="37"/>
  <c r="A156" i="37"/>
  <c r="B156" i="37"/>
  <c r="C156" i="37"/>
  <c r="G156" i="37"/>
  <c r="A157" i="37"/>
  <c r="B157" i="37"/>
  <c r="C157" i="37"/>
  <c r="G157" i="37"/>
  <c r="A158" i="37"/>
  <c r="B158" i="37"/>
  <c r="C158" i="37"/>
  <c r="G158" i="37"/>
  <c r="A159" i="37"/>
  <c r="B159" i="37"/>
  <c r="C159" i="37"/>
  <c r="G159" i="37"/>
  <c r="A160" i="37"/>
  <c r="B160" i="37"/>
  <c r="C160" i="37"/>
  <c r="G160" i="37"/>
  <c r="A161" i="37"/>
  <c r="B161" i="37"/>
  <c r="C161" i="37"/>
  <c r="G161" i="37"/>
  <c r="A162" i="37"/>
  <c r="B162" i="37"/>
  <c r="C162" i="37"/>
  <c r="G162" i="37"/>
  <c r="A163" i="37"/>
  <c r="B163" i="37"/>
  <c r="C163" i="37"/>
  <c r="G163" i="37"/>
  <c r="A164" i="37"/>
  <c r="B164" i="37"/>
  <c r="C164" i="37"/>
  <c r="G164" i="37"/>
  <c r="A165" i="37"/>
  <c r="B165" i="37"/>
  <c r="C165" i="37"/>
  <c r="G165" i="37"/>
  <c r="A166" i="37"/>
  <c r="B166" i="37"/>
  <c r="C166" i="37"/>
  <c r="G166" i="37"/>
  <c r="A167" i="37"/>
  <c r="B167" i="37"/>
  <c r="C167" i="37"/>
  <c r="G167" i="37"/>
  <c r="A168" i="37"/>
  <c r="B168" i="37"/>
  <c r="C168" i="37"/>
  <c r="G168" i="37"/>
  <c r="A169" i="37"/>
  <c r="B169" i="37"/>
  <c r="C169" i="37"/>
  <c r="G169" i="37"/>
  <c r="A170" i="37"/>
  <c r="B170" i="37"/>
  <c r="C170" i="37"/>
  <c r="G170" i="37"/>
  <c r="A171" i="37"/>
  <c r="B171" i="37"/>
  <c r="C171" i="37"/>
  <c r="G171" i="37"/>
  <c r="A172" i="37"/>
  <c r="B172" i="37"/>
  <c r="C172" i="37"/>
  <c r="G172" i="37"/>
  <c r="A173" i="37"/>
  <c r="B173" i="37"/>
  <c r="C173" i="37"/>
  <c r="G173" i="37"/>
  <c r="A174" i="37"/>
  <c r="B174" i="37"/>
  <c r="C174" i="37"/>
  <c r="G174" i="37"/>
  <c r="A175" i="37"/>
  <c r="B175" i="37"/>
  <c r="C175" i="37"/>
  <c r="G175" i="37"/>
  <c r="A176" i="37"/>
  <c r="B176" i="37"/>
  <c r="C176" i="37"/>
  <c r="G176" i="37"/>
  <c r="A177" i="37"/>
  <c r="B177" i="37"/>
  <c r="C177" i="37"/>
  <c r="G177" i="37"/>
  <c r="A178" i="37"/>
  <c r="B178" i="37"/>
  <c r="C178" i="37"/>
  <c r="G178" i="37"/>
  <c r="A179" i="37"/>
  <c r="B179" i="37"/>
  <c r="C179" i="37"/>
  <c r="G179" i="37"/>
  <c r="A180" i="37"/>
  <c r="B180" i="37"/>
  <c r="C180" i="37"/>
  <c r="G180" i="37"/>
  <c r="A181" i="37"/>
  <c r="B181" i="37"/>
  <c r="C181" i="37"/>
  <c r="G181" i="37"/>
  <c r="A182" i="37"/>
  <c r="B182" i="37"/>
  <c r="C182" i="37"/>
  <c r="G182" i="37"/>
  <c r="A183" i="37"/>
  <c r="B183" i="37"/>
  <c r="C183" i="37"/>
  <c r="G183" i="37"/>
  <c r="A184" i="37"/>
  <c r="B184" i="37"/>
  <c r="C184" i="37"/>
  <c r="G184" i="37"/>
  <c r="A185" i="37"/>
  <c r="B185" i="37"/>
  <c r="C185" i="37"/>
  <c r="G185" i="37"/>
  <c r="A186" i="37"/>
  <c r="B186" i="37"/>
  <c r="C186" i="37"/>
  <c r="G186" i="37"/>
  <c r="A187" i="37"/>
  <c r="B187" i="37"/>
  <c r="C187" i="37"/>
  <c r="G187" i="37"/>
  <c r="A188" i="37"/>
  <c r="B188" i="37"/>
  <c r="C188" i="37"/>
  <c r="G188" i="37"/>
  <c r="A189" i="37"/>
  <c r="B189" i="37"/>
  <c r="C189" i="37"/>
  <c r="G189" i="37"/>
  <c r="A190" i="37"/>
  <c r="B190" i="37"/>
  <c r="C190" i="37"/>
  <c r="G190" i="37"/>
  <c r="A191" i="37"/>
  <c r="B191" i="37"/>
  <c r="C191" i="37"/>
  <c r="G191" i="37"/>
  <c r="A192" i="37"/>
  <c r="B192" i="37"/>
  <c r="C192" i="37"/>
  <c r="G192" i="37"/>
  <c r="A193" i="37"/>
  <c r="B193" i="37"/>
  <c r="C193" i="37"/>
  <c r="G193" i="37"/>
  <c r="A194" i="37"/>
  <c r="B194" i="37"/>
  <c r="C194" i="37"/>
  <c r="G194" i="37"/>
  <c r="A195" i="37"/>
  <c r="B195" i="37"/>
  <c r="C195" i="37"/>
  <c r="G195" i="37"/>
  <c r="A196" i="37"/>
  <c r="B196" i="37"/>
  <c r="C196" i="37"/>
  <c r="G196" i="37"/>
  <c r="A197" i="37"/>
  <c r="B197" i="37"/>
  <c r="C197" i="37"/>
  <c r="G197" i="37"/>
  <c r="A198" i="37"/>
  <c r="B198" i="37"/>
  <c r="C198" i="37"/>
  <c r="G198" i="37"/>
  <c r="A199" i="37"/>
  <c r="B199" i="37"/>
  <c r="C199" i="37"/>
  <c r="G199" i="37"/>
  <c r="A200" i="37"/>
  <c r="B200" i="37"/>
  <c r="C200" i="37"/>
  <c r="G200" i="37"/>
  <c r="A201" i="37"/>
  <c r="B201" i="37"/>
  <c r="C201" i="37"/>
  <c r="G201" i="37"/>
  <c r="A202" i="37"/>
  <c r="B202" i="37"/>
  <c r="C202" i="37"/>
  <c r="G202" i="37"/>
  <c r="A203" i="37"/>
  <c r="B203" i="37"/>
  <c r="C203" i="37"/>
  <c r="G203" i="37"/>
  <c r="A204" i="37"/>
  <c r="B204" i="37"/>
  <c r="C204" i="37"/>
  <c r="G204" i="37"/>
  <c r="A205" i="37"/>
  <c r="B205" i="37"/>
  <c r="C205" i="37"/>
  <c r="G205" i="37"/>
  <c r="A206" i="37"/>
  <c r="B206" i="37"/>
  <c r="C206" i="37"/>
  <c r="G206" i="37"/>
  <c r="A207" i="37"/>
  <c r="B207" i="37"/>
  <c r="C207" i="37"/>
  <c r="G207" i="37"/>
  <c r="A208" i="37"/>
  <c r="B208" i="37"/>
  <c r="C208" i="37"/>
  <c r="G208" i="37"/>
  <c r="A209" i="37"/>
  <c r="B209" i="37"/>
  <c r="C209" i="37"/>
  <c r="G209" i="37"/>
  <c r="A210" i="37"/>
  <c r="B210" i="37"/>
  <c r="C210" i="37"/>
  <c r="G210" i="37"/>
  <c r="A211" i="37"/>
  <c r="B211" i="37"/>
  <c r="C211" i="37"/>
  <c r="G211" i="37"/>
  <c r="A212" i="37"/>
  <c r="B212" i="37"/>
  <c r="C212" i="37"/>
  <c r="G212" i="37"/>
  <c r="A213" i="37"/>
  <c r="B213" i="37"/>
  <c r="C213" i="37"/>
  <c r="G213" i="37"/>
  <c r="A214" i="37"/>
  <c r="B214" i="37"/>
  <c r="C214" i="37"/>
  <c r="G214" i="37"/>
  <c r="A215" i="37"/>
  <c r="B215" i="37"/>
  <c r="C215" i="37"/>
  <c r="G215" i="37"/>
  <c r="A216" i="37"/>
  <c r="B216" i="37"/>
  <c r="C216" i="37"/>
  <c r="G216" i="37"/>
  <c r="A217" i="37"/>
  <c r="B217" i="37"/>
  <c r="C217" i="37"/>
  <c r="G217" i="37"/>
  <c r="A218" i="37"/>
  <c r="B218" i="37"/>
  <c r="C218" i="37"/>
  <c r="G218" i="37"/>
  <c r="A219" i="37"/>
  <c r="B219" i="37"/>
  <c r="C219" i="37"/>
  <c r="G219" i="37"/>
  <c r="A220" i="37"/>
  <c r="B220" i="37"/>
  <c r="C220" i="37"/>
  <c r="G220" i="37"/>
  <c r="A221" i="37"/>
  <c r="B221" i="37"/>
  <c r="C221" i="37"/>
  <c r="G221" i="37"/>
  <c r="A222" i="37"/>
  <c r="B222" i="37"/>
  <c r="C222" i="37"/>
  <c r="G222" i="37"/>
  <c r="A223" i="37"/>
  <c r="B223" i="37"/>
  <c r="C223" i="37"/>
  <c r="G223" i="37"/>
  <c r="A224" i="37"/>
  <c r="B224" i="37"/>
  <c r="C224" i="37"/>
  <c r="G224" i="37"/>
  <c r="A225" i="37"/>
  <c r="B225" i="37"/>
  <c r="C225" i="37"/>
  <c r="G225" i="37"/>
  <c r="A226" i="37"/>
  <c r="B226" i="37"/>
  <c r="C226" i="37"/>
  <c r="G226" i="37"/>
  <c r="A227" i="37"/>
  <c r="B227" i="37"/>
  <c r="C227" i="37"/>
  <c r="G227" i="37"/>
  <c r="A228" i="37"/>
  <c r="B228" i="37"/>
  <c r="C228" i="37"/>
  <c r="G228" i="37"/>
  <c r="A229" i="37"/>
  <c r="B229" i="37"/>
  <c r="C229" i="37"/>
  <c r="G229" i="37"/>
  <c r="A230" i="37"/>
  <c r="B230" i="37"/>
  <c r="C230" i="37"/>
  <c r="G230" i="37"/>
  <c r="A231" i="37"/>
  <c r="B231" i="37"/>
  <c r="C231" i="37"/>
  <c r="G231" i="37"/>
  <c r="A232" i="37"/>
  <c r="B232" i="37"/>
  <c r="C232" i="37"/>
  <c r="G232" i="37"/>
  <c r="A233" i="37"/>
  <c r="B233" i="37"/>
  <c r="C233" i="37"/>
  <c r="G233" i="37"/>
  <c r="A234" i="37"/>
  <c r="B234" i="37"/>
  <c r="C234" i="37"/>
  <c r="G234" i="37"/>
  <c r="A235" i="37"/>
  <c r="B235" i="37"/>
  <c r="C235" i="37"/>
  <c r="G235" i="37"/>
  <c r="A236" i="37"/>
  <c r="B236" i="37"/>
  <c r="C236" i="37"/>
  <c r="G236" i="37"/>
  <c r="A237" i="37"/>
  <c r="B237" i="37"/>
  <c r="C237" i="37"/>
  <c r="G237" i="37"/>
  <c r="A238" i="37"/>
  <c r="B238" i="37"/>
  <c r="C238" i="37"/>
  <c r="G238" i="37"/>
  <c r="A239" i="37"/>
  <c r="B239" i="37"/>
  <c r="C239" i="37"/>
  <c r="G239" i="37"/>
  <c r="A240" i="37"/>
  <c r="B240" i="37"/>
  <c r="C240" i="37"/>
  <c r="G240" i="37"/>
  <c r="A241" i="37"/>
  <c r="B241" i="37"/>
  <c r="C241" i="37"/>
  <c r="G241" i="37"/>
  <c r="A242" i="37"/>
  <c r="B242" i="37"/>
  <c r="C242" i="37"/>
  <c r="G242" i="37"/>
  <c r="A243" i="37"/>
  <c r="B243" i="37"/>
  <c r="C243" i="37"/>
  <c r="G243" i="37"/>
  <c r="A244" i="37"/>
  <c r="B244" i="37"/>
  <c r="C244" i="37"/>
  <c r="G244" i="37"/>
  <c r="A245" i="37"/>
  <c r="B245" i="37"/>
  <c r="C245" i="37"/>
  <c r="G245" i="37"/>
  <c r="A246" i="37"/>
  <c r="B246" i="37"/>
  <c r="C246" i="37"/>
  <c r="G246" i="37"/>
  <c r="A247" i="37"/>
  <c r="B247" i="37"/>
  <c r="C247" i="37"/>
  <c r="G247" i="37"/>
  <c r="A248" i="37"/>
  <c r="B248" i="37"/>
  <c r="C248" i="37"/>
  <c r="G248" i="37"/>
  <c r="A249" i="37"/>
  <c r="B249" i="37"/>
  <c r="C249" i="37"/>
  <c r="G249" i="37"/>
  <c r="A250" i="37"/>
  <c r="B250" i="37"/>
  <c r="C250" i="37"/>
  <c r="G250" i="37"/>
  <c r="A251" i="37"/>
  <c r="B251" i="37"/>
  <c r="C251" i="37"/>
  <c r="G251" i="37"/>
  <c r="A252" i="37"/>
  <c r="B252" i="37"/>
  <c r="C252" i="37"/>
  <c r="G252" i="37"/>
  <c r="A253" i="37"/>
  <c r="B253" i="37"/>
  <c r="C253" i="37"/>
  <c r="G253" i="37"/>
  <c r="A254" i="37"/>
  <c r="B254" i="37"/>
  <c r="C254" i="37"/>
  <c r="G254" i="37"/>
  <c r="A255" i="37"/>
  <c r="B255" i="37"/>
  <c r="C255" i="37"/>
  <c r="G255" i="37"/>
  <c r="A256" i="37"/>
  <c r="B256" i="37"/>
  <c r="C256" i="37"/>
  <c r="G256" i="37"/>
  <c r="A257" i="37"/>
  <c r="B257" i="37"/>
  <c r="C257" i="37"/>
  <c r="G257" i="37"/>
  <c r="A258" i="37"/>
  <c r="B258" i="37"/>
  <c r="C258" i="37"/>
  <c r="G258" i="37"/>
  <c r="A259" i="37"/>
  <c r="B259" i="37"/>
  <c r="C259" i="37"/>
  <c r="G259" i="37"/>
  <c r="A260" i="37"/>
  <c r="B260" i="37"/>
  <c r="C260" i="37"/>
  <c r="G260" i="37"/>
  <c r="A261" i="37"/>
  <c r="B261" i="37"/>
  <c r="C261" i="37"/>
  <c r="G261" i="37"/>
  <c r="A262" i="37"/>
  <c r="B262" i="37"/>
  <c r="C262" i="37"/>
  <c r="G262" i="37"/>
  <c r="A263" i="37"/>
  <c r="B263" i="37"/>
  <c r="C263" i="37"/>
  <c r="G263" i="37"/>
  <c r="A264" i="37"/>
  <c r="B264" i="37"/>
  <c r="C264" i="37"/>
  <c r="G264" i="37"/>
  <c r="A265" i="37"/>
  <c r="B265" i="37"/>
  <c r="C265" i="37"/>
  <c r="G265" i="37"/>
  <c r="A266" i="37"/>
  <c r="B266" i="37"/>
  <c r="C266" i="37"/>
  <c r="G266" i="37"/>
  <c r="A267" i="37"/>
  <c r="B267" i="37"/>
  <c r="C267" i="37"/>
  <c r="G267" i="37"/>
  <c r="A268" i="37"/>
  <c r="B268" i="37"/>
  <c r="C268" i="37"/>
  <c r="G268" i="37"/>
  <c r="A269" i="37"/>
  <c r="B269" i="37"/>
  <c r="C269" i="37"/>
  <c r="G269" i="37"/>
  <c r="A270" i="37"/>
  <c r="B270" i="37"/>
  <c r="C270" i="37"/>
  <c r="G270" i="37"/>
  <c r="A271" i="37"/>
  <c r="B271" i="37"/>
  <c r="C271" i="37"/>
  <c r="G271" i="37"/>
  <c r="A272" i="37"/>
  <c r="B272" i="37"/>
  <c r="C272" i="37"/>
  <c r="G272" i="37"/>
  <c r="A273" i="37"/>
  <c r="B273" i="37"/>
  <c r="C273" i="37"/>
  <c r="G273" i="37"/>
  <c r="A274" i="37"/>
  <c r="B274" i="37"/>
  <c r="C274" i="37"/>
  <c r="G274" i="37"/>
  <c r="A275" i="37"/>
  <c r="B275" i="37"/>
  <c r="C275" i="37"/>
  <c r="G275" i="37"/>
  <c r="A276" i="37"/>
  <c r="B276" i="37"/>
  <c r="C276" i="37"/>
  <c r="G276" i="37"/>
  <c r="A277" i="37"/>
  <c r="B277" i="37"/>
  <c r="C277" i="37"/>
  <c r="G277" i="37"/>
  <c r="A278" i="37"/>
  <c r="B278" i="37"/>
  <c r="C278" i="37"/>
  <c r="G278" i="37"/>
  <c r="A279" i="37"/>
  <c r="B279" i="37"/>
  <c r="C279" i="37"/>
  <c r="G279" i="37"/>
  <c r="A280" i="37"/>
  <c r="B280" i="37"/>
  <c r="C280" i="37"/>
  <c r="G280" i="37"/>
  <c r="A281" i="37"/>
  <c r="B281" i="37"/>
  <c r="C281" i="37"/>
  <c r="G281" i="37"/>
  <c r="A282" i="37"/>
  <c r="B282" i="37"/>
  <c r="C282" i="37"/>
  <c r="G282" i="37"/>
  <c r="A283" i="37"/>
  <c r="B283" i="37"/>
  <c r="C283" i="37"/>
  <c r="G283" i="37"/>
  <c r="A284" i="37"/>
  <c r="B284" i="37"/>
  <c r="C284" i="37"/>
  <c r="G284" i="37"/>
  <c r="A285" i="37"/>
  <c r="B285" i="37"/>
  <c r="C285" i="37"/>
  <c r="G285" i="37"/>
  <c r="A286" i="37"/>
  <c r="B286" i="37"/>
  <c r="C286" i="37"/>
  <c r="G286" i="37"/>
  <c r="A287" i="37"/>
  <c r="B287" i="37"/>
  <c r="C287" i="37"/>
  <c r="G287" i="37"/>
  <c r="A288" i="37"/>
  <c r="B288" i="37"/>
  <c r="C288" i="37"/>
  <c r="G288" i="37"/>
  <c r="A289" i="37"/>
  <c r="B289" i="37"/>
  <c r="C289" i="37"/>
  <c r="G289" i="37"/>
  <c r="A290" i="37"/>
  <c r="B290" i="37"/>
  <c r="C290" i="37"/>
  <c r="G290" i="37"/>
  <c r="A291" i="37"/>
  <c r="B291" i="37"/>
  <c r="C291" i="37"/>
  <c r="G291" i="37"/>
  <c r="A292" i="37"/>
  <c r="B292" i="37"/>
  <c r="C292" i="37"/>
  <c r="G292" i="37"/>
  <c r="A293" i="37"/>
  <c r="B293" i="37"/>
  <c r="C293" i="37"/>
  <c r="G293" i="37"/>
  <c r="A294" i="37"/>
  <c r="B294" i="37"/>
  <c r="C294" i="37"/>
  <c r="G294" i="37"/>
  <c r="A295" i="37"/>
  <c r="B295" i="37"/>
  <c r="C295" i="37"/>
  <c r="G295" i="37"/>
  <c r="A296" i="37"/>
  <c r="B296" i="37"/>
  <c r="C296" i="37"/>
  <c r="G296" i="37"/>
  <c r="A297" i="37"/>
  <c r="B297" i="37"/>
  <c r="C297" i="37"/>
  <c r="G297" i="37"/>
  <c r="A298" i="37"/>
  <c r="B298" i="37"/>
  <c r="C298" i="37"/>
  <c r="G298" i="37"/>
  <c r="A299" i="37"/>
  <c r="B299" i="37"/>
  <c r="C299" i="37"/>
  <c r="G299" i="37"/>
  <c r="A300" i="37"/>
  <c r="B300" i="37"/>
  <c r="C300" i="37"/>
  <c r="G300" i="37"/>
  <c r="A301" i="37"/>
  <c r="B301" i="37"/>
  <c r="C301" i="37"/>
  <c r="G301" i="37"/>
  <c r="A302" i="37"/>
  <c r="B302" i="37"/>
  <c r="C302" i="37"/>
  <c r="G302" i="37"/>
  <c r="A303" i="37"/>
  <c r="B303" i="37"/>
  <c r="C303" i="37"/>
  <c r="G303" i="37"/>
  <c r="A304" i="37"/>
  <c r="B304" i="37"/>
  <c r="C304" i="37"/>
  <c r="G304" i="37"/>
  <c r="A305" i="37"/>
  <c r="B305" i="37"/>
  <c r="C305" i="37"/>
  <c r="G305" i="37"/>
  <c r="A306" i="37"/>
  <c r="B306" i="37"/>
  <c r="C306" i="37"/>
  <c r="G306" i="37"/>
  <c r="A307" i="37"/>
  <c r="B307" i="37"/>
  <c r="C307" i="37"/>
  <c r="G307" i="37"/>
  <c r="A308" i="37"/>
  <c r="B308" i="37"/>
  <c r="C308" i="37"/>
  <c r="G308" i="37"/>
  <c r="A309" i="37"/>
  <c r="B309" i="37"/>
  <c r="C309" i="37"/>
  <c r="G309" i="37"/>
  <c r="A310" i="37"/>
  <c r="B310" i="37"/>
  <c r="C310" i="37"/>
  <c r="G310" i="37"/>
  <c r="A311" i="37"/>
  <c r="B311" i="37"/>
  <c r="C311" i="37"/>
  <c r="G311" i="37"/>
  <c r="A312" i="37"/>
  <c r="B312" i="37"/>
  <c r="C312" i="37"/>
  <c r="G312" i="37"/>
  <c r="A9" i="36"/>
  <c r="B9" i="36"/>
  <c r="C9" i="36"/>
  <c r="A10" i="36"/>
  <c r="B10" i="36"/>
  <c r="C10" i="36"/>
  <c r="A11" i="36"/>
  <c r="B11" i="36"/>
  <c r="C11" i="36"/>
  <c r="A12" i="36"/>
  <c r="B12" i="36"/>
  <c r="C12" i="36"/>
  <c r="A13" i="36"/>
  <c r="B13" i="36"/>
  <c r="C13" i="36"/>
  <c r="A14" i="36"/>
  <c r="B14" i="36"/>
  <c r="C14" i="36"/>
  <c r="A15" i="36"/>
  <c r="B15" i="36"/>
  <c r="C15" i="36"/>
  <c r="A16" i="36"/>
  <c r="B16" i="36"/>
  <c r="C16" i="36"/>
  <c r="A17" i="36"/>
  <c r="B17" i="36"/>
  <c r="C17" i="36"/>
  <c r="A18" i="36"/>
  <c r="B18" i="36"/>
  <c r="C18" i="36"/>
  <c r="A19" i="36"/>
  <c r="B19" i="36"/>
  <c r="C19" i="36"/>
  <c r="A20" i="36"/>
  <c r="B20" i="36"/>
  <c r="C20" i="36"/>
  <c r="A21" i="36"/>
  <c r="B21" i="36"/>
  <c r="C21" i="36"/>
  <c r="A22" i="36"/>
  <c r="B22" i="36"/>
  <c r="C22" i="36"/>
  <c r="A23" i="36"/>
  <c r="B23" i="36"/>
  <c r="C23" i="36"/>
  <c r="A24" i="36"/>
  <c r="B24" i="36"/>
  <c r="C24" i="36"/>
  <c r="A25" i="36"/>
  <c r="B25" i="36"/>
  <c r="C25" i="36"/>
  <c r="A26" i="36"/>
  <c r="B26" i="36"/>
  <c r="C26" i="36"/>
  <c r="A27" i="36"/>
  <c r="B27" i="36"/>
  <c r="C27" i="36"/>
  <c r="A28" i="36"/>
  <c r="B28" i="36"/>
  <c r="C28" i="36"/>
  <c r="A29" i="36"/>
  <c r="B29" i="36"/>
  <c r="C29" i="36"/>
  <c r="A30" i="36"/>
  <c r="B30" i="36"/>
  <c r="C30" i="36"/>
  <c r="A31" i="36"/>
  <c r="B31" i="36"/>
  <c r="C31" i="36"/>
  <c r="A32" i="36"/>
  <c r="B32" i="36"/>
  <c r="C32" i="36"/>
  <c r="A33" i="36"/>
  <c r="B33" i="36"/>
  <c r="C33" i="36"/>
  <c r="A34" i="36"/>
  <c r="B34" i="36"/>
  <c r="C34" i="36"/>
  <c r="A35" i="36"/>
  <c r="B35" i="36"/>
  <c r="C35" i="36"/>
  <c r="A36" i="36"/>
  <c r="B36" i="36"/>
  <c r="C36" i="36"/>
  <c r="A37" i="36"/>
  <c r="B37" i="36"/>
  <c r="C37" i="36"/>
  <c r="A38" i="36"/>
  <c r="B38" i="36"/>
  <c r="C38" i="36"/>
  <c r="A39" i="36"/>
  <c r="B39" i="36"/>
  <c r="C39" i="36"/>
  <c r="A40" i="36"/>
  <c r="B40" i="36"/>
  <c r="C40" i="36"/>
  <c r="A41" i="36"/>
  <c r="B41" i="36"/>
  <c r="C41" i="36"/>
  <c r="A42" i="36"/>
  <c r="B42" i="36"/>
  <c r="C42" i="36"/>
  <c r="A43" i="36"/>
  <c r="B43" i="36"/>
  <c r="C43" i="36"/>
  <c r="A44" i="36"/>
  <c r="B44" i="36"/>
  <c r="C44" i="36"/>
  <c r="A45" i="36"/>
  <c r="B45" i="36"/>
  <c r="C45" i="36"/>
  <c r="A46" i="36"/>
  <c r="B46" i="36"/>
  <c r="C46" i="36"/>
  <c r="A47" i="36"/>
  <c r="B47" i="36"/>
  <c r="C47" i="36"/>
  <c r="A48" i="36"/>
  <c r="B48" i="36"/>
  <c r="C48" i="36"/>
  <c r="A49" i="36"/>
  <c r="B49" i="36"/>
  <c r="C49" i="36"/>
  <c r="A50" i="36"/>
  <c r="B50" i="36"/>
  <c r="C50" i="36"/>
  <c r="A51" i="36"/>
  <c r="B51" i="36"/>
  <c r="C51" i="36"/>
  <c r="A52" i="36"/>
  <c r="B52" i="36"/>
  <c r="C52" i="36"/>
  <c r="A53" i="36"/>
  <c r="B53" i="36"/>
  <c r="C53" i="36"/>
  <c r="A54" i="36"/>
  <c r="B54" i="36"/>
  <c r="C54" i="36"/>
  <c r="A55" i="36"/>
  <c r="B55" i="36"/>
  <c r="C55" i="36"/>
  <c r="A56" i="36"/>
  <c r="B56" i="36"/>
  <c r="C56" i="36"/>
  <c r="A57" i="36"/>
  <c r="B57" i="36"/>
  <c r="C57" i="36"/>
  <c r="A58" i="36"/>
  <c r="B58" i="36"/>
  <c r="C58" i="36"/>
  <c r="A59" i="36"/>
  <c r="B59" i="36"/>
  <c r="C59" i="36"/>
  <c r="A60" i="36"/>
  <c r="B60" i="36"/>
  <c r="C60" i="36"/>
  <c r="A61" i="36"/>
  <c r="B61" i="36"/>
  <c r="C61" i="36"/>
  <c r="A62" i="36"/>
  <c r="B62" i="36"/>
  <c r="C62" i="36"/>
  <c r="A63" i="36"/>
  <c r="B63" i="36"/>
  <c r="C63" i="36"/>
  <c r="A64" i="36"/>
  <c r="B64" i="36"/>
  <c r="C64" i="36"/>
  <c r="A65" i="36"/>
  <c r="B65" i="36"/>
  <c r="C65" i="36"/>
  <c r="A66" i="36"/>
  <c r="B66" i="36"/>
  <c r="C66" i="36"/>
  <c r="A67" i="36"/>
  <c r="B67" i="36"/>
  <c r="C67" i="36"/>
  <c r="A68" i="36"/>
  <c r="B68" i="36"/>
  <c r="C68" i="36"/>
  <c r="A69" i="36"/>
  <c r="B69" i="36"/>
  <c r="C69" i="36"/>
  <c r="A70" i="36"/>
  <c r="B70" i="36"/>
  <c r="C70" i="36"/>
  <c r="A71" i="36"/>
  <c r="B71" i="36"/>
  <c r="C71" i="36"/>
  <c r="A72" i="36"/>
  <c r="B72" i="36"/>
  <c r="C72" i="36"/>
  <c r="A73" i="36"/>
  <c r="B73" i="36"/>
  <c r="C73" i="36"/>
  <c r="A74" i="36"/>
  <c r="B74" i="36"/>
  <c r="C74" i="36"/>
  <c r="A75" i="36"/>
  <c r="B75" i="36"/>
  <c r="C75" i="36"/>
  <c r="A76" i="36"/>
  <c r="B76" i="36"/>
  <c r="C76" i="36"/>
  <c r="A77" i="36"/>
  <c r="B77" i="36"/>
  <c r="C77" i="36"/>
  <c r="A78" i="36"/>
  <c r="B78" i="36"/>
  <c r="C78" i="36"/>
  <c r="A79" i="36"/>
  <c r="B79" i="36"/>
  <c r="C79" i="36"/>
  <c r="A80" i="36"/>
  <c r="B80" i="36"/>
  <c r="C80" i="36"/>
  <c r="A81" i="36"/>
  <c r="B81" i="36"/>
  <c r="C81" i="36"/>
  <c r="A82" i="36"/>
  <c r="B82" i="36"/>
  <c r="C82" i="36"/>
  <c r="A83" i="36"/>
  <c r="B83" i="36"/>
  <c r="C83" i="36"/>
  <c r="A84" i="36"/>
  <c r="B84" i="36"/>
  <c r="C84" i="36"/>
  <c r="A85" i="36"/>
  <c r="B85" i="36"/>
  <c r="C85" i="36"/>
  <c r="A86" i="36"/>
  <c r="B86" i="36"/>
  <c r="C86" i="36"/>
  <c r="A87" i="36"/>
  <c r="B87" i="36"/>
  <c r="C87" i="36"/>
  <c r="A88" i="36"/>
  <c r="B88" i="36"/>
  <c r="C88" i="36"/>
  <c r="A89" i="36"/>
  <c r="B89" i="36"/>
  <c r="C89" i="36"/>
  <c r="A90" i="36"/>
  <c r="B90" i="36"/>
  <c r="C90" i="36"/>
  <c r="A91" i="36"/>
  <c r="B91" i="36"/>
  <c r="C91" i="36"/>
  <c r="A92" i="36"/>
  <c r="B92" i="36"/>
  <c r="C92" i="36"/>
  <c r="A93" i="36"/>
  <c r="B93" i="36"/>
  <c r="C93" i="36"/>
  <c r="A94" i="36"/>
  <c r="B94" i="36"/>
  <c r="C94" i="36"/>
  <c r="A95" i="36"/>
  <c r="B95" i="36"/>
  <c r="C95" i="36"/>
  <c r="A96" i="36"/>
  <c r="B96" i="36"/>
  <c r="C96" i="36"/>
  <c r="A97" i="36"/>
  <c r="B97" i="36"/>
  <c r="C97" i="36"/>
  <c r="A98" i="36"/>
  <c r="B98" i="36"/>
  <c r="C98" i="36"/>
  <c r="A99" i="36"/>
  <c r="B99" i="36"/>
  <c r="C99" i="36"/>
  <c r="A100" i="36"/>
  <c r="B100" i="36"/>
  <c r="C100" i="36"/>
  <c r="A101" i="36"/>
  <c r="B101" i="36"/>
  <c r="C101" i="36"/>
  <c r="A102" i="36"/>
  <c r="B102" i="36"/>
  <c r="C102" i="36"/>
  <c r="A103" i="36"/>
  <c r="B103" i="36"/>
  <c r="C103" i="36"/>
  <c r="A104" i="36"/>
  <c r="B104" i="36"/>
  <c r="C104" i="36"/>
  <c r="A105" i="36"/>
  <c r="B105" i="36"/>
  <c r="C105" i="36"/>
  <c r="A106" i="36"/>
  <c r="B106" i="36"/>
  <c r="C106" i="36"/>
  <c r="A107" i="36"/>
  <c r="B107" i="36"/>
  <c r="C107" i="36"/>
  <c r="A108" i="36"/>
  <c r="B108" i="36"/>
  <c r="C108" i="36"/>
  <c r="A109" i="36"/>
  <c r="B109" i="36"/>
  <c r="C109" i="36"/>
  <c r="A110" i="36"/>
  <c r="B110" i="36"/>
  <c r="C110" i="36"/>
  <c r="A111" i="36"/>
  <c r="B111" i="36"/>
  <c r="C111" i="36"/>
  <c r="A112" i="36"/>
  <c r="B112" i="36"/>
  <c r="C112" i="36"/>
  <c r="A113" i="36"/>
  <c r="B113" i="36"/>
  <c r="C113" i="36"/>
  <c r="A114" i="36"/>
  <c r="B114" i="36"/>
  <c r="C114" i="36"/>
  <c r="A115" i="36"/>
  <c r="B115" i="36"/>
  <c r="C115" i="36"/>
  <c r="A116" i="36"/>
  <c r="B116" i="36"/>
  <c r="C116" i="36"/>
  <c r="A117" i="36"/>
  <c r="B117" i="36"/>
  <c r="C117" i="36"/>
  <c r="A118" i="36"/>
  <c r="B118" i="36"/>
  <c r="C118" i="36"/>
  <c r="A119" i="36"/>
  <c r="B119" i="36"/>
  <c r="C119" i="36"/>
  <c r="A120" i="36"/>
  <c r="B120" i="36"/>
  <c r="C120" i="36"/>
  <c r="A121" i="36"/>
  <c r="B121" i="36"/>
  <c r="C121" i="36"/>
  <c r="A122" i="36"/>
  <c r="B122" i="36"/>
  <c r="C122" i="36"/>
  <c r="A123" i="36"/>
  <c r="B123" i="36"/>
  <c r="C123" i="36"/>
  <c r="A124" i="36"/>
  <c r="B124" i="36"/>
  <c r="C124" i="36"/>
  <c r="A125" i="36"/>
  <c r="B125" i="36"/>
  <c r="C125" i="36"/>
  <c r="A126" i="36"/>
  <c r="B126" i="36"/>
  <c r="C126" i="36"/>
  <c r="A127" i="36"/>
  <c r="B127" i="36"/>
  <c r="C127" i="36"/>
  <c r="A128" i="36"/>
  <c r="B128" i="36"/>
  <c r="C128" i="36"/>
  <c r="A129" i="36"/>
  <c r="B129" i="36"/>
  <c r="C129" i="36"/>
  <c r="A130" i="36"/>
  <c r="B130" i="36"/>
  <c r="C130" i="36"/>
  <c r="A131" i="36"/>
  <c r="B131" i="36"/>
  <c r="C131" i="36"/>
  <c r="A132" i="36"/>
  <c r="B132" i="36"/>
  <c r="C132" i="36"/>
  <c r="A133" i="36"/>
  <c r="B133" i="36"/>
  <c r="C133" i="36"/>
  <c r="A134" i="36"/>
  <c r="B134" i="36"/>
  <c r="C134" i="36"/>
  <c r="A135" i="36"/>
  <c r="B135" i="36"/>
  <c r="C135" i="36"/>
  <c r="A136" i="36"/>
  <c r="B136" i="36"/>
  <c r="C136" i="36"/>
  <c r="A137" i="36"/>
  <c r="B137" i="36"/>
  <c r="C137" i="36"/>
  <c r="A138" i="36"/>
  <c r="B138" i="36"/>
  <c r="C138" i="36"/>
  <c r="A139" i="36"/>
  <c r="B139" i="36"/>
  <c r="C139" i="36"/>
  <c r="A140" i="36"/>
  <c r="B140" i="36"/>
  <c r="C140" i="36"/>
  <c r="A141" i="36"/>
  <c r="B141" i="36"/>
  <c r="C141" i="36"/>
  <c r="A142" i="36"/>
  <c r="B142" i="36"/>
  <c r="C142" i="36"/>
  <c r="A143" i="36"/>
  <c r="B143" i="36"/>
  <c r="C143" i="36"/>
  <c r="A144" i="36"/>
  <c r="B144" i="36"/>
  <c r="C144" i="36"/>
  <c r="A145" i="36"/>
  <c r="B145" i="36"/>
  <c r="C145" i="36"/>
  <c r="A146" i="36"/>
  <c r="B146" i="36"/>
  <c r="C146" i="36"/>
  <c r="A147" i="36"/>
  <c r="B147" i="36"/>
  <c r="C147" i="36"/>
  <c r="A148" i="36"/>
  <c r="B148" i="36"/>
  <c r="C148" i="36"/>
  <c r="A149" i="36"/>
  <c r="B149" i="36"/>
  <c r="C149" i="36"/>
  <c r="A150" i="36"/>
  <c r="B150" i="36"/>
  <c r="C150" i="36"/>
  <c r="A151" i="36"/>
  <c r="B151" i="36"/>
  <c r="C151" i="36"/>
  <c r="A152" i="36"/>
  <c r="B152" i="36"/>
  <c r="C152" i="36"/>
  <c r="A153" i="36"/>
  <c r="B153" i="36"/>
  <c r="C153" i="36"/>
  <c r="A154" i="36"/>
  <c r="B154" i="36"/>
  <c r="C154" i="36"/>
  <c r="A155" i="36"/>
  <c r="B155" i="36"/>
  <c r="C155" i="36"/>
  <c r="A156" i="36"/>
  <c r="B156" i="36"/>
  <c r="C156" i="36"/>
  <c r="A157" i="36"/>
  <c r="B157" i="36"/>
  <c r="C157" i="36"/>
  <c r="A158" i="36"/>
  <c r="B158" i="36"/>
  <c r="C158" i="36"/>
  <c r="A159" i="36"/>
  <c r="B159" i="36"/>
  <c r="C159" i="36"/>
  <c r="A160" i="36"/>
  <c r="B160" i="36"/>
  <c r="C160" i="36"/>
  <c r="A161" i="36"/>
  <c r="B161" i="36"/>
  <c r="C161" i="36"/>
  <c r="A162" i="36"/>
  <c r="B162" i="36"/>
  <c r="C162" i="36"/>
  <c r="A163" i="36"/>
  <c r="B163" i="36"/>
  <c r="C163" i="36"/>
  <c r="A164" i="36"/>
  <c r="B164" i="36"/>
  <c r="C164" i="36"/>
  <c r="A165" i="36"/>
  <c r="B165" i="36"/>
  <c r="C165" i="36"/>
  <c r="A166" i="36"/>
  <c r="B166" i="36"/>
  <c r="C166" i="36"/>
  <c r="A167" i="36"/>
  <c r="B167" i="36"/>
  <c r="C167" i="36"/>
  <c r="A168" i="36"/>
  <c r="B168" i="36"/>
  <c r="C168" i="36"/>
  <c r="A169" i="36"/>
  <c r="B169" i="36"/>
  <c r="C169" i="36"/>
  <c r="A170" i="36"/>
  <c r="B170" i="36"/>
  <c r="C170" i="36"/>
  <c r="A171" i="36"/>
  <c r="B171" i="36"/>
  <c r="C171" i="36"/>
  <c r="A172" i="36"/>
  <c r="B172" i="36"/>
  <c r="C172" i="36"/>
  <c r="A173" i="36"/>
  <c r="B173" i="36"/>
  <c r="C173" i="36"/>
  <c r="A174" i="36"/>
  <c r="B174" i="36"/>
  <c r="C174" i="36"/>
  <c r="A175" i="36"/>
  <c r="B175" i="36"/>
  <c r="C175" i="36"/>
  <c r="A176" i="36"/>
  <c r="B176" i="36"/>
  <c r="C176" i="36"/>
  <c r="A177" i="36"/>
  <c r="B177" i="36"/>
  <c r="C177" i="36"/>
  <c r="A178" i="36"/>
  <c r="B178" i="36"/>
  <c r="C178" i="36"/>
  <c r="A179" i="36"/>
  <c r="B179" i="36"/>
  <c r="C179" i="36"/>
  <c r="A180" i="36"/>
  <c r="B180" i="36"/>
  <c r="C180" i="36"/>
  <c r="A181" i="36"/>
  <c r="B181" i="36"/>
  <c r="C181" i="36"/>
  <c r="A182" i="36"/>
  <c r="B182" i="36"/>
  <c r="C182" i="36"/>
  <c r="A183" i="36"/>
  <c r="B183" i="36"/>
  <c r="C183" i="36"/>
  <c r="A184" i="36"/>
  <c r="B184" i="36"/>
  <c r="C184" i="36"/>
  <c r="A185" i="36"/>
  <c r="B185" i="36"/>
  <c r="C185" i="36"/>
  <c r="A186" i="36"/>
  <c r="B186" i="36"/>
  <c r="C186" i="36"/>
  <c r="A187" i="36"/>
  <c r="B187" i="36"/>
  <c r="C187" i="36"/>
  <c r="A188" i="36"/>
  <c r="B188" i="36"/>
  <c r="C188" i="36"/>
  <c r="A189" i="36"/>
  <c r="B189" i="36"/>
  <c r="C189" i="36"/>
  <c r="A190" i="36"/>
  <c r="B190" i="36"/>
  <c r="C190" i="36"/>
  <c r="A191" i="36"/>
  <c r="B191" i="36"/>
  <c r="C191" i="36"/>
  <c r="A192" i="36"/>
  <c r="B192" i="36"/>
  <c r="C192" i="36"/>
  <c r="A193" i="36"/>
  <c r="B193" i="36"/>
  <c r="C193" i="36"/>
  <c r="A194" i="36"/>
  <c r="B194" i="36"/>
  <c r="C194" i="36"/>
  <c r="A195" i="36"/>
  <c r="B195" i="36"/>
  <c r="C195" i="36"/>
  <c r="A196" i="36"/>
  <c r="B196" i="36"/>
  <c r="C196" i="36"/>
  <c r="A197" i="36"/>
  <c r="B197" i="36"/>
  <c r="C197" i="36"/>
  <c r="A198" i="36"/>
  <c r="B198" i="36"/>
  <c r="C198" i="36"/>
  <c r="A199" i="36"/>
  <c r="B199" i="36"/>
  <c r="C199" i="36"/>
  <c r="A200" i="36"/>
  <c r="B200" i="36"/>
  <c r="C200" i="36"/>
  <c r="A201" i="36"/>
  <c r="B201" i="36"/>
  <c r="C201" i="36"/>
  <c r="A202" i="36"/>
  <c r="B202" i="36"/>
  <c r="C202" i="36"/>
  <c r="A203" i="36"/>
  <c r="B203" i="36"/>
  <c r="C203" i="36"/>
  <c r="A204" i="36"/>
  <c r="B204" i="36"/>
  <c r="C204" i="36"/>
  <c r="A205" i="36"/>
  <c r="B205" i="36"/>
  <c r="C205" i="36"/>
  <c r="A206" i="36"/>
  <c r="B206" i="36"/>
  <c r="C206" i="36"/>
  <c r="A207" i="36"/>
  <c r="B207" i="36"/>
  <c r="C207" i="36"/>
  <c r="A208" i="36"/>
  <c r="B208" i="36"/>
  <c r="C208" i="36"/>
  <c r="A209" i="36"/>
  <c r="B209" i="36"/>
  <c r="C209" i="36"/>
  <c r="A210" i="36"/>
  <c r="B210" i="36"/>
  <c r="C210" i="36"/>
  <c r="A211" i="36"/>
  <c r="B211" i="36"/>
  <c r="C211" i="36"/>
  <c r="A212" i="36"/>
  <c r="B212" i="36"/>
  <c r="C212" i="36"/>
  <c r="A213" i="36"/>
  <c r="B213" i="36"/>
  <c r="C213" i="36"/>
  <c r="A214" i="36"/>
  <c r="B214" i="36"/>
  <c r="C214" i="36"/>
  <c r="A215" i="36"/>
  <c r="B215" i="36"/>
  <c r="C215" i="36"/>
  <c r="A216" i="36"/>
  <c r="B216" i="36"/>
  <c r="C216" i="36"/>
  <c r="A217" i="36"/>
  <c r="B217" i="36"/>
  <c r="C217" i="36"/>
  <c r="A218" i="36"/>
  <c r="B218" i="36"/>
  <c r="C218" i="36"/>
  <c r="A219" i="36"/>
  <c r="B219" i="36"/>
  <c r="C219" i="36"/>
  <c r="A220" i="36"/>
  <c r="B220" i="36"/>
  <c r="C220" i="36"/>
  <c r="A221" i="36"/>
  <c r="B221" i="36"/>
  <c r="C221" i="36"/>
  <c r="A222" i="36"/>
  <c r="B222" i="36"/>
  <c r="C222" i="36"/>
  <c r="A223" i="36"/>
  <c r="B223" i="36"/>
  <c r="C223" i="36"/>
  <c r="A224" i="36"/>
  <c r="B224" i="36"/>
  <c r="C224" i="36"/>
  <c r="A225" i="36"/>
  <c r="B225" i="36"/>
  <c r="C225" i="36"/>
  <c r="A226" i="36"/>
  <c r="B226" i="36"/>
  <c r="C226" i="36"/>
  <c r="A227" i="36"/>
  <c r="B227" i="36"/>
  <c r="C227" i="36"/>
  <c r="A228" i="36"/>
  <c r="B228" i="36"/>
  <c r="C228" i="36"/>
  <c r="A229" i="36"/>
  <c r="B229" i="36"/>
  <c r="C229" i="36"/>
  <c r="A230" i="36"/>
  <c r="B230" i="36"/>
  <c r="C230" i="36"/>
  <c r="A231" i="36"/>
  <c r="B231" i="36"/>
  <c r="C231" i="36"/>
  <c r="A232" i="36"/>
  <c r="B232" i="36"/>
  <c r="C232" i="36"/>
  <c r="A233" i="36"/>
  <c r="B233" i="36"/>
  <c r="C233" i="36"/>
  <c r="A234" i="36"/>
  <c r="B234" i="36"/>
  <c r="C234" i="36"/>
  <c r="A235" i="36"/>
  <c r="B235" i="36"/>
  <c r="C235" i="36"/>
  <c r="A236" i="36"/>
  <c r="B236" i="36"/>
  <c r="C236" i="36"/>
  <c r="A237" i="36"/>
  <c r="B237" i="36"/>
  <c r="C237" i="36"/>
  <c r="A238" i="36"/>
  <c r="B238" i="36"/>
  <c r="C238" i="36"/>
  <c r="A239" i="36"/>
  <c r="B239" i="36"/>
  <c r="C239" i="36"/>
  <c r="A240" i="36"/>
  <c r="B240" i="36"/>
  <c r="C240" i="36"/>
  <c r="A241" i="36"/>
  <c r="B241" i="36"/>
  <c r="C241" i="36"/>
  <c r="A242" i="36"/>
  <c r="B242" i="36"/>
  <c r="C242" i="36"/>
  <c r="A243" i="36"/>
  <c r="B243" i="36"/>
  <c r="C243" i="36"/>
  <c r="A244" i="36"/>
  <c r="B244" i="36"/>
  <c r="C244" i="36"/>
  <c r="A245" i="36"/>
  <c r="B245" i="36"/>
  <c r="C245" i="36"/>
  <c r="A246" i="36"/>
  <c r="B246" i="36"/>
  <c r="C246" i="36"/>
  <c r="A247" i="36"/>
  <c r="B247" i="36"/>
  <c r="C247" i="36"/>
  <c r="A248" i="36"/>
  <c r="B248" i="36"/>
  <c r="C248" i="36"/>
  <c r="A249" i="36"/>
  <c r="B249" i="36"/>
  <c r="C249" i="36"/>
  <c r="A250" i="36"/>
  <c r="B250" i="36"/>
  <c r="C250" i="36"/>
  <c r="A251" i="36"/>
  <c r="B251" i="36"/>
  <c r="C251" i="36"/>
  <c r="A252" i="36"/>
  <c r="B252" i="36"/>
  <c r="C252" i="36"/>
  <c r="A253" i="36"/>
  <c r="B253" i="36"/>
  <c r="C253" i="36"/>
  <c r="A254" i="36"/>
  <c r="B254" i="36"/>
  <c r="C254" i="36"/>
  <c r="A255" i="36"/>
  <c r="B255" i="36"/>
  <c r="C255" i="36"/>
  <c r="A256" i="36"/>
  <c r="B256" i="36"/>
  <c r="C256" i="36"/>
  <c r="A257" i="36"/>
  <c r="B257" i="36"/>
  <c r="C257" i="36"/>
  <c r="A258" i="36"/>
  <c r="B258" i="36"/>
  <c r="C258" i="36"/>
  <c r="A259" i="36"/>
  <c r="B259" i="36"/>
  <c r="C259" i="36"/>
  <c r="A260" i="36"/>
  <c r="B260" i="36"/>
  <c r="C260" i="36"/>
  <c r="A261" i="36"/>
  <c r="B261" i="36"/>
  <c r="C261" i="36"/>
  <c r="A262" i="36"/>
  <c r="B262" i="36"/>
  <c r="C262" i="36"/>
  <c r="A263" i="36"/>
  <c r="B263" i="36"/>
  <c r="C263" i="36"/>
  <c r="A264" i="36"/>
  <c r="B264" i="36"/>
  <c r="C264" i="36"/>
  <c r="A265" i="36"/>
  <c r="B265" i="36"/>
  <c r="C265" i="36"/>
  <c r="A266" i="36"/>
  <c r="B266" i="36"/>
  <c r="C266" i="36"/>
  <c r="A267" i="36"/>
  <c r="B267" i="36"/>
  <c r="C267" i="36"/>
  <c r="A268" i="36"/>
  <c r="B268" i="36"/>
  <c r="C268" i="36"/>
  <c r="A269" i="36"/>
  <c r="B269" i="36"/>
  <c r="C269" i="36"/>
  <c r="A270" i="36"/>
  <c r="B270" i="36"/>
  <c r="C270" i="36"/>
  <c r="A271" i="36"/>
  <c r="B271" i="36"/>
  <c r="C271" i="36"/>
  <c r="A272" i="36"/>
  <c r="B272" i="36"/>
  <c r="C272" i="36"/>
  <c r="A273" i="36"/>
  <c r="B273" i="36"/>
  <c r="C273" i="36"/>
  <c r="A274" i="36"/>
  <c r="B274" i="36"/>
  <c r="C274" i="36"/>
  <c r="A275" i="36"/>
  <c r="B275" i="36"/>
  <c r="C275" i="36"/>
  <c r="A276" i="36"/>
  <c r="B276" i="36"/>
  <c r="C276" i="36"/>
  <c r="A277" i="36"/>
  <c r="B277" i="36"/>
  <c r="C277" i="36"/>
  <c r="A278" i="36"/>
  <c r="B278" i="36"/>
  <c r="C278" i="36"/>
  <c r="A279" i="36"/>
  <c r="B279" i="36"/>
  <c r="C279" i="36"/>
  <c r="A280" i="36"/>
  <c r="B280" i="36"/>
  <c r="C280" i="36"/>
  <c r="A281" i="36"/>
  <c r="B281" i="36"/>
  <c r="C281" i="36"/>
  <c r="A282" i="36"/>
  <c r="B282" i="36"/>
  <c r="C282" i="36"/>
  <c r="A283" i="36"/>
  <c r="B283" i="36"/>
  <c r="C283" i="36"/>
  <c r="A284" i="36"/>
  <c r="B284" i="36"/>
  <c r="C284" i="36"/>
  <c r="A285" i="36"/>
  <c r="B285" i="36"/>
  <c r="C285" i="36"/>
  <c r="A286" i="36"/>
  <c r="B286" i="36"/>
  <c r="C286" i="36"/>
  <c r="A287" i="36"/>
  <c r="B287" i="36"/>
  <c r="C287" i="36"/>
  <c r="A288" i="36"/>
  <c r="B288" i="36"/>
  <c r="C288" i="36"/>
  <c r="A289" i="36"/>
  <c r="B289" i="36"/>
  <c r="C289" i="36"/>
  <c r="A290" i="36"/>
  <c r="B290" i="36"/>
  <c r="C290" i="36"/>
  <c r="A291" i="36"/>
  <c r="B291" i="36"/>
  <c r="C291" i="36"/>
  <c r="A292" i="36"/>
  <c r="B292" i="36"/>
  <c r="C292" i="36"/>
  <c r="A293" i="36"/>
  <c r="B293" i="36"/>
  <c r="C293" i="36"/>
  <c r="A294" i="36"/>
  <c r="B294" i="36"/>
  <c r="C294" i="36"/>
  <c r="A295" i="36"/>
  <c r="B295" i="36"/>
  <c r="C295" i="36"/>
  <c r="A296" i="36"/>
  <c r="B296" i="36"/>
  <c r="C296" i="36"/>
  <c r="A297" i="36"/>
  <c r="B297" i="36"/>
  <c r="C297" i="36"/>
  <c r="A298" i="36"/>
  <c r="B298" i="36"/>
  <c r="C298" i="36"/>
  <c r="A299" i="36"/>
  <c r="B299" i="36"/>
  <c r="C299" i="36"/>
  <c r="A300" i="36"/>
  <c r="B300" i="36"/>
  <c r="C300" i="36"/>
  <c r="A301" i="36"/>
  <c r="B301" i="36"/>
  <c r="C301" i="36"/>
  <c r="A302" i="36"/>
  <c r="B302" i="36"/>
  <c r="C302" i="36"/>
  <c r="A303" i="36"/>
  <c r="B303" i="36"/>
  <c r="C303" i="36"/>
  <c r="A304" i="36"/>
  <c r="B304" i="36"/>
  <c r="C304" i="36"/>
  <c r="A305" i="36"/>
  <c r="B305" i="36"/>
  <c r="C305" i="36"/>
  <c r="A306" i="36"/>
  <c r="B306" i="36"/>
  <c r="C306" i="36"/>
  <c r="A307" i="36"/>
  <c r="B307" i="36"/>
  <c r="C307" i="36"/>
  <c r="A308" i="36"/>
  <c r="B308" i="36"/>
  <c r="C308" i="36"/>
  <c r="A309" i="36"/>
  <c r="B309" i="36"/>
  <c r="C309" i="36"/>
  <c r="A310" i="36"/>
  <c r="B310" i="36"/>
  <c r="C310" i="36"/>
  <c r="A311" i="36"/>
  <c r="B311" i="36"/>
  <c r="C311" i="36"/>
  <c r="A312" i="36"/>
  <c r="B312" i="36"/>
  <c r="C312" i="36"/>
  <c r="A313" i="36"/>
  <c r="B313" i="36"/>
  <c r="C313" i="36"/>
  <c r="A314" i="36"/>
  <c r="B314" i="36"/>
  <c r="C314" i="36"/>
  <c r="A315" i="36"/>
  <c r="B315" i="36"/>
  <c r="C315" i="36"/>
  <c r="A12" i="9"/>
  <c r="B12" i="9"/>
  <c r="C12" i="9"/>
  <c r="A13" i="9"/>
  <c r="B13" i="9"/>
  <c r="C13" i="9"/>
  <c r="A14" i="9"/>
  <c r="B14" i="9"/>
  <c r="C14" i="9"/>
  <c r="A15" i="9"/>
  <c r="B15" i="9"/>
  <c r="C15" i="9"/>
  <c r="A16" i="9"/>
  <c r="B16" i="9"/>
  <c r="C16" i="9"/>
  <c r="A17" i="9"/>
  <c r="B17" i="9"/>
  <c r="C17" i="9"/>
  <c r="A18" i="9"/>
  <c r="B18" i="9"/>
  <c r="C18" i="9"/>
  <c r="A19" i="9"/>
  <c r="B19" i="9"/>
  <c r="C19" i="9"/>
  <c r="A20" i="9"/>
  <c r="B20" i="9"/>
  <c r="C20" i="9"/>
  <c r="A21" i="9"/>
  <c r="B21" i="9"/>
  <c r="C21" i="9"/>
  <c r="A22" i="9"/>
  <c r="B22" i="9"/>
  <c r="C22" i="9"/>
  <c r="A23" i="9"/>
  <c r="B23" i="9"/>
  <c r="C23" i="9"/>
  <c r="A24" i="9"/>
  <c r="B24" i="9"/>
  <c r="C24" i="9"/>
  <c r="A25" i="9"/>
  <c r="B25" i="9"/>
  <c r="C25" i="9"/>
  <c r="A26" i="9"/>
  <c r="B26" i="9"/>
  <c r="C26" i="9"/>
  <c r="A27" i="9"/>
  <c r="B27" i="9"/>
  <c r="C27" i="9"/>
  <c r="A28" i="9"/>
  <c r="B28" i="9"/>
  <c r="C28" i="9"/>
  <c r="A29" i="9"/>
  <c r="B29" i="9"/>
  <c r="C29" i="9"/>
  <c r="A30" i="9"/>
  <c r="B30" i="9"/>
  <c r="C30" i="9"/>
  <c r="A31" i="9"/>
  <c r="B31" i="9"/>
  <c r="C31" i="9"/>
  <c r="A32" i="9"/>
  <c r="B32" i="9"/>
  <c r="C32" i="9"/>
  <c r="A33" i="9"/>
  <c r="B33" i="9"/>
  <c r="C33" i="9"/>
  <c r="A34" i="9"/>
  <c r="B34" i="9"/>
  <c r="C34" i="9"/>
  <c r="A35" i="9"/>
  <c r="B35" i="9"/>
  <c r="C35" i="9"/>
  <c r="A36" i="9"/>
  <c r="B36" i="9"/>
  <c r="C36" i="9"/>
  <c r="A37" i="9"/>
  <c r="B37" i="9"/>
  <c r="C37" i="9"/>
  <c r="A38" i="9"/>
  <c r="B38" i="9"/>
  <c r="C38" i="9"/>
  <c r="A39" i="9"/>
  <c r="B39" i="9"/>
  <c r="C39" i="9"/>
  <c r="A40" i="9"/>
  <c r="B40" i="9"/>
  <c r="C40" i="9"/>
  <c r="A41" i="9"/>
  <c r="B41" i="9"/>
  <c r="C41" i="9"/>
  <c r="A42" i="9"/>
  <c r="B42" i="9"/>
  <c r="C42" i="9"/>
  <c r="A43" i="9"/>
  <c r="B43" i="9"/>
  <c r="C43" i="9"/>
  <c r="A44" i="9"/>
  <c r="B44" i="9"/>
  <c r="C44" i="9"/>
  <c r="A45" i="9"/>
  <c r="B45" i="9"/>
  <c r="C45" i="9"/>
  <c r="A46" i="9"/>
  <c r="B46" i="9"/>
  <c r="C46" i="9"/>
  <c r="A47" i="9"/>
  <c r="B47" i="9"/>
  <c r="C47" i="9"/>
  <c r="A48" i="9"/>
  <c r="B48" i="9"/>
  <c r="C48" i="9"/>
  <c r="A49" i="9"/>
  <c r="B49" i="9"/>
  <c r="C49" i="9"/>
  <c r="A50" i="9"/>
  <c r="B50" i="9"/>
  <c r="C50" i="9"/>
  <c r="A51" i="9"/>
  <c r="B51" i="9"/>
  <c r="C51" i="9"/>
  <c r="A52" i="9"/>
  <c r="B52" i="9"/>
  <c r="C52" i="9"/>
  <c r="A53" i="9"/>
  <c r="B53" i="9"/>
  <c r="C53" i="9"/>
  <c r="A54" i="9"/>
  <c r="B54" i="9"/>
  <c r="C54" i="9"/>
  <c r="A55" i="9"/>
  <c r="B55" i="9"/>
  <c r="C55" i="9"/>
  <c r="A56" i="9"/>
  <c r="B56" i="9"/>
  <c r="C56" i="9"/>
  <c r="A57" i="9"/>
  <c r="B57" i="9"/>
  <c r="C57" i="9"/>
  <c r="A58" i="9"/>
  <c r="B58" i="9"/>
  <c r="C58" i="9"/>
  <c r="A59" i="9"/>
  <c r="B59" i="9"/>
  <c r="C59" i="9"/>
  <c r="A60" i="9"/>
  <c r="B60" i="9"/>
  <c r="C60" i="9"/>
  <c r="A61" i="9"/>
  <c r="B61" i="9"/>
  <c r="C61" i="9"/>
  <c r="A62" i="9"/>
  <c r="B62" i="9"/>
  <c r="C62" i="9"/>
  <c r="A63" i="9"/>
  <c r="B63" i="9"/>
  <c r="C63" i="9"/>
  <c r="A64" i="9"/>
  <c r="B64" i="9"/>
  <c r="C64" i="9"/>
  <c r="A65" i="9"/>
  <c r="B65" i="9"/>
  <c r="C65" i="9"/>
  <c r="A66" i="9"/>
  <c r="B66" i="9"/>
  <c r="C66" i="9"/>
  <c r="A67" i="9"/>
  <c r="B67" i="9"/>
  <c r="C67" i="9"/>
  <c r="A68" i="9"/>
  <c r="B68" i="9"/>
  <c r="C68" i="9"/>
  <c r="A69" i="9"/>
  <c r="B69" i="9"/>
  <c r="C69" i="9"/>
  <c r="A70" i="9"/>
  <c r="B70" i="9"/>
  <c r="C70" i="9"/>
  <c r="A71" i="9"/>
  <c r="B71" i="9"/>
  <c r="C71" i="9"/>
  <c r="A72" i="9"/>
  <c r="B72" i="9"/>
  <c r="C72" i="9"/>
  <c r="A73" i="9"/>
  <c r="B73" i="9"/>
  <c r="C73" i="9"/>
  <c r="A74" i="9"/>
  <c r="B74" i="9"/>
  <c r="C74" i="9"/>
  <c r="A75" i="9"/>
  <c r="B75" i="9"/>
  <c r="C75" i="9"/>
  <c r="A76" i="9"/>
  <c r="B76" i="9"/>
  <c r="C76" i="9"/>
  <c r="A77" i="9"/>
  <c r="B77" i="9"/>
  <c r="C77" i="9"/>
  <c r="A78" i="9"/>
  <c r="B78" i="9"/>
  <c r="C78" i="9"/>
  <c r="A79" i="9"/>
  <c r="B79" i="9"/>
  <c r="C79" i="9"/>
  <c r="A80" i="9"/>
  <c r="B80" i="9"/>
  <c r="C80" i="9"/>
  <c r="A81" i="9"/>
  <c r="B81" i="9"/>
  <c r="C81" i="9"/>
  <c r="A82" i="9"/>
  <c r="B82" i="9"/>
  <c r="C82" i="9"/>
  <c r="A83" i="9"/>
  <c r="B83" i="9"/>
  <c r="C83" i="9"/>
  <c r="A84" i="9"/>
  <c r="B84" i="9"/>
  <c r="C84" i="9"/>
  <c r="A85" i="9"/>
  <c r="B85" i="9"/>
  <c r="C85" i="9"/>
  <c r="A86" i="9"/>
  <c r="B86" i="9"/>
  <c r="C86" i="9"/>
  <c r="A87" i="9"/>
  <c r="B87" i="9"/>
  <c r="C87" i="9"/>
  <c r="A88" i="9"/>
  <c r="B88" i="9"/>
  <c r="C88" i="9"/>
  <c r="A89" i="9"/>
  <c r="B89" i="9"/>
  <c r="C89" i="9"/>
  <c r="A90" i="9"/>
  <c r="B90" i="9"/>
  <c r="C90" i="9"/>
  <c r="A91" i="9"/>
  <c r="B91" i="9"/>
  <c r="C91" i="9"/>
  <c r="A92" i="9"/>
  <c r="B92" i="9"/>
  <c r="C92" i="9"/>
  <c r="A93" i="9"/>
  <c r="B93" i="9"/>
  <c r="C93" i="9"/>
  <c r="A94" i="9"/>
  <c r="B94" i="9"/>
  <c r="C94" i="9"/>
  <c r="A95" i="9"/>
  <c r="B95" i="9"/>
  <c r="C95" i="9"/>
  <c r="A96" i="9"/>
  <c r="B96" i="9"/>
  <c r="C96" i="9"/>
  <c r="A97" i="9"/>
  <c r="B97" i="9"/>
  <c r="C97" i="9"/>
  <c r="A98" i="9"/>
  <c r="B98" i="9"/>
  <c r="C98" i="9"/>
  <c r="A99" i="9"/>
  <c r="B99" i="9"/>
  <c r="C99" i="9"/>
  <c r="A100" i="9"/>
  <c r="B100" i="9"/>
  <c r="C100" i="9"/>
  <c r="A101" i="9"/>
  <c r="B101" i="9"/>
  <c r="C101" i="9"/>
  <c r="A102" i="9"/>
  <c r="B102" i="9"/>
  <c r="C102" i="9"/>
  <c r="A103" i="9"/>
  <c r="B103" i="9"/>
  <c r="C103" i="9"/>
  <c r="A104" i="9"/>
  <c r="B104" i="9"/>
  <c r="C104" i="9"/>
  <c r="A105" i="9"/>
  <c r="B105" i="9"/>
  <c r="C105" i="9"/>
  <c r="A106" i="9"/>
  <c r="B106" i="9"/>
  <c r="C106" i="9"/>
  <c r="A107" i="9"/>
  <c r="B107" i="9"/>
  <c r="C107" i="9"/>
  <c r="A108" i="9"/>
  <c r="B108" i="9"/>
  <c r="C108" i="9"/>
  <c r="A109" i="9"/>
  <c r="B109" i="9"/>
  <c r="C109" i="9"/>
  <c r="A110" i="9"/>
  <c r="B110" i="9"/>
  <c r="C110" i="9"/>
  <c r="A111" i="9"/>
  <c r="B111" i="9"/>
  <c r="C111" i="9"/>
  <c r="A112" i="9"/>
  <c r="B112" i="9"/>
  <c r="C112" i="9"/>
  <c r="A113" i="9"/>
  <c r="B113" i="9"/>
  <c r="C113" i="9"/>
  <c r="A114" i="9"/>
  <c r="B114" i="9"/>
  <c r="C114" i="9"/>
  <c r="A115" i="9"/>
  <c r="B115" i="9"/>
  <c r="C115" i="9"/>
  <c r="A116" i="9"/>
  <c r="B116" i="9"/>
  <c r="C116" i="9"/>
  <c r="A117" i="9"/>
  <c r="B117" i="9"/>
  <c r="C117" i="9"/>
  <c r="A118" i="9"/>
  <c r="B118" i="9"/>
  <c r="C118" i="9"/>
  <c r="A119" i="9"/>
  <c r="B119" i="9"/>
  <c r="C119" i="9"/>
  <c r="A120" i="9"/>
  <c r="B120" i="9"/>
  <c r="C120" i="9"/>
  <c r="A121" i="9"/>
  <c r="B121" i="9"/>
  <c r="C121" i="9"/>
  <c r="A122" i="9"/>
  <c r="B122" i="9"/>
  <c r="C122" i="9"/>
  <c r="A123" i="9"/>
  <c r="B123" i="9"/>
  <c r="C123" i="9"/>
  <c r="A124" i="9"/>
  <c r="B124" i="9"/>
  <c r="C124" i="9"/>
  <c r="A125" i="9"/>
  <c r="B125" i="9"/>
  <c r="C125" i="9"/>
  <c r="A126" i="9"/>
  <c r="B126" i="9"/>
  <c r="C126" i="9"/>
  <c r="A127" i="9"/>
  <c r="B127" i="9"/>
  <c r="C127" i="9"/>
  <c r="A128" i="9"/>
  <c r="B128" i="9"/>
  <c r="C128" i="9"/>
  <c r="A129" i="9"/>
  <c r="B129" i="9"/>
  <c r="C129" i="9"/>
  <c r="A130" i="9"/>
  <c r="B130" i="9"/>
  <c r="C130" i="9"/>
  <c r="A131" i="9"/>
  <c r="B131" i="9"/>
  <c r="C131" i="9"/>
  <c r="A132" i="9"/>
  <c r="B132" i="9"/>
  <c r="C132" i="9"/>
  <c r="A133" i="9"/>
  <c r="B133" i="9"/>
  <c r="C133" i="9"/>
  <c r="A134" i="9"/>
  <c r="B134" i="9"/>
  <c r="C134" i="9"/>
  <c r="A135" i="9"/>
  <c r="B135" i="9"/>
  <c r="C135" i="9"/>
  <c r="A136" i="9"/>
  <c r="B136" i="9"/>
  <c r="C136" i="9"/>
  <c r="A137" i="9"/>
  <c r="B137" i="9"/>
  <c r="C137" i="9"/>
  <c r="A138" i="9"/>
  <c r="B138" i="9"/>
  <c r="C138" i="9"/>
  <c r="A139" i="9"/>
  <c r="B139" i="9"/>
  <c r="C139" i="9"/>
  <c r="A140" i="9"/>
  <c r="B140" i="9"/>
  <c r="C140" i="9"/>
  <c r="A141" i="9"/>
  <c r="B141" i="9"/>
  <c r="C141" i="9"/>
  <c r="A142" i="9"/>
  <c r="B142" i="9"/>
  <c r="C142" i="9"/>
  <c r="A143" i="9"/>
  <c r="B143" i="9"/>
  <c r="C143" i="9"/>
  <c r="A144" i="9"/>
  <c r="B144" i="9"/>
  <c r="C144" i="9"/>
  <c r="A145" i="9"/>
  <c r="B145" i="9"/>
  <c r="C145" i="9"/>
  <c r="A146" i="9"/>
  <c r="B146" i="9"/>
  <c r="C146" i="9"/>
  <c r="A147" i="9"/>
  <c r="B147" i="9"/>
  <c r="C147" i="9"/>
  <c r="A148" i="9"/>
  <c r="B148" i="9"/>
  <c r="C148" i="9"/>
  <c r="A149" i="9"/>
  <c r="B149" i="9"/>
  <c r="C149" i="9"/>
  <c r="A150" i="9"/>
  <c r="B150" i="9"/>
  <c r="C150" i="9"/>
  <c r="A151" i="9"/>
  <c r="B151" i="9"/>
  <c r="C151" i="9"/>
  <c r="A152" i="9"/>
  <c r="B152" i="9"/>
  <c r="C152" i="9"/>
  <c r="A153" i="9"/>
  <c r="B153" i="9"/>
  <c r="C153" i="9"/>
  <c r="A154" i="9"/>
  <c r="B154" i="9"/>
  <c r="C154" i="9"/>
  <c r="A155" i="9"/>
  <c r="B155" i="9"/>
  <c r="C155" i="9"/>
  <c r="A156" i="9"/>
  <c r="B156" i="9"/>
  <c r="C156" i="9"/>
  <c r="A157" i="9"/>
  <c r="B157" i="9"/>
  <c r="C157" i="9"/>
  <c r="A158" i="9"/>
  <c r="B158" i="9"/>
  <c r="C158" i="9"/>
  <c r="A159" i="9"/>
  <c r="B159" i="9"/>
  <c r="C159" i="9"/>
  <c r="A160" i="9"/>
  <c r="B160" i="9"/>
  <c r="C160" i="9"/>
  <c r="A161" i="9"/>
  <c r="B161" i="9"/>
  <c r="C161" i="9"/>
  <c r="A162" i="9"/>
  <c r="B162" i="9"/>
  <c r="C162" i="9"/>
  <c r="A163" i="9"/>
  <c r="B163" i="9"/>
  <c r="C163" i="9"/>
  <c r="A164" i="9"/>
  <c r="B164" i="9"/>
  <c r="C164" i="9"/>
  <c r="A165" i="9"/>
  <c r="B165" i="9"/>
  <c r="C165" i="9"/>
  <c r="A166" i="9"/>
  <c r="B166" i="9"/>
  <c r="C166" i="9"/>
  <c r="A167" i="9"/>
  <c r="B167" i="9"/>
  <c r="C167" i="9"/>
  <c r="A168" i="9"/>
  <c r="B168" i="9"/>
  <c r="C168" i="9"/>
  <c r="A169" i="9"/>
  <c r="B169" i="9"/>
  <c r="C169" i="9"/>
  <c r="A170" i="9"/>
  <c r="B170" i="9"/>
  <c r="C170" i="9"/>
  <c r="A171" i="9"/>
  <c r="B171" i="9"/>
  <c r="C171" i="9"/>
  <c r="A172" i="9"/>
  <c r="B172" i="9"/>
  <c r="C172" i="9"/>
  <c r="A173" i="9"/>
  <c r="B173" i="9"/>
  <c r="C173" i="9"/>
  <c r="A174" i="9"/>
  <c r="B174" i="9"/>
  <c r="C174" i="9"/>
  <c r="A175" i="9"/>
  <c r="B175" i="9"/>
  <c r="C175" i="9"/>
  <c r="A176" i="9"/>
  <c r="B176" i="9"/>
  <c r="C176" i="9"/>
  <c r="A177" i="9"/>
  <c r="B177" i="9"/>
  <c r="C177" i="9"/>
  <c r="A178" i="9"/>
  <c r="B178" i="9"/>
  <c r="C178" i="9"/>
  <c r="A179" i="9"/>
  <c r="B179" i="9"/>
  <c r="C179" i="9"/>
  <c r="A180" i="9"/>
  <c r="B180" i="9"/>
  <c r="C180" i="9"/>
  <c r="A181" i="9"/>
  <c r="B181" i="9"/>
  <c r="C181" i="9"/>
  <c r="A182" i="9"/>
  <c r="B182" i="9"/>
  <c r="C182" i="9"/>
  <c r="A183" i="9"/>
  <c r="B183" i="9"/>
  <c r="C183" i="9"/>
  <c r="A184" i="9"/>
  <c r="B184" i="9"/>
  <c r="C184" i="9"/>
  <c r="A185" i="9"/>
  <c r="B185" i="9"/>
  <c r="C185" i="9"/>
  <c r="A186" i="9"/>
  <c r="B186" i="9"/>
  <c r="C186" i="9"/>
  <c r="A187" i="9"/>
  <c r="B187" i="9"/>
  <c r="C187" i="9"/>
  <c r="A188" i="9"/>
  <c r="B188" i="9"/>
  <c r="C188" i="9"/>
  <c r="A189" i="9"/>
  <c r="B189" i="9"/>
  <c r="C189" i="9"/>
  <c r="A190" i="9"/>
  <c r="B190" i="9"/>
  <c r="C190" i="9"/>
  <c r="A191" i="9"/>
  <c r="B191" i="9"/>
  <c r="C191" i="9"/>
  <c r="A192" i="9"/>
  <c r="B192" i="9"/>
  <c r="C192" i="9"/>
  <c r="A193" i="9"/>
  <c r="B193" i="9"/>
  <c r="C193" i="9"/>
  <c r="A194" i="9"/>
  <c r="B194" i="9"/>
  <c r="C194" i="9"/>
  <c r="A195" i="9"/>
  <c r="B195" i="9"/>
  <c r="C195" i="9"/>
  <c r="A196" i="9"/>
  <c r="B196" i="9"/>
  <c r="C196" i="9"/>
  <c r="A197" i="9"/>
  <c r="B197" i="9"/>
  <c r="C197" i="9"/>
  <c r="A198" i="9"/>
  <c r="B198" i="9"/>
  <c r="C198" i="9"/>
  <c r="A199" i="9"/>
  <c r="B199" i="9"/>
  <c r="C199" i="9"/>
  <c r="A200" i="9"/>
  <c r="B200" i="9"/>
  <c r="C200" i="9"/>
  <c r="A201" i="9"/>
  <c r="B201" i="9"/>
  <c r="C201" i="9"/>
  <c r="A202" i="9"/>
  <c r="B202" i="9"/>
  <c r="C202" i="9"/>
  <c r="A203" i="9"/>
  <c r="B203" i="9"/>
  <c r="C203" i="9"/>
  <c r="A204" i="9"/>
  <c r="B204" i="9"/>
  <c r="C204" i="9"/>
  <c r="A205" i="9"/>
  <c r="B205" i="9"/>
  <c r="C205" i="9"/>
  <c r="A206" i="9"/>
  <c r="B206" i="9"/>
  <c r="C206" i="9"/>
  <c r="A207" i="9"/>
  <c r="B207" i="9"/>
  <c r="C207" i="9"/>
  <c r="A208" i="9"/>
  <c r="B208" i="9"/>
  <c r="C208" i="9"/>
  <c r="A209" i="9"/>
  <c r="B209" i="9"/>
  <c r="C209" i="9"/>
  <c r="A210" i="9"/>
  <c r="B210" i="9"/>
  <c r="C210" i="9"/>
  <c r="A211" i="9"/>
  <c r="B211" i="9"/>
  <c r="C211" i="9"/>
  <c r="A212" i="9"/>
  <c r="B212" i="9"/>
  <c r="C212" i="9"/>
  <c r="A213" i="9"/>
  <c r="B213" i="9"/>
  <c r="C213" i="9"/>
  <c r="A214" i="9"/>
  <c r="B214" i="9"/>
  <c r="C214" i="9"/>
  <c r="A215" i="9"/>
  <c r="B215" i="9"/>
  <c r="C215" i="9"/>
  <c r="A216" i="9"/>
  <c r="B216" i="9"/>
  <c r="C216" i="9"/>
  <c r="A217" i="9"/>
  <c r="B217" i="9"/>
  <c r="C217" i="9"/>
  <c r="A218" i="9"/>
  <c r="B218" i="9"/>
  <c r="C218" i="9"/>
  <c r="A219" i="9"/>
  <c r="B219" i="9"/>
  <c r="C219" i="9"/>
  <c r="A220" i="9"/>
  <c r="B220" i="9"/>
  <c r="C220" i="9"/>
  <c r="A221" i="9"/>
  <c r="B221" i="9"/>
  <c r="C221" i="9"/>
  <c r="A222" i="9"/>
  <c r="B222" i="9"/>
  <c r="C222" i="9"/>
  <c r="A223" i="9"/>
  <c r="B223" i="9"/>
  <c r="C223" i="9"/>
  <c r="A224" i="9"/>
  <c r="B224" i="9"/>
  <c r="C224" i="9"/>
  <c r="A225" i="9"/>
  <c r="B225" i="9"/>
  <c r="C225" i="9"/>
  <c r="A226" i="9"/>
  <c r="B226" i="9"/>
  <c r="C226" i="9"/>
  <c r="A227" i="9"/>
  <c r="B227" i="9"/>
  <c r="C227" i="9"/>
  <c r="A228" i="9"/>
  <c r="B228" i="9"/>
  <c r="C228" i="9"/>
  <c r="A229" i="9"/>
  <c r="B229" i="9"/>
  <c r="C229" i="9"/>
  <c r="A230" i="9"/>
  <c r="B230" i="9"/>
  <c r="C230" i="9"/>
  <c r="A231" i="9"/>
  <c r="B231" i="9"/>
  <c r="C231" i="9"/>
  <c r="A232" i="9"/>
  <c r="B232" i="9"/>
  <c r="C232" i="9"/>
  <c r="A233" i="9"/>
  <c r="B233" i="9"/>
  <c r="C233" i="9"/>
  <c r="A234" i="9"/>
  <c r="B234" i="9"/>
  <c r="C234" i="9"/>
  <c r="A235" i="9"/>
  <c r="B235" i="9"/>
  <c r="C235" i="9"/>
  <c r="A236" i="9"/>
  <c r="B236" i="9"/>
  <c r="C236" i="9"/>
  <c r="A237" i="9"/>
  <c r="B237" i="9"/>
  <c r="C237" i="9"/>
  <c r="A238" i="9"/>
  <c r="B238" i="9"/>
  <c r="C238" i="9"/>
  <c r="A239" i="9"/>
  <c r="B239" i="9"/>
  <c r="C239" i="9"/>
  <c r="A240" i="9"/>
  <c r="B240" i="9"/>
  <c r="C240" i="9"/>
  <c r="A241" i="9"/>
  <c r="B241" i="9"/>
  <c r="C241" i="9"/>
  <c r="A242" i="9"/>
  <c r="B242" i="9"/>
  <c r="C242" i="9"/>
  <c r="A243" i="9"/>
  <c r="B243" i="9"/>
  <c r="C243" i="9"/>
  <c r="A244" i="9"/>
  <c r="B244" i="9"/>
  <c r="C244" i="9"/>
  <c r="A245" i="9"/>
  <c r="B245" i="9"/>
  <c r="C245" i="9"/>
  <c r="A246" i="9"/>
  <c r="B246" i="9"/>
  <c r="C246" i="9"/>
  <c r="A247" i="9"/>
  <c r="B247" i="9"/>
  <c r="C247" i="9"/>
  <c r="A248" i="9"/>
  <c r="B248" i="9"/>
  <c r="C248" i="9"/>
  <c r="A249" i="9"/>
  <c r="B249" i="9"/>
  <c r="C249" i="9"/>
  <c r="A250" i="9"/>
  <c r="B250" i="9"/>
  <c r="C250" i="9"/>
  <c r="A251" i="9"/>
  <c r="B251" i="9"/>
  <c r="C251" i="9"/>
  <c r="A252" i="9"/>
  <c r="B252" i="9"/>
  <c r="C252" i="9"/>
  <c r="A253" i="9"/>
  <c r="B253" i="9"/>
  <c r="C253" i="9"/>
  <c r="A254" i="9"/>
  <c r="B254" i="9"/>
  <c r="C254" i="9"/>
  <c r="A255" i="9"/>
  <c r="B255" i="9"/>
  <c r="C255" i="9"/>
  <c r="A256" i="9"/>
  <c r="B256" i="9"/>
  <c r="C256" i="9"/>
  <c r="A257" i="9"/>
  <c r="B257" i="9"/>
  <c r="C257" i="9"/>
  <c r="A258" i="9"/>
  <c r="B258" i="9"/>
  <c r="C258" i="9"/>
  <c r="A259" i="9"/>
  <c r="B259" i="9"/>
  <c r="C259" i="9"/>
  <c r="A260" i="9"/>
  <c r="B260" i="9"/>
  <c r="C260" i="9"/>
  <c r="A261" i="9"/>
  <c r="B261" i="9"/>
  <c r="C261" i="9"/>
  <c r="A262" i="9"/>
  <c r="B262" i="9"/>
  <c r="C262" i="9"/>
  <c r="A263" i="9"/>
  <c r="B263" i="9"/>
  <c r="C263" i="9"/>
  <c r="A264" i="9"/>
  <c r="B264" i="9"/>
  <c r="C264" i="9"/>
  <c r="A265" i="9"/>
  <c r="B265" i="9"/>
  <c r="C265" i="9"/>
  <c r="A266" i="9"/>
  <c r="B266" i="9"/>
  <c r="C266" i="9"/>
  <c r="A267" i="9"/>
  <c r="B267" i="9"/>
  <c r="C267" i="9"/>
  <c r="A268" i="9"/>
  <c r="B268" i="9"/>
  <c r="C268" i="9"/>
  <c r="A269" i="9"/>
  <c r="B269" i="9"/>
  <c r="C269" i="9"/>
  <c r="A270" i="9"/>
  <c r="B270" i="9"/>
  <c r="C270" i="9"/>
  <c r="A271" i="9"/>
  <c r="B271" i="9"/>
  <c r="C271" i="9"/>
  <c r="A272" i="9"/>
  <c r="B272" i="9"/>
  <c r="C272" i="9"/>
  <c r="A273" i="9"/>
  <c r="B273" i="9"/>
  <c r="C273" i="9"/>
  <c r="A274" i="9"/>
  <c r="B274" i="9"/>
  <c r="C274" i="9"/>
  <c r="A275" i="9"/>
  <c r="B275" i="9"/>
  <c r="C275" i="9"/>
  <c r="A276" i="9"/>
  <c r="B276" i="9"/>
  <c r="C276" i="9"/>
  <c r="A277" i="9"/>
  <c r="B277" i="9"/>
  <c r="C277" i="9"/>
  <c r="A278" i="9"/>
  <c r="B278" i="9"/>
  <c r="C278" i="9"/>
  <c r="A279" i="9"/>
  <c r="B279" i="9"/>
  <c r="C279" i="9"/>
  <c r="A280" i="9"/>
  <c r="B280" i="9"/>
  <c r="C280" i="9"/>
  <c r="A281" i="9"/>
  <c r="B281" i="9"/>
  <c r="C281" i="9"/>
  <c r="A282" i="9"/>
  <c r="B282" i="9"/>
  <c r="C282" i="9"/>
  <c r="A283" i="9"/>
  <c r="B283" i="9"/>
  <c r="C283" i="9"/>
  <c r="A284" i="9"/>
  <c r="B284" i="9"/>
  <c r="C284" i="9"/>
  <c r="A285" i="9"/>
  <c r="B285" i="9"/>
  <c r="C285" i="9"/>
  <c r="A286" i="9"/>
  <c r="B286" i="9"/>
  <c r="C286" i="9"/>
  <c r="A287" i="9"/>
  <c r="B287" i="9"/>
  <c r="C287" i="9"/>
  <c r="A288" i="9"/>
  <c r="B288" i="9"/>
  <c r="C288" i="9"/>
  <c r="A289" i="9"/>
  <c r="B289" i="9"/>
  <c r="C289" i="9"/>
  <c r="A290" i="9"/>
  <c r="B290" i="9"/>
  <c r="C290" i="9"/>
  <c r="A291" i="9"/>
  <c r="B291" i="9"/>
  <c r="C291" i="9"/>
  <c r="A292" i="9"/>
  <c r="B292" i="9"/>
  <c r="C292" i="9"/>
  <c r="A293" i="9"/>
  <c r="B293" i="9"/>
  <c r="C293" i="9"/>
  <c r="A294" i="9"/>
  <c r="B294" i="9"/>
  <c r="C294" i="9"/>
  <c r="A295" i="9"/>
  <c r="B295" i="9"/>
  <c r="C295" i="9"/>
  <c r="A296" i="9"/>
  <c r="B296" i="9"/>
  <c r="C296" i="9"/>
  <c r="A297" i="9"/>
  <c r="B297" i="9"/>
  <c r="C297" i="9"/>
  <c r="A298" i="9"/>
  <c r="B298" i="9"/>
  <c r="C298" i="9"/>
  <c r="A299" i="9"/>
  <c r="B299" i="9"/>
  <c r="C299" i="9"/>
  <c r="A300" i="9"/>
  <c r="B300" i="9"/>
  <c r="C300" i="9"/>
  <c r="A301" i="9"/>
  <c r="B301" i="9"/>
  <c r="C301" i="9"/>
  <c r="A302" i="9"/>
  <c r="B302" i="9"/>
  <c r="C302" i="9"/>
  <c r="A303" i="9"/>
  <c r="B303" i="9"/>
  <c r="C303" i="9"/>
  <c r="A304" i="9"/>
  <c r="B304" i="9"/>
  <c r="C304" i="9"/>
  <c r="A305" i="9"/>
  <c r="B305" i="9"/>
  <c r="C305" i="9"/>
  <c r="A306" i="9"/>
  <c r="B306" i="9"/>
  <c r="C306" i="9"/>
  <c r="A307" i="9"/>
  <c r="B307" i="9"/>
  <c r="C307" i="9"/>
  <c r="A308" i="9"/>
  <c r="B308" i="9"/>
  <c r="C308" i="9"/>
  <c r="A309" i="9"/>
  <c r="B309" i="9"/>
  <c r="C309" i="9"/>
  <c r="A310" i="9"/>
  <c r="B310" i="9"/>
  <c r="C310" i="9"/>
  <c r="A311" i="9"/>
  <c r="B311" i="9"/>
  <c r="C311" i="9"/>
  <c r="A312" i="9"/>
  <c r="B312" i="9"/>
  <c r="C312" i="9"/>
  <c r="A313" i="9"/>
  <c r="B313" i="9"/>
  <c r="C313" i="9"/>
  <c r="A314" i="9"/>
  <c r="B314" i="9"/>
  <c r="C314" i="9"/>
  <c r="A315" i="9"/>
  <c r="B315" i="9"/>
  <c r="C315" i="9"/>
  <c r="A316" i="9"/>
  <c r="B316" i="9"/>
  <c r="C316" i="9"/>
  <c r="A317" i="9"/>
  <c r="B317" i="9"/>
  <c r="C317" i="9"/>
  <c r="A318" i="9"/>
  <c r="B318" i="9"/>
  <c r="C318" i="9"/>
  <c r="A6" i="33"/>
  <c r="B6" i="33"/>
  <c r="A7" i="33"/>
  <c r="B7" i="33"/>
  <c r="A8" i="33"/>
  <c r="B8" i="33"/>
  <c r="A9" i="33"/>
  <c r="B9" i="33"/>
  <c r="A10" i="33"/>
  <c r="B10" i="33"/>
  <c r="A11" i="33"/>
  <c r="B11" i="33"/>
  <c r="A12" i="33"/>
  <c r="B12" i="33"/>
  <c r="A13" i="33"/>
  <c r="B13" i="33"/>
  <c r="A14" i="33"/>
  <c r="B14" i="33"/>
  <c r="A15" i="33"/>
  <c r="B15" i="33"/>
  <c r="A16" i="33"/>
  <c r="B16" i="33"/>
  <c r="A17" i="33"/>
  <c r="B17" i="33"/>
  <c r="A18" i="33"/>
  <c r="B18" i="33"/>
  <c r="A19" i="33"/>
  <c r="B19" i="33"/>
  <c r="A20" i="33"/>
  <c r="B20" i="33"/>
  <c r="A21" i="33"/>
  <c r="B21" i="33"/>
  <c r="A22" i="33"/>
  <c r="B22" i="33"/>
  <c r="A23" i="33"/>
  <c r="B23" i="33"/>
  <c r="A24" i="33"/>
  <c r="B24" i="33"/>
  <c r="A25" i="33"/>
  <c r="B25" i="33"/>
  <c r="A26" i="33"/>
  <c r="B26" i="33"/>
  <c r="A27" i="33"/>
  <c r="B27" i="33"/>
  <c r="A28" i="33"/>
  <c r="B28" i="33"/>
  <c r="A29" i="33"/>
  <c r="B29" i="33"/>
  <c r="A30" i="33"/>
  <c r="B30" i="33"/>
  <c r="A31" i="33"/>
  <c r="B31" i="33"/>
  <c r="A32" i="33"/>
  <c r="B32" i="33"/>
  <c r="A33" i="33"/>
  <c r="B33" i="33"/>
  <c r="A34" i="33"/>
  <c r="B34" i="33"/>
  <c r="A35" i="33"/>
  <c r="B35" i="33"/>
  <c r="A36" i="33"/>
  <c r="B36" i="33"/>
  <c r="A37" i="33"/>
  <c r="B37" i="33"/>
  <c r="A38" i="33"/>
  <c r="B38" i="33"/>
  <c r="A39" i="33"/>
  <c r="B39" i="33"/>
  <c r="A40" i="33"/>
  <c r="B40" i="33"/>
  <c r="A41" i="33"/>
  <c r="B41" i="33"/>
  <c r="A42" i="33"/>
  <c r="B42" i="33"/>
  <c r="A43" i="33"/>
  <c r="B43" i="33"/>
  <c r="A44" i="33"/>
  <c r="B44" i="33"/>
  <c r="A45" i="33"/>
  <c r="B45" i="33"/>
  <c r="A46" i="33"/>
  <c r="B46" i="33"/>
  <c r="A47" i="33"/>
  <c r="B47" i="33"/>
  <c r="A48" i="33"/>
  <c r="B48" i="33"/>
  <c r="A49" i="33"/>
  <c r="B49" i="33"/>
  <c r="A50" i="33"/>
  <c r="B50" i="33"/>
  <c r="A51" i="33"/>
  <c r="B51" i="33"/>
  <c r="A52" i="33"/>
  <c r="B52" i="33"/>
  <c r="A53" i="33"/>
  <c r="B53" i="33"/>
  <c r="A54" i="33"/>
  <c r="B54" i="33"/>
  <c r="A55" i="33"/>
  <c r="B55" i="33"/>
  <c r="A56" i="33"/>
  <c r="B56" i="33"/>
  <c r="A57" i="33"/>
  <c r="B57" i="33"/>
  <c r="A58" i="33"/>
  <c r="B58" i="33"/>
  <c r="A59" i="33"/>
  <c r="B59" i="33"/>
  <c r="A60" i="33"/>
  <c r="B60" i="33"/>
  <c r="A61" i="33"/>
  <c r="B61" i="33"/>
  <c r="A62" i="33"/>
  <c r="B62" i="33"/>
  <c r="A63" i="33"/>
  <c r="B63" i="33"/>
  <c r="A64" i="33"/>
  <c r="B64" i="33"/>
  <c r="A65" i="33"/>
  <c r="B65" i="33"/>
  <c r="A66" i="33"/>
  <c r="B66" i="33"/>
  <c r="A67" i="33"/>
  <c r="B67" i="33"/>
  <c r="A68" i="33"/>
  <c r="B68" i="33"/>
  <c r="A69" i="33"/>
  <c r="B69" i="33"/>
  <c r="A70" i="33"/>
  <c r="B70" i="33"/>
  <c r="A71" i="33"/>
  <c r="B71" i="33"/>
  <c r="A72" i="33"/>
  <c r="B72" i="33"/>
  <c r="A73" i="33"/>
  <c r="B73" i="33"/>
  <c r="A74" i="33"/>
  <c r="B74" i="33"/>
  <c r="A75" i="33"/>
  <c r="B75" i="33"/>
  <c r="A76" i="33"/>
  <c r="B76" i="33"/>
  <c r="A77" i="33"/>
  <c r="B77" i="33"/>
  <c r="A78" i="33"/>
  <c r="B78" i="33"/>
  <c r="A79" i="33"/>
  <c r="B79" i="33"/>
  <c r="A80" i="33"/>
  <c r="B80" i="33"/>
  <c r="A81" i="33"/>
  <c r="B81" i="33"/>
  <c r="A82" i="33"/>
  <c r="B82" i="33"/>
  <c r="A83" i="33"/>
  <c r="B83" i="33"/>
  <c r="A84" i="33"/>
  <c r="B84" i="33"/>
  <c r="A85" i="33"/>
  <c r="B85" i="33"/>
  <c r="A86" i="33"/>
  <c r="B86" i="33"/>
  <c r="A87" i="33"/>
  <c r="B87" i="33"/>
  <c r="A88" i="33"/>
  <c r="B88" i="33"/>
  <c r="A89" i="33"/>
  <c r="B89" i="33"/>
  <c r="A90" i="33"/>
  <c r="B90" i="33"/>
  <c r="A91" i="33"/>
  <c r="B91" i="33"/>
  <c r="A92" i="33"/>
  <c r="B92" i="33"/>
  <c r="A93" i="33"/>
  <c r="B93" i="33"/>
  <c r="A94" i="33"/>
  <c r="B94" i="33"/>
  <c r="A95" i="33"/>
  <c r="B95" i="33"/>
  <c r="A96" i="33"/>
  <c r="B96" i="33"/>
  <c r="A97" i="33"/>
  <c r="B97" i="33"/>
  <c r="A98" i="33"/>
  <c r="B98" i="33"/>
  <c r="A99" i="33"/>
  <c r="B99" i="33"/>
  <c r="A100" i="33"/>
  <c r="B100" i="33"/>
  <c r="A101" i="33"/>
  <c r="B101" i="33"/>
  <c r="A102" i="33"/>
  <c r="B102" i="33"/>
  <c r="A103" i="33"/>
  <c r="B103" i="33"/>
  <c r="A104" i="33"/>
  <c r="B104" i="33"/>
  <c r="A105" i="33"/>
  <c r="B105" i="33"/>
  <c r="A106" i="33"/>
  <c r="B106" i="33"/>
  <c r="A107" i="33"/>
  <c r="B107" i="33"/>
  <c r="A108" i="33"/>
  <c r="B108" i="33"/>
  <c r="A109" i="33"/>
  <c r="B109" i="33"/>
  <c r="A110" i="33"/>
  <c r="B110" i="33"/>
  <c r="A111" i="33"/>
  <c r="B111" i="33"/>
  <c r="A112" i="33"/>
  <c r="B112" i="33"/>
  <c r="A113" i="33"/>
  <c r="B113" i="33"/>
  <c r="A114" i="33"/>
  <c r="B114" i="33"/>
  <c r="A115" i="33"/>
  <c r="B115" i="33"/>
  <c r="A116" i="33"/>
  <c r="B116" i="33"/>
  <c r="A117" i="33"/>
  <c r="B117" i="33"/>
  <c r="A118" i="33"/>
  <c r="B118" i="33"/>
  <c r="A119" i="33"/>
  <c r="B119" i="33"/>
  <c r="A120" i="33"/>
  <c r="B120" i="33"/>
  <c r="A121" i="33"/>
  <c r="B121" i="33"/>
  <c r="A122" i="33"/>
  <c r="B122" i="33"/>
  <c r="A123" i="33"/>
  <c r="B123" i="33"/>
  <c r="A124" i="33"/>
  <c r="B124" i="33"/>
  <c r="A125" i="33"/>
  <c r="B125" i="33"/>
  <c r="A126" i="33"/>
  <c r="B126" i="33"/>
  <c r="A127" i="33"/>
  <c r="B127" i="33"/>
  <c r="A128" i="33"/>
  <c r="B128" i="33"/>
  <c r="A129" i="33"/>
  <c r="B129" i="33"/>
  <c r="A130" i="33"/>
  <c r="B130" i="33"/>
  <c r="A131" i="33"/>
  <c r="B131" i="33"/>
  <c r="A132" i="33"/>
  <c r="B132" i="33"/>
  <c r="A133" i="33"/>
  <c r="B133" i="33"/>
  <c r="A134" i="33"/>
  <c r="B134" i="33"/>
  <c r="A135" i="33"/>
  <c r="B135" i="33"/>
  <c r="A136" i="33"/>
  <c r="B136" i="33"/>
  <c r="A137" i="33"/>
  <c r="B137" i="33"/>
  <c r="A138" i="33"/>
  <c r="B138" i="33"/>
  <c r="A139" i="33"/>
  <c r="B139" i="33"/>
  <c r="A140" i="33"/>
  <c r="B140" i="33"/>
  <c r="A141" i="33"/>
  <c r="B141" i="33"/>
  <c r="A142" i="33"/>
  <c r="B142" i="33"/>
  <c r="A143" i="33"/>
  <c r="B143" i="33"/>
  <c r="A144" i="33"/>
  <c r="B144" i="33"/>
  <c r="A145" i="33"/>
  <c r="B145" i="33"/>
  <c r="A146" i="33"/>
  <c r="B146" i="33"/>
  <c r="A147" i="33"/>
  <c r="B147" i="33"/>
  <c r="A148" i="33"/>
  <c r="B148" i="33"/>
  <c r="A149" i="33"/>
  <c r="B149" i="33"/>
  <c r="A150" i="33"/>
  <c r="B150" i="33"/>
  <c r="A151" i="33"/>
  <c r="B151" i="33"/>
  <c r="A152" i="33"/>
  <c r="B152" i="33"/>
  <c r="A153" i="33"/>
  <c r="B153" i="33"/>
  <c r="A154" i="33"/>
  <c r="B154" i="33"/>
  <c r="A155" i="33"/>
  <c r="B155" i="33"/>
  <c r="A156" i="33"/>
  <c r="B156" i="33"/>
  <c r="A157" i="33"/>
  <c r="B157" i="33"/>
  <c r="A158" i="33"/>
  <c r="B158" i="33"/>
  <c r="A159" i="33"/>
  <c r="B159" i="33"/>
  <c r="A160" i="33"/>
  <c r="B160" i="33"/>
  <c r="A161" i="33"/>
  <c r="B161" i="33"/>
  <c r="A162" i="33"/>
  <c r="B162" i="33"/>
  <c r="A163" i="33"/>
  <c r="B163" i="33"/>
  <c r="A164" i="33"/>
  <c r="B164" i="33"/>
  <c r="A165" i="33"/>
  <c r="B165" i="33"/>
  <c r="A166" i="33"/>
  <c r="B166" i="33"/>
  <c r="A167" i="33"/>
  <c r="B167" i="33"/>
  <c r="A168" i="33"/>
  <c r="B168" i="33"/>
  <c r="A169" i="33"/>
  <c r="B169" i="33"/>
  <c r="A170" i="33"/>
  <c r="B170" i="33"/>
  <c r="A171" i="33"/>
  <c r="B171" i="33"/>
  <c r="A172" i="33"/>
  <c r="B172" i="33"/>
  <c r="A173" i="33"/>
  <c r="B173" i="33"/>
  <c r="A174" i="33"/>
  <c r="B174" i="33"/>
  <c r="A175" i="33"/>
  <c r="B175" i="33"/>
  <c r="A176" i="33"/>
  <c r="B176" i="33"/>
  <c r="A177" i="33"/>
  <c r="B177" i="33"/>
  <c r="A178" i="33"/>
  <c r="B178" i="33"/>
  <c r="A179" i="33"/>
  <c r="B179" i="33"/>
  <c r="A180" i="33"/>
  <c r="B180" i="33"/>
  <c r="A181" i="33"/>
  <c r="B181" i="33"/>
  <c r="A182" i="33"/>
  <c r="B182" i="33"/>
  <c r="A183" i="33"/>
  <c r="B183" i="33"/>
  <c r="A184" i="33"/>
  <c r="B184" i="33"/>
  <c r="A185" i="33"/>
  <c r="B185" i="33"/>
  <c r="A186" i="33"/>
  <c r="B186" i="33"/>
  <c r="A187" i="33"/>
  <c r="B187" i="33"/>
  <c r="A188" i="33"/>
  <c r="B188" i="33"/>
  <c r="A189" i="33"/>
  <c r="B189" i="33"/>
  <c r="A190" i="33"/>
  <c r="B190" i="33"/>
  <c r="A191" i="33"/>
  <c r="B191" i="33"/>
  <c r="A192" i="33"/>
  <c r="B192" i="33"/>
  <c r="A193" i="33"/>
  <c r="B193" i="33"/>
  <c r="A194" i="33"/>
  <c r="B194" i="33"/>
  <c r="A195" i="33"/>
  <c r="B195" i="33"/>
  <c r="A196" i="33"/>
  <c r="B196" i="33"/>
  <c r="A197" i="33"/>
  <c r="B197" i="33"/>
  <c r="A198" i="33"/>
  <c r="B198" i="33"/>
  <c r="A199" i="33"/>
  <c r="B199" i="33"/>
  <c r="A200" i="33"/>
  <c r="B200" i="33"/>
  <c r="A201" i="33"/>
  <c r="B201" i="33"/>
  <c r="A202" i="33"/>
  <c r="B202" i="33"/>
  <c r="A203" i="33"/>
  <c r="B203" i="33"/>
  <c r="A204" i="33"/>
  <c r="B204" i="33"/>
  <c r="A205" i="33"/>
  <c r="B205" i="33"/>
  <c r="A206" i="33"/>
  <c r="B206" i="33"/>
  <c r="A207" i="33"/>
  <c r="B207" i="33"/>
  <c r="A208" i="33"/>
  <c r="B208" i="33"/>
  <c r="A209" i="33"/>
  <c r="B209" i="33"/>
  <c r="A210" i="33"/>
  <c r="B210" i="33"/>
  <c r="A211" i="33"/>
  <c r="B211" i="33"/>
  <c r="A212" i="33"/>
  <c r="B212" i="33"/>
  <c r="A213" i="33"/>
  <c r="B213" i="33"/>
  <c r="A214" i="33"/>
  <c r="B214" i="33"/>
  <c r="A215" i="33"/>
  <c r="B215" i="33"/>
  <c r="A216" i="33"/>
  <c r="B216" i="33"/>
  <c r="A217" i="33"/>
  <c r="B217" i="33"/>
  <c r="A218" i="33"/>
  <c r="B218" i="33"/>
  <c r="A219" i="33"/>
  <c r="B219" i="33"/>
  <c r="A220" i="33"/>
  <c r="B220" i="33"/>
  <c r="A221" i="33"/>
  <c r="B221" i="33"/>
  <c r="A222" i="33"/>
  <c r="B222" i="33"/>
  <c r="A223" i="33"/>
  <c r="B223" i="33"/>
  <c r="A224" i="33"/>
  <c r="B224" i="33"/>
  <c r="A225" i="33"/>
  <c r="B225" i="33"/>
  <c r="A226" i="33"/>
  <c r="B226" i="33"/>
  <c r="A227" i="33"/>
  <c r="B227" i="33"/>
  <c r="A228" i="33"/>
  <c r="B228" i="33"/>
  <c r="A229" i="33"/>
  <c r="B229" i="33"/>
  <c r="A230" i="33"/>
  <c r="B230" i="33"/>
  <c r="A231" i="33"/>
  <c r="B231" i="33"/>
  <c r="A232" i="33"/>
  <c r="B232" i="33"/>
  <c r="A233" i="33"/>
  <c r="B233" i="33"/>
  <c r="A234" i="33"/>
  <c r="B234" i="33"/>
  <c r="A235" i="33"/>
  <c r="B235" i="33"/>
  <c r="A236" i="33"/>
  <c r="B236" i="33"/>
  <c r="A237" i="33"/>
  <c r="B237" i="33"/>
  <c r="A238" i="33"/>
  <c r="B238" i="33"/>
  <c r="A239" i="33"/>
  <c r="B239" i="33"/>
  <c r="A240" i="33"/>
  <c r="B240" i="33"/>
  <c r="A241" i="33"/>
  <c r="B241" i="33"/>
  <c r="A242" i="33"/>
  <c r="B242" i="33"/>
  <c r="A243" i="33"/>
  <c r="B243" i="33"/>
  <c r="A244" i="33"/>
  <c r="B244" i="33"/>
  <c r="A245" i="33"/>
  <c r="B245" i="33"/>
  <c r="A246" i="33"/>
  <c r="B246" i="33"/>
  <c r="A247" i="33"/>
  <c r="B247" i="33"/>
  <c r="A248" i="33"/>
  <c r="B248" i="33"/>
  <c r="A249" i="33"/>
  <c r="B249" i="33"/>
  <c r="A250" i="33"/>
  <c r="B250" i="33"/>
  <c r="A251" i="33"/>
  <c r="B251" i="33"/>
  <c r="A252" i="33"/>
  <c r="B252" i="33"/>
  <c r="A253" i="33"/>
  <c r="B253" i="33"/>
  <c r="A254" i="33"/>
  <c r="B254" i="33"/>
  <c r="A255" i="33"/>
  <c r="B255" i="33"/>
  <c r="A256" i="33"/>
  <c r="B256" i="33"/>
  <c r="A257" i="33"/>
  <c r="B257" i="33"/>
  <c r="A258" i="33"/>
  <c r="B258" i="33"/>
  <c r="A259" i="33"/>
  <c r="B259" i="33"/>
  <c r="A260" i="33"/>
  <c r="B260" i="33"/>
  <c r="A261" i="33"/>
  <c r="B261" i="33"/>
  <c r="A262" i="33"/>
  <c r="B262" i="33"/>
  <c r="A263" i="33"/>
  <c r="B263" i="33"/>
  <c r="A264" i="33"/>
  <c r="B264" i="33"/>
  <c r="A265" i="33"/>
  <c r="B265" i="33"/>
  <c r="A266" i="33"/>
  <c r="B266" i="33"/>
  <c r="A267" i="33"/>
  <c r="B267" i="33"/>
  <c r="A268" i="33"/>
  <c r="B268" i="33"/>
  <c r="A269" i="33"/>
  <c r="B269" i="33"/>
  <c r="A270" i="33"/>
  <c r="B270" i="33"/>
  <c r="A271" i="33"/>
  <c r="B271" i="33"/>
  <c r="A272" i="33"/>
  <c r="B272" i="33"/>
  <c r="A273" i="33"/>
  <c r="B273" i="33"/>
  <c r="A274" i="33"/>
  <c r="B274" i="33"/>
  <c r="A275" i="33"/>
  <c r="B275" i="33"/>
  <c r="A276" i="33"/>
  <c r="B276" i="33"/>
  <c r="A277" i="33"/>
  <c r="B277" i="33"/>
  <c r="A278" i="33"/>
  <c r="B278" i="33"/>
  <c r="A279" i="33"/>
  <c r="B279" i="33"/>
  <c r="A280" i="33"/>
  <c r="B280" i="33"/>
  <c r="A281" i="33"/>
  <c r="B281" i="33"/>
  <c r="A282" i="33"/>
  <c r="B282" i="33"/>
  <c r="A283" i="33"/>
  <c r="B283" i="33"/>
  <c r="A284" i="33"/>
  <c r="B284" i="33"/>
  <c r="A285" i="33"/>
  <c r="B285" i="33"/>
  <c r="A286" i="33"/>
  <c r="B286" i="33"/>
  <c r="A287" i="33"/>
  <c r="B287" i="33"/>
  <c r="A288" i="33"/>
  <c r="B288" i="33"/>
  <c r="A289" i="33"/>
  <c r="B289" i="33"/>
  <c r="A290" i="33"/>
  <c r="B290" i="33"/>
  <c r="A291" i="33"/>
  <c r="B291" i="33"/>
  <c r="A292" i="33"/>
  <c r="B292" i="33"/>
  <c r="A293" i="33"/>
  <c r="B293" i="33"/>
  <c r="A294" i="33"/>
  <c r="B294" i="33"/>
  <c r="A295" i="33"/>
  <c r="B295" i="33"/>
  <c r="A296" i="33"/>
  <c r="B296" i="33"/>
  <c r="A297" i="33"/>
  <c r="B297" i="33"/>
  <c r="A298" i="33"/>
  <c r="B298" i="33"/>
  <c r="A299" i="33"/>
  <c r="B299" i="33"/>
  <c r="A300" i="33"/>
  <c r="B300" i="33"/>
  <c r="A301" i="33"/>
  <c r="B301" i="33"/>
  <c r="A302" i="33"/>
  <c r="B302" i="33"/>
  <c r="A303" i="33"/>
  <c r="B303" i="33"/>
  <c r="A304" i="33"/>
  <c r="B304" i="33"/>
  <c r="A305" i="33"/>
  <c r="B305" i="33"/>
  <c r="A306" i="33"/>
  <c r="B306" i="33"/>
  <c r="A307" i="33"/>
  <c r="B307" i="33"/>
  <c r="A308" i="33"/>
  <c r="B308" i="33"/>
  <c r="A309" i="33"/>
  <c r="B309" i="33"/>
  <c r="A310" i="33"/>
  <c r="B310" i="33"/>
  <c r="A311" i="33"/>
  <c r="B311" i="33"/>
  <c r="A312" i="33"/>
  <c r="B312" i="33"/>
  <c r="A6" i="32"/>
  <c r="B6" i="32"/>
  <c r="A7" i="32"/>
  <c r="B7" i="32"/>
  <c r="A8" i="32"/>
  <c r="B8" i="32"/>
  <c r="A9" i="32"/>
  <c r="B9" i="32"/>
  <c r="A10" i="32"/>
  <c r="B10" i="32"/>
  <c r="A11" i="32"/>
  <c r="B11" i="32"/>
  <c r="A12" i="32"/>
  <c r="B12" i="32"/>
  <c r="A13" i="32"/>
  <c r="B13" i="32"/>
  <c r="A14" i="32"/>
  <c r="B14" i="32"/>
  <c r="A15" i="32"/>
  <c r="B15" i="32"/>
  <c r="A16" i="32"/>
  <c r="B16" i="32"/>
  <c r="A17" i="32"/>
  <c r="B17" i="32"/>
  <c r="A18" i="32"/>
  <c r="B18" i="32"/>
  <c r="A19" i="32"/>
  <c r="B19" i="32"/>
  <c r="A20" i="32"/>
  <c r="B20" i="32"/>
  <c r="A21" i="32"/>
  <c r="B21" i="32"/>
  <c r="A22" i="32"/>
  <c r="B22" i="32"/>
  <c r="A23" i="32"/>
  <c r="B23" i="32"/>
  <c r="A24" i="32"/>
  <c r="B24" i="32"/>
  <c r="A25" i="32"/>
  <c r="B25" i="32"/>
  <c r="A26" i="32"/>
  <c r="B26" i="32"/>
  <c r="A27" i="32"/>
  <c r="B27" i="32"/>
  <c r="A28" i="32"/>
  <c r="B28" i="32"/>
  <c r="A29" i="32"/>
  <c r="B29" i="32"/>
  <c r="A30" i="32"/>
  <c r="B30" i="32"/>
  <c r="A31" i="32"/>
  <c r="B31" i="32"/>
  <c r="A32" i="32"/>
  <c r="B32" i="32"/>
  <c r="A33" i="32"/>
  <c r="B33" i="32"/>
  <c r="A34" i="32"/>
  <c r="B34" i="32"/>
  <c r="A35" i="32"/>
  <c r="B35" i="32"/>
  <c r="A36" i="32"/>
  <c r="B36" i="32"/>
  <c r="A37" i="32"/>
  <c r="B37" i="32"/>
  <c r="A38" i="32"/>
  <c r="B38" i="32"/>
  <c r="A39" i="32"/>
  <c r="B39" i="32"/>
  <c r="A40" i="32"/>
  <c r="B40" i="32"/>
  <c r="A41" i="32"/>
  <c r="B41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A49" i="32"/>
  <c r="B49" i="32"/>
  <c r="A50" i="32"/>
  <c r="B50" i="32"/>
  <c r="A51" i="32"/>
  <c r="B51" i="32"/>
  <c r="A52" i="32"/>
  <c r="B52" i="32"/>
  <c r="A53" i="32"/>
  <c r="B53" i="32"/>
  <c r="A54" i="32"/>
  <c r="B54" i="32"/>
  <c r="A55" i="32"/>
  <c r="B55" i="32"/>
  <c r="A56" i="32"/>
  <c r="B56" i="32"/>
  <c r="A57" i="32"/>
  <c r="B57" i="32"/>
  <c r="A58" i="32"/>
  <c r="B58" i="32"/>
  <c r="A59" i="32"/>
  <c r="B59" i="32"/>
  <c r="A60" i="32"/>
  <c r="B60" i="32"/>
  <c r="A61" i="32"/>
  <c r="B61" i="32"/>
  <c r="A62" i="32"/>
  <c r="B62" i="32"/>
  <c r="A63" i="32"/>
  <c r="B63" i="32"/>
  <c r="A64" i="32"/>
  <c r="B64" i="32"/>
  <c r="A65" i="32"/>
  <c r="B65" i="32"/>
  <c r="A66" i="32"/>
  <c r="B66" i="32"/>
  <c r="A67" i="32"/>
  <c r="B67" i="32"/>
  <c r="A68" i="32"/>
  <c r="B68" i="32"/>
  <c r="A69" i="32"/>
  <c r="B69" i="32"/>
  <c r="A70" i="32"/>
  <c r="B70" i="32"/>
  <c r="A71" i="32"/>
  <c r="B71" i="32"/>
  <c r="A72" i="32"/>
  <c r="B72" i="32"/>
  <c r="A73" i="32"/>
  <c r="B73" i="32"/>
  <c r="A74" i="32"/>
  <c r="B74" i="32"/>
  <c r="A75" i="32"/>
  <c r="B75" i="32"/>
  <c r="A76" i="32"/>
  <c r="B76" i="32"/>
  <c r="A77" i="32"/>
  <c r="B77" i="32"/>
  <c r="A78" i="32"/>
  <c r="B78" i="32"/>
  <c r="A79" i="32"/>
  <c r="B79" i="32"/>
  <c r="A80" i="32"/>
  <c r="B80" i="32"/>
  <c r="A81" i="32"/>
  <c r="B81" i="32"/>
  <c r="A82" i="32"/>
  <c r="B82" i="32"/>
  <c r="A83" i="32"/>
  <c r="B83" i="32"/>
  <c r="A84" i="32"/>
  <c r="B84" i="32"/>
  <c r="A85" i="32"/>
  <c r="B85" i="32"/>
  <c r="A86" i="32"/>
  <c r="B86" i="32"/>
  <c r="A87" i="32"/>
  <c r="B87" i="32"/>
  <c r="A88" i="32"/>
  <c r="B88" i="32"/>
  <c r="A89" i="32"/>
  <c r="B89" i="32"/>
  <c r="A90" i="32"/>
  <c r="B90" i="32"/>
  <c r="A91" i="32"/>
  <c r="B91" i="32"/>
  <c r="A92" i="32"/>
  <c r="B92" i="32"/>
  <c r="A93" i="32"/>
  <c r="B93" i="32"/>
  <c r="A94" i="32"/>
  <c r="B94" i="32"/>
  <c r="A95" i="32"/>
  <c r="B95" i="32"/>
  <c r="A96" i="32"/>
  <c r="B96" i="32"/>
  <c r="A97" i="32"/>
  <c r="B97" i="32"/>
  <c r="A98" i="32"/>
  <c r="B98" i="32"/>
  <c r="A99" i="32"/>
  <c r="B99" i="32"/>
  <c r="A100" i="32"/>
  <c r="B100" i="32"/>
  <c r="A101" i="32"/>
  <c r="B101" i="32"/>
  <c r="A102" i="32"/>
  <c r="B102" i="32"/>
  <c r="A103" i="32"/>
  <c r="B103" i="32"/>
  <c r="A104" i="32"/>
  <c r="B104" i="32"/>
  <c r="A105" i="32"/>
  <c r="B105" i="32"/>
  <c r="A106" i="32"/>
  <c r="B106" i="32"/>
  <c r="A107" i="32"/>
  <c r="B107" i="32"/>
  <c r="A108" i="32"/>
  <c r="B108" i="32"/>
  <c r="A109" i="32"/>
  <c r="B109" i="32"/>
  <c r="A110" i="32"/>
  <c r="B110" i="32"/>
  <c r="A111" i="32"/>
  <c r="B111" i="32"/>
  <c r="A112" i="32"/>
  <c r="B112" i="32"/>
  <c r="A113" i="32"/>
  <c r="B113" i="32"/>
  <c r="A114" i="32"/>
  <c r="B114" i="32"/>
  <c r="A115" i="32"/>
  <c r="B115" i="32"/>
  <c r="A116" i="32"/>
  <c r="B116" i="32"/>
  <c r="A117" i="32"/>
  <c r="B117" i="32"/>
  <c r="A118" i="32"/>
  <c r="B118" i="32"/>
  <c r="A119" i="32"/>
  <c r="B119" i="32"/>
  <c r="A120" i="32"/>
  <c r="B120" i="32"/>
  <c r="A121" i="32"/>
  <c r="B121" i="32"/>
  <c r="A122" i="32"/>
  <c r="B122" i="32"/>
  <c r="A123" i="32"/>
  <c r="B123" i="32"/>
  <c r="A124" i="32"/>
  <c r="B124" i="32"/>
  <c r="A125" i="32"/>
  <c r="B125" i="32"/>
  <c r="A126" i="32"/>
  <c r="B126" i="32"/>
  <c r="A127" i="32"/>
  <c r="B127" i="32"/>
  <c r="A128" i="32"/>
  <c r="B128" i="32"/>
  <c r="A129" i="32"/>
  <c r="B129" i="32"/>
  <c r="A130" i="32"/>
  <c r="B130" i="32"/>
  <c r="A131" i="32"/>
  <c r="B131" i="32"/>
  <c r="A132" i="32"/>
  <c r="B132" i="32"/>
  <c r="A133" i="32"/>
  <c r="B133" i="32"/>
  <c r="A134" i="32"/>
  <c r="B134" i="32"/>
  <c r="A135" i="32"/>
  <c r="B135" i="32"/>
  <c r="A136" i="32"/>
  <c r="B136" i="32"/>
  <c r="A137" i="32"/>
  <c r="B137" i="32"/>
  <c r="A138" i="32"/>
  <c r="B138" i="32"/>
  <c r="A139" i="32"/>
  <c r="B139" i="32"/>
  <c r="A140" i="32"/>
  <c r="B140" i="32"/>
  <c r="A141" i="32"/>
  <c r="B141" i="32"/>
  <c r="A142" i="32"/>
  <c r="B142" i="32"/>
  <c r="A143" i="32"/>
  <c r="B143" i="32"/>
  <c r="A144" i="32"/>
  <c r="B144" i="32"/>
  <c r="A145" i="32"/>
  <c r="B145" i="32"/>
  <c r="A146" i="32"/>
  <c r="B146" i="32"/>
  <c r="A147" i="32"/>
  <c r="B147" i="32"/>
  <c r="A148" i="32"/>
  <c r="B148" i="32"/>
  <c r="A149" i="32"/>
  <c r="B149" i="32"/>
  <c r="A150" i="32"/>
  <c r="B150" i="32"/>
  <c r="A151" i="32"/>
  <c r="B151" i="32"/>
  <c r="A152" i="32"/>
  <c r="B152" i="32"/>
  <c r="A153" i="32"/>
  <c r="B153" i="32"/>
  <c r="A154" i="32"/>
  <c r="B154" i="32"/>
  <c r="A155" i="32"/>
  <c r="B155" i="32"/>
  <c r="A156" i="32"/>
  <c r="B156" i="32"/>
  <c r="A157" i="32"/>
  <c r="B157" i="32"/>
  <c r="A158" i="32"/>
  <c r="B158" i="32"/>
  <c r="A159" i="32"/>
  <c r="B159" i="32"/>
  <c r="A160" i="32"/>
  <c r="B160" i="32"/>
  <c r="A161" i="32"/>
  <c r="B161" i="32"/>
  <c r="A162" i="32"/>
  <c r="B162" i="32"/>
  <c r="A163" i="32"/>
  <c r="B163" i="32"/>
  <c r="A164" i="32"/>
  <c r="B164" i="32"/>
  <c r="A165" i="32"/>
  <c r="B165" i="32"/>
  <c r="A166" i="32"/>
  <c r="B166" i="32"/>
  <c r="A167" i="32"/>
  <c r="B167" i="32"/>
  <c r="A168" i="32"/>
  <c r="B168" i="32"/>
  <c r="A169" i="32"/>
  <c r="B169" i="32"/>
  <c r="A170" i="32"/>
  <c r="B170" i="32"/>
  <c r="A171" i="32"/>
  <c r="B171" i="32"/>
  <c r="A172" i="32"/>
  <c r="B172" i="32"/>
  <c r="A173" i="32"/>
  <c r="B173" i="32"/>
  <c r="A174" i="32"/>
  <c r="B174" i="32"/>
  <c r="A175" i="32"/>
  <c r="B175" i="32"/>
  <c r="A176" i="32"/>
  <c r="B176" i="32"/>
  <c r="A177" i="32"/>
  <c r="B177" i="32"/>
  <c r="A178" i="32"/>
  <c r="B178" i="32"/>
  <c r="A179" i="32"/>
  <c r="B179" i="32"/>
  <c r="A180" i="32"/>
  <c r="B180" i="32"/>
  <c r="A181" i="32"/>
  <c r="B181" i="32"/>
  <c r="A182" i="32"/>
  <c r="B182" i="32"/>
  <c r="A183" i="32"/>
  <c r="B183" i="32"/>
  <c r="A184" i="32"/>
  <c r="B184" i="32"/>
  <c r="A185" i="32"/>
  <c r="B185" i="32"/>
  <c r="A186" i="32"/>
  <c r="B186" i="32"/>
  <c r="A187" i="32"/>
  <c r="B187" i="32"/>
  <c r="A188" i="32"/>
  <c r="B188" i="32"/>
  <c r="A189" i="32"/>
  <c r="B189" i="32"/>
  <c r="A190" i="32"/>
  <c r="B190" i="32"/>
  <c r="A191" i="32"/>
  <c r="B191" i="32"/>
  <c r="A192" i="32"/>
  <c r="B192" i="32"/>
  <c r="A193" i="32"/>
  <c r="B193" i="32"/>
  <c r="A194" i="32"/>
  <c r="B194" i="32"/>
  <c r="A195" i="32"/>
  <c r="B195" i="32"/>
  <c r="A196" i="32"/>
  <c r="B196" i="32"/>
  <c r="A197" i="32"/>
  <c r="B197" i="32"/>
  <c r="A198" i="32"/>
  <c r="B198" i="32"/>
  <c r="A199" i="32"/>
  <c r="B199" i="32"/>
  <c r="A200" i="32"/>
  <c r="B200" i="32"/>
  <c r="A201" i="32"/>
  <c r="B201" i="32"/>
  <c r="A202" i="32"/>
  <c r="B202" i="32"/>
  <c r="A203" i="32"/>
  <c r="B203" i="32"/>
  <c r="A204" i="32"/>
  <c r="B204" i="32"/>
  <c r="A205" i="32"/>
  <c r="B205" i="32"/>
  <c r="A206" i="32"/>
  <c r="B206" i="32"/>
  <c r="A207" i="32"/>
  <c r="B207" i="32"/>
  <c r="A208" i="32"/>
  <c r="B208" i="32"/>
  <c r="A209" i="32"/>
  <c r="B209" i="32"/>
  <c r="A210" i="32"/>
  <c r="B210" i="32"/>
  <c r="A211" i="32"/>
  <c r="B211" i="32"/>
  <c r="A212" i="32"/>
  <c r="B212" i="32"/>
  <c r="A213" i="32"/>
  <c r="B213" i="32"/>
  <c r="A214" i="32"/>
  <c r="B214" i="32"/>
  <c r="A215" i="32"/>
  <c r="B215" i="32"/>
  <c r="A216" i="32"/>
  <c r="B216" i="32"/>
  <c r="A217" i="32"/>
  <c r="B217" i="32"/>
  <c r="A218" i="32"/>
  <c r="B218" i="32"/>
  <c r="A219" i="32"/>
  <c r="B219" i="32"/>
  <c r="A220" i="32"/>
  <c r="B220" i="32"/>
  <c r="A221" i="32"/>
  <c r="B221" i="32"/>
  <c r="A222" i="32"/>
  <c r="B222" i="32"/>
  <c r="A223" i="32"/>
  <c r="B223" i="32"/>
  <c r="A224" i="32"/>
  <c r="B224" i="32"/>
  <c r="A225" i="32"/>
  <c r="B225" i="32"/>
  <c r="A226" i="32"/>
  <c r="B226" i="32"/>
  <c r="A227" i="32"/>
  <c r="B227" i="32"/>
  <c r="A228" i="32"/>
  <c r="B228" i="32"/>
  <c r="A229" i="32"/>
  <c r="B229" i="32"/>
  <c r="A230" i="32"/>
  <c r="B230" i="32"/>
  <c r="A231" i="32"/>
  <c r="B231" i="32"/>
  <c r="A232" i="32"/>
  <c r="B232" i="32"/>
  <c r="A233" i="32"/>
  <c r="B233" i="32"/>
  <c r="A234" i="32"/>
  <c r="B234" i="32"/>
  <c r="A235" i="32"/>
  <c r="B235" i="32"/>
  <c r="A236" i="32"/>
  <c r="B236" i="32"/>
  <c r="A237" i="32"/>
  <c r="B237" i="32"/>
  <c r="A238" i="32"/>
  <c r="B238" i="32"/>
  <c r="A239" i="32"/>
  <c r="B239" i="32"/>
  <c r="A240" i="32"/>
  <c r="B240" i="32"/>
  <c r="A241" i="32"/>
  <c r="B241" i="32"/>
  <c r="A242" i="32"/>
  <c r="B242" i="32"/>
  <c r="A243" i="32"/>
  <c r="B243" i="32"/>
  <c r="A244" i="32"/>
  <c r="B244" i="32"/>
  <c r="A245" i="32"/>
  <c r="B245" i="32"/>
  <c r="A246" i="32"/>
  <c r="B246" i="32"/>
  <c r="A247" i="32"/>
  <c r="B247" i="32"/>
  <c r="A248" i="32"/>
  <c r="B248" i="32"/>
  <c r="A249" i="32"/>
  <c r="B249" i="32"/>
  <c r="A250" i="32"/>
  <c r="B250" i="32"/>
  <c r="A251" i="32"/>
  <c r="B251" i="32"/>
  <c r="A252" i="32"/>
  <c r="B252" i="32"/>
  <c r="A253" i="32"/>
  <c r="B253" i="32"/>
  <c r="A254" i="32"/>
  <c r="B254" i="32"/>
  <c r="A255" i="32"/>
  <c r="B255" i="32"/>
  <c r="A256" i="32"/>
  <c r="B256" i="32"/>
  <c r="A257" i="32"/>
  <c r="B257" i="32"/>
  <c r="A258" i="32"/>
  <c r="B258" i="32"/>
  <c r="A259" i="32"/>
  <c r="B259" i="32"/>
  <c r="A260" i="32"/>
  <c r="B260" i="32"/>
  <c r="A261" i="32"/>
  <c r="B261" i="32"/>
  <c r="A262" i="32"/>
  <c r="B262" i="32"/>
  <c r="A263" i="32"/>
  <c r="B263" i="32"/>
  <c r="A264" i="32"/>
  <c r="B264" i="32"/>
  <c r="A265" i="32"/>
  <c r="B265" i="32"/>
  <c r="A266" i="32"/>
  <c r="B266" i="32"/>
  <c r="A267" i="32"/>
  <c r="B267" i="32"/>
  <c r="A268" i="32"/>
  <c r="B268" i="32"/>
  <c r="A269" i="32"/>
  <c r="B269" i="32"/>
  <c r="A270" i="32"/>
  <c r="B270" i="32"/>
  <c r="A271" i="32"/>
  <c r="B271" i="32"/>
  <c r="A272" i="32"/>
  <c r="B272" i="32"/>
  <c r="A273" i="32"/>
  <c r="B273" i="32"/>
  <c r="A274" i="32"/>
  <c r="B274" i="32"/>
  <c r="A275" i="32"/>
  <c r="B275" i="32"/>
  <c r="A276" i="32"/>
  <c r="B276" i="32"/>
  <c r="A277" i="32"/>
  <c r="B277" i="32"/>
  <c r="A278" i="32"/>
  <c r="B278" i="32"/>
  <c r="A279" i="32"/>
  <c r="B279" i="32"/>
  <c r="A280" i="32"/>
  <c r="B280" i="32"/>
  <c r="A281" i="32"/>
  <c r="B281" i="32"/>
  <c r="A282" i="32"/>
  <c r="B282" i="32"/>
  <c r="A283" i="32"/>
  <c r="B283" i="32"/>
  <c r="A284" i="32"/>
  <c r="B284" i="32"/>
  <c r="A285" i="32"/>
  <c r="B285" i="32"/>
  <c r="A286" i="32"/>
  <c r="B286" i="32"/>
  <c r="A287" i="32"/>
  <c r="B287" i="32"/>
  <c r="A288" i="32"/>
  <c r="B288" i="32"/>
  <c r="A289" i="32"/>
  <c r="B289" i="32"/>
  <c r="A290" i="32"/>
  <c r="B290" i="32"/>
  <c r="A291" i="32"/>
  <c r="B291" i="32"/>
  <c r="A292" i="32"/>
  <c r="B292" i="32"/>
  <c r="A293" i="32"/>
  <c r="B293" i="32"/>
  <c r="A294" i="32"/>
  <c r="B294" i="32"/>
  <c r="A295" i="32"/>
  <c r="B295" i="32"/>
  <c r="A296" i="32"/>
  <c r="B296" i="32"/>
  <c r="A297" i="32"/>
  <c r="B297" i="32"/>
  <c r="A298" i="32"/>
  <c r="B298" i="32"/>
  <c r="A299" i="32"/>
  <c r="B299" i="32"/>
  <c r="A300" i="32"/>
  <c r="B300" i="32"/>
  <c r="A301" i="32"/>
  <c r="B301" i="32"/>
  <c r="A302" i="32"/>
  <c r="B302" i="32"/>
  <c r="A303" i="32"/>
  <c r="B303" i="32"/>
  <c r="A304" i="32"/>
  <c r="B304" i="32"/>
  <c r="A305" i="32"/>
  <c r="B305" i="32"/>
  <c r="A306" i="32"/>
  <c r="B306" i="32"/>
  <c r="A307" i="32"/>
  <c r="B307" i="32"/>
  <c r="A308" i="32"/>
  <c r="B308" i="32"/>
  <c r="A309" i="32"/>
  <c r="B309" i="32"/>
  <c r="A310" i="32"/>
  <c r="B310" i="32"/>
  <c r="A311" i="32"/>
  <c r="B311" i="32"/>
  <c r="A312" i="32"/>
  <c r="B312" i="32"/>
  <c r="A8" i="19"/>
  <c r="B8" i="19"/>
  <c r="C8" i="19"/>
  <c r="D8" i="19"/>
  <c r="E8" i="19"/>
  <c r="F8" i="19"/>
  <c r="H8" i="19"/>
  <c r="I8" i="19"/>
  <c r="J8" i="19"/>
  <c r="K8" i="19"/>
  <c r="L8" i="19"/>
  <c r="M8" i="19"/>
  <c r="N8" i="19"/>
  <c r="P8" i="19"/>
  <c r="Q8" i="19"/>
  <c r="S8" i="19"/>
  <c r="V8" i="19"/>
  <c r="W8" i="19"/>
  <c r="X8" i="19"/>
  <c r="Z8" i="19"/>
  <c r="D6" i="32" s="1"/>
  <c r="AA8" i="19"/>
  <c r="D6" i="33" s="1"/>
  <c r="A9" i="19"/>
  <c r="B9" i="19"/>
  <c r="C9" i="19"/>
  <c r="D9" i="19"/>
  <c r="E9" i="19"/>
  <c r="F9" i="19"/>
  <c r="H9" i="19"/>
  <c r="I9" i="19"/>
  <c r="J9" i="19"/>
  <c r="K9" i="19"/>
  <c r="L9" i="19"/>
  <c r="M9" i="19"/>
  <c r="N9" i="19"/>
  <c r="P9" i="19"/>
  <c r="Q9" i="19"/>
  <c r="S9" i="19"/>
  <c r="V9" i="19"/>
  <c r="W9" i="19"/>
  <c r="X9" i="19"/>
  <c r="Z9" i="19"/>
  <c r="D7" i="32" s="1"/>
  <c r="AA9" i="19"/>
  <c r="D7" i="33" s="1"/>
  <c r="A10" i="19"/>
  <c r="B10" i="19"/>
  <c r="C10" i="19"/>
  <c r="D10" i="19"/>
  <c r="E10" i="19"/>
  <c r="F10" i="19"/>
  <c r="H10" i="19"/>
  <c r="I10" i="19"/>
  <c r="J10" i="19"/>
  <c r="K10" i="19"/>
  <c r="L10" i="19"/>
  <c r="M10" i="19"/>
  <c r="N10" i="19"/>
  <c r="P10" i="19"/>
  <c r="Q10" i="19"/>
  <c r="S10" i="19"/>
  <c r="V10" i="19"/>
  <c r="W10" i="19"/>
  <c r="X10" i="19"/>
  <c r="Z10" i="19"/>
  <c r="D8" i="32" s="1"/>
  <c r="AA10" i="19"/>
  <c r="D8" i="33" s="1"/>
  <c r="A11" i="19"/>
  <c r="B11" i="19"/>
  <c r="C11" i="19"/>
  <c r="D11" i="19"/>
  <c r="E11" i="19"/>
  <c r="F11" i="19"/>
  <c r="H11" i="19"/>
  <c r="I11" i="19"/>
  <c r="J11" i="19"/>
  <c r="K11" i="19"/>
  <c r="L11" i="19"/>
  <c r="M11" i="19"/>
  <c r="N11" i="19"/>
  <c r="P11" i="19"/>
  <c r="Q11" i="19"/>
  <c r="S11" i="19"/>
  <c r="V11" i="19"/>
  <c r="W11" i="19"/>
  <c r="X11" i="19"/>
  <c r="Z11" i="19"/>
  <c r="D9" i="32" s="1"/>
  <c r="AA11" i="19"/>
  <c r="D9" i="33" s="1"/>
  <c r="A12" i="19"/>
  <c r="B12" i="19"/>
  <c r="C12" i="19"/>
  <c r="D12" i="19"/>
  <c r="E12" i="19"/>
  <c r="F12" i="19"/>
  <c r="H12" i="19"/>
  <c r="I12" i="19"/>
  <c r="J12" i="19"/>
  <c r="K12" i="19"/>
  <c r="L12" i="19"/>
  <c r="M12" i="19"/>
  <c r="N12" i="19"/>
  <c r="P12" i="19"/>
  <c r="Q12" i="19"/>
  <c r="S12" i="19"/>
  <c r="V12" i="19"/>
  <c r="W12" i="19"/>
  <c r="X12" i="19"/>
  <c r="Z12" i="19"/>
  <c r="D10" i="32" s="1"/>
  <c r="AA12" i="19"/>
  <c r="D10" i="33" s="1"/>
  <c r="A13" i="19"/>
  <c r="B13" i="19"/>
  <c r="C13" i="19"/>
  <c r="D13" i="19"/>
  <c r="E13" i="19"/>
  <c r="F13" i="19"/>
  <c r="H13" i="19"/>
  <c r="I13" i="19"/>
  <c r="J13" i="19"/>
  <c r="K13" i="19"/>
  <c r="L13" i="19"/>
  <c r="M13" i="19"/>
  <c r="N13" i="19"/>
  <c r="P13" i="19"/>
  <c r="Q13" i="19"/>
  <c r="S13" i="19"/>
  <c r="V13" i="19"/>
  <c r="W13" i="19"/>
  <c r="X13" i="19"/>
  <c r="Z13" i="19"/>
  <c r="D11" i="32" s="1"/>
  <c r="AA13" i="19"/>
  <c r="D11" i="33" s="1"/>
  <c r="A14" i="19"/>
  <c r="B14" i="19"/>
  <c r="C14" i="19"/>
  <c r="D14" i="19"/>
  <c r="E14" i="19"/>
  <c r="F14" i="19"/>
  <c r="H14" i="19"/>
  <c r="I14" i="19"/>
  <c r="J14" i="19"/>
  <c r="K14" i="19"/>
  <c r="L14" i="19"/>
  <c r="M14" i="19"/>
  <c r="N14" i="19"/>
  <c r="P14" i="19"/>
  <c r="Q14" i="19"/>
  <c r="S14" i="19"/>
  <c r="V14" i="19"/>
  <c r="W14" i="19"/>
  <c r="X14" i="19"/>
  <c r="Z14" i="19"/>
  <c r="D12" i="32" s="1"/>
  <c r="AA14" i="19"/>
  <c r="D12" i="33" s="1"/>
  <c r="A15" i="19"/>
  <c r="B15" i="19"/>
  <c r="C15" i="19"/>
  <c r="D15" i="19"/>
  <c r="E15" i="19"/>
  <c r="F15" i="19"/>
  <c r="H15" i="19"/>
  <c r="I15" i="19"/>
  <c r="J15" i="19"/>
  <c r="K15" i="19"/>
  <c r="L15" i="19"/>
  <c r="M15" i="19"/>
  <c r="N15" i="19"/>
  <c r="P15" i="19"/>
  <c r="Q15" i="19"/>
  <c r="S15" i="19"/>
  <c r="V15" i="19"/>
  <c r="W15" i="19"/>
  <c r="X15" i="19"/>
  <c r="Z15" i="19"/>
  <c r="D13" i="32" s="1"/>
  <c r="AA15" i="19"/>
  <c r="D13" i="33" s="1"/>
  <c r="A16" i="19"/>
  <c r="B16" i="19"/>
  <c r="C16" i="19"/>
  <c r="D16" i="19"/>
  <c r="E16" i="19"/>
  <c r="F16" i="19"/>
  <c r="H16" i="19"/>
  <c r="I16" i="19"/>
  <c r="J16" i="19"/>
  <c r="K16" i="19"/>
  <c r="L16" i="19"/>
  <c r="M16" i="19"/>
  <c r="N16" i="19"/>
  <c r="P16" i="19"/>
  <c r="Q16" i="19"/>
  <c r="S16" i="19"/>
  <c r="V16" i="19"/>
  <c r="W16" i="19"/>
  <c r="X16" i="19"/>
  <c r="Z16" i="19"/>
  <c r="D14" i="32" s="1"/>
  <c r="AA16" i="19"/>
  <c r="D14" i="33" s="1"/>
  <c r="A17" i="19"/>
  <c r="B17" i="19"/>
  <c r="C17" i="19"/>
  <c r="D17" i="19"/>
  <c r="E17" i="19"/>
  <c r="F17" i="19"/>
  <c r="H17" i="19"/>
  <c r="I17" i="19"/>
  <c r="J17" i="19"/>
  <c r="K17" i="19"/>
  <c r="L17" i="19"/>
  <c r="M17" i="19"/>
  <c r="N17" i="19"/>
  <c r="P17" i="19"/>
  <c r="Q17" i="19"/>
  <c r="S17" i="19"/>
  <c r="V17" i="19"/>
  <c r="W17" i="19"/>
  <c r="X17" i="19"/>
  <c r="Z17" i="19"/>
  <c r="D15" i="32" s="1"/>
  <c r="AA17" i="19"/>
  <c r="D15" i="33" s="1"/>
  <c r="A18" i="19"/>
  <c r="B18" i="19"/>
  <c r="C18" i="19"/>
  <c r="D18" i="19"/>
  <c r="E18" i="19"/>
  <c r="F18" i="19"/>
  <c r="H18" i="19"/>
  <c r="I18" i="19"/>
  <c r="J18" i="19"/>
  <c r="K18" i="19"/>
  <c r="L18" i="19"/>
  <c r="M18" i="19"/>
  <c r="N18" i="19"/>
  <c r="P18" i="19"/>
  <c r="Q18" i="19"/>
  <c r="S18" i="19"/>
  <c r="V18" i="19"/>
  <c r="W18" i="19"/>
  <c r="X18" i="19"/>
  <c r="Z18" i="19"/>
  <c r="D16" i="32" s="1"/>
  <c r="AA18" i="19"/>
  <c r="D16" i="33" s="1"/>
  <c r="A19" i="19"/>
  <c r="B19" i="19"/>
  <c r="C19" i="19"/>
  <c r="D19" i="19"/>
  <c r="E19" i="19"/>
  <c r="F19" i="19"/>
  <c r="H19" i="19"/>
  <c r="I19" i="19"/>
  <c r="J19" i="19"/>
  <c r="K19" i="19"/>
  <c r="L19" i="19"/>
  <c r="M19" i="19"/>
  <c r="N19" i="19"/>
  <c r="P19" i="19"/>
  <c r="Q19" i="19"/>
  <c r="S19" i="19"/>
  <c r="V19" i="19"/>
  <c r="W19" i="19"/>
  <c r="X19" i="19"/>
  <c r="Z19" i="19"/>
  <c r="D17" i="32" s="1"/>
  <c r="AA19" i="19"/>
  <c r="D17" i="33" s="1"/>
  <c r="A20" i="19"/>
  <c r="B20" i="19"/>
  <c r="C20" i="19"/>
  <c r="D20" i="19"/>
  <c r="E20" i="19"/>
  <c r="F20" i="19"/>
  <c r="H20" i="19"/>
  <c r="I20" i="19"/>
  <c r="J20" i="19"/>
  <c r="K20" i="19"/>
  <c r="L20" i="19"/>
  <c r="M20" i="19"/>
  <c r="N20" i="19"/>
  <c r="P20" i="19"/>
  <c r="Q20" i="19"/>
  <c r="S20" i="19"/>
  <c r="V20" i="19"/>
  <c r="W20" i="19"/>
  <c r="X20" i="19"/>
  <c r="Z20" i="19"/>
  <c r="D18" i="32" s="1"/>
  <c r="AA20" i="19"/>
  <c r="D18" i="33" s="1"/>
  <c r="A21" i="19"/>
  <c r="B21" i="19"/>
  <c r="C21" i="19"/>
  <c r="D21" i="19"/>
  <c r="E21" i="19"/>
  <c r="F21" i="19"/>
  <c r="H21" i="19"/>
  <c r="I21" i="19"/>
  <c r="J21" i="19"/>
  <c r="K21" i="19"/>
  <c r="L21" i="19"/>
  <c r="M21" i="19"/>
  <c r="N21" i="19"/>
  <c r="P21" i="19"/>
  <c r="Q21" i="19"/>
  <c r="S21" i="19"/>
  <c r="V21" i="19"/>
  <c r="W21" i="19"/>
  <c r="X21" i="19"/>
  <c r="Z21" i="19"/>
  <c r="D19" i="32" s="1"/>
  <c r="AA21" i="19"/>
  <c r="D19" i="33" s="1"/>
  <c r="A22" i="19"/>
  <c r="B22" i="19"/>
  <c r="C22" i="19"/>
  <c r="D22" i="19"/>
  <c r="E22" i="19"/>
  <c r="F22" i="19"/>
  <c r="H22" i="19"/>
  <c r="I22" i="19"/>
  <c r="J22" i="19"/>
  <c r="K22" i="19"/>
  <c r="L22" i="19"/>
  <c r="M22" i="19"/>
  <c r="N22" i="19"/>
  <c r="P22" i="19"/>
  <c r="Q22" i="19"/>
  <c r="S22" i="19"/>
  <c r="V22" i="19"/>
  <c r="W22" i="19"/>
  <c r="X22" i="19"/>
  <c r="Z22" i="19"/>
  <c r="D20" i="32" s="1"/>
  <c r="AA22" i="19"/>
  <c r="D20" i="33" s="1"/>
  <c r="A23" i="19"/>
  <c r="B23" i="19"/>
  <c r="C23" i="19"/>
  <c r="D23" i="19"/>
  <c r="E23" i="19"/>
  <c r="F23" i="19"/>
  <c r="H23" i="19"/>
  <c r="I23" i="19"/>
  <c r="J23" i="19"/>
  <c r="K23" i="19"/>
  <c r="L23" i="19"/>
  <c r="M23" i="19"/>
  <c r="N23" i="19"/>
  <c r="P23" i="19"/>
  <c r="Q23" i="19"/>
  <c r="S23" i="19"/>
  <c r="V23" i="19"/>
  <c r="W23" i="19"/>
  <c r="X23" i="19"/>
  <c r="Z23" i="19"/>
  <c r="D21" i="32" s="1"/>
  <c r="AA23" i="19"/>
  <c r="D21" i="33" s="1"/>
  <c r="A24" i="19"/>
  <c r="B24" i="19"/>
  <c r="C24" i="19"/>
  <c r="D24" i="19"/>
  <c r="E24" i="19"/>
  <c r="F24" i="19"/>
  <c r="H24" i="19"/>
  <c r="I24" i="19"/>
  <c r="J24" i="19"/>
  <c r="K24" i="19"/>
  <c r="L24" i="19"/>
  <c r="M24" i="19"/>
  <c r="N24" i="19"/>
  <c r="P24" i="19"/>
  <c r="Q24" i="19"/>
  <c r="S24" i="19"/>
  <c r="V24" i="19"/>
  <c r="W24" i="19"/>
  <c r="X24" i="19"/>
  <c r="Z24" i="19"/>
  <c r="D22" i="32" s="1"/>
  <c r="AA24" i="19"/>
  <c r="D22" i="33" s="1"/>
  <c r="A25" i="19"/>
  <c r="B25" i="19"/>
  <c r="C25" i="19"/>
  <c r="D25" i="19"/>
  <c r="E25" i="19"/>
  <c r="F25" i="19"/>
  <c r="H25" i="19"/>
  <c r="I25" i="19"/>
  <c r="J25" i="19"/>
  <c r="K25" i="19"/>
  <c r="L25" i="19"/>
  <c r="M25" i="19"/>
  <c r="N25" i="19"/>
  <c r="P25" i="19"/>
  <c r="Q25" i="19"/>
  <c r="S25" i="19"/>
  <c r="V25" i="19"/>
  <c r="W25" i="19"/>
  <c r="X25" i="19"/>
  <c r="Z25" i="19"/>
  <c r="D23" i="32" s="1"/>
  <c r="AA25" i="19"/>
  <c r="D23" i="33" s="1"/>
  <c r="A26" i="19"/>
  <c r="B26" i="19"/>
  <c r="C26" i="19"/>
  <c r="D26" i="19"/>
  <c r="E26" i="19"/>
  <c r="F26" i="19"/>
  <c r="H26" i="19"/>
  <c r="I26" i="19"/>
  <c r="J26" i="19"/>
  <c r="K26" i="19"/>
  <c r="L26" i="19"/>
  <c r="M26" i="19"/>
  <c r="N26" i="19"/>
  <c r="P26" i="19"/>
  <c r="Q26" i="19"/>
  <c r="S26" i="19"/>
  <c r="V26" i="19"/>
  <c r="W26" i="19"/>
  <c r="X26" i="19"/>
  <c r="Z26" i="19"/>
  <c r="D24" i="32" s="1"/>
  <c r="AA26" i="19"/>
  <c r="D24" i="33" s="1"/>
  <c r="A27" i="19"/>
  <c r="B27" i="19"/>
  <c r="C27" i="19"/>
  <c r="D27" i="19"/>
  <c r="E27" i="19"/>
  <c r="F27" i="19"/>
  <c r="H27" i="19"/>
  <c r="I27" i="19"/>
  <c r="J27" i="19"/>
  <c r="K27" i="19"/>
  <c r="L27" i="19"/>
  <c r="M27" i="19"/>
  <c r="N27" i="19"/>
  <c r="P27" i="19"/>
  <c r="Q27" i="19"/>
  <c r="S27" i="19"/>
  <c r="V27" i="19"/>
  <c r="W27" i="19"/>
  <c r="X27" i="19"/>
  <c r="Z27" i="19"/>
  <c r="D25" i="32" s="1"/>
  <c r="AA27" i="19"/>
  <c r="D25" i="33" s="1"/>
  <c r="A28" i="19"/>
  <c r="B28" i="19"/>
  <c r="C28" i="19"/>
  <c r="D28" i="19"/>
  <c r="E28" i="19"/>
  <c r="F28" i="19"/>
  <c r="H28" i="19"/>
  <c r="I28" i="19"/>
  <c r="J28" i="19"/>
  <c r="K28" i="19"/>
  <c r="L28" i="19"/>
  <c r="M28" i="19"/>
  <c r="N28" i="19"/>
  <c r="P28" i="19"/>
  <c r="Q28" i="19"/>
  <c r="S28" i="19"/>
  <c r="V28" i="19"/>
  <c r="W28" i="19"/>
  <c r="X28" i="19"/>
  <c r="Z28" i="19"/>
  <c r="D26" i="32" s="1"/>
  <c r="AA28" i="19"/>
  <c r="D26" i="33" s="1"/>
  <c r="A29" i="19"/>
  <c r="B29" i="19"/>
  <c r="C29" i="19"/>
  <c r="D29" i="19"/>
  <c r="E29" i="19"/>
  <c r="F29" i="19"/>
  <c r="H29" i="19"/>
  <c r="I29" i="19"/>
  <c r="J29" i="19"/>
  <c r="K29" i="19"/>
  <c r="L29" i="19"/>
  <c r="M29" i="19"/>
  <c r="N29" i="19"/>
  <c r="P29" i="19"/>
  <c r="Q29" i="19"/>
  <c r="S29" i="19"/>
  <c r="V29" i="19"/>
  <c r="W29" i="19"/>
  <c r="X29" i="19"/>
  <c r="Z29" i="19"/>
  <c r="D27" i="32" s="1"/>
  <c r="AA29" i="19"/>
  <c r="D27" i="33" s="1"/>
  <c r="A30" i="19"/>
  <c r="B30" i="19"/>
  <c r="C30" i="19"/>
  <c r="D30" i="19"/>
  <c r="E30" i="19"/>
  <c r="F30" i="19"/>
  <c r="H30" i="19"/>
  <c r="I30" i="19"/>
  <c r="J30" i="19"/>
  <c r="K30" i="19"/>
  <c r="L30" i="19"/>
  <c r="M30" i="19"/>
  <c r="N30" i="19"/>
  <c r="P30" i="19"/>
  <c r="Q30" i="19"/>
  <c r="S30" i="19"/>
  <c r="V30" i="19"/>
  <c r="W30" i="19"/>
  <c r="X30" i="19"/>
  <c r="Z30" i="19"/>
  <c r="D28" i="32" s="1"/>
  <c r="AA30" i="19"/>
  <c r="D28" i="33" s="1"/>
  <c r="A31" i="19"/>
  <c r="B31" i="19"/>
  <c r="C31" i="19"/>
  <c r="D31" i="19"/>
  <c r="E31" i="19"/>
  <c r="F31" i="19"/>
  <c r="H31" i="19"/>
  <c r="I31" i="19"/>
  <c r="J31" i="19"/>
  <c r="K31" i="19"/>
  <c r="L31" i="19"/>
  <c r="M31" i="19"/>
  <c r="N31" i="19"/>
  <c r="P31" i="19"/>
  <c r="Q31" i="19"/>
  <c r="S31" i="19"/>
  <c r="V31" i="19"/>
  <c r="W31" i="19"/>
  <c r="X31" i="19"/>
  <c r="Z31" i="19"/>
  <c r="D29" i="32" s="1"/>
  <c r="AA31" i="19"/>
  <c r="D29" i="33" s="1"/>
  <c r="A32" i="19"/>
  <c r="B32" i="19"/>
  <c r="C32" i="19"/>
  <c r="D32" i="19"/>
  <c r="E32" i="19"/>
  <c r="F32" i="19"/>
  <c r="H32" i="19"/>
  <c r="I32" i="19"/>
  <c r="J32" i="19"/>
  <c r="K32" i="19"/>
  <c r="L32" i="19"/>
  <c r="M32" i="19"/>
  <c r="N32" i="19"/>
  <c r="P32" i="19"/>
  <c r="Q32" i="19"/>
  <c r="S32" i="19"/>
  <c r="V32" i="19"/>
  <c r="W32" i="19"/>
  <c r="X32" i="19"/>
  <c r="Z32" i="19"/>
  <c r="D30" i="32" s="1"/>
  <c r="AA32" i="19"/>
  <c r="D30" i="33" s="1"/>
  <c r="A33" i="19"/>
  <c r="B33" i="19"/>
  <c r="C33" i="19"/>
  <c r="D33" i="19"/>
  <c r="E33" i="19"/>
  <c r="F33" i="19"/>
  <c r="H33" i="19"/>
  <c r="I33" i="19"/>
  <c r="J33" i="19"/>
  <c r="K33" i="19"/>
  <c r="L33" i="19"/>
  <c r="M33" i="19"/>
  <c r="N33" i="19"/>
  <c r="P33" i="19"/>
  <c r="Q33" i="19"/>
  <c r="S33" i="19"/>
  <c r="V33" i="19"/>
  <c r="W33" i="19"/>
  <c r="X33" i="19"/>
  <c r="Z33" i="19"/>
  <c r="D31" i="32" s="1"/>
  <c r="AA33" i="19"/>
  <c r="D31" i="33" s="1"/>
  <c r="A34" i="19"/>
  <c r="B34" i="19"/>
  <c r="C34" i="19"/>
  <c r="D34" i="19"/>
  <c r="E34" i="19"/>
  <c r="F34" i="19"/>
  <c r="H34" i="19"/>
  <c r="I34" i="19"/>
  <c r="J34" i="19"/>
  <c r="K34" i="19"/>
  <c r="L34" i="19"/>
  <c r="M34" i="19"/>
  <c r="N34" i="19"/>
  <c r="P34" i="19"/>
  <c r="Q34" i="19"/>
  <c r="S34" i="19"/>
  <c r="V34" i="19"/>
  <c r="W34" i="19"/>
  <c r="X34" i="19"/>
  <c r="Z34" i="19"/>
  <c r="D32" i="32" s="1"/>
  <c r="AA34" i="19"/>
  <c r="D32" i="33" s="1"/>
  <c r="A35" i="19"/>
  <c r="B35" i="19"/>
  <c r="C35" i="19"/>
  <c r="D35" i="19"/>
  <c r="E35" i="19"/>
  <c r="F35" i="19"/>
  <c r="H35" i="19"/>
  <c r="I35" i="19"/>
  <c r="J35" i="19"/>
  <c r="K35" i="19"/>
  <c r="L35" i="19"/>
  <c r="M35" i="19"/>
  <c r="N35" i="19"/>
  <c r="P35" i="19"/>
  <c r="Q35" i="19"/>
  <c r="S35" i="19"/>
  <c r="V35" i="19"/>
  <c r="W35" i="19"/>
  <c r="X35" i="19"/>
  <c r="Z35" i="19"/>
  <c r="D33" i="32" s="1"/>
  <c r="AA35" i="19"/>
  <c r="D33" i="33" s="1"/>
  <c r="A36" i="19"/>
  <c r="B36" i="19"/>
  <c r="C36" i="19"/>
  <c r="D36" i="19"/>
  <c r="E36" i="19"/>
  <c r="F36" i="19"/>
  <c r="H36" i="19"/>
  <c r="I36" i="19"/>
  <c r="J36" i="19"/>
  <c r="K36" i="19"/>
  <c r="L36" i="19"/>
  <c r="M36" i="19"/>
  <c r="N36" i="19"/>
  <c r="P36" i="19"/>
  <c r="Q36" i="19"/>
  <c r="S36" i="19"/>
  <c r="V36" i="19"/>
  <c r="W36" i="19"/>
  <c r="X36" i="19"/>
  <c r="Z36" i="19"/>
  <c r="D34" i="32" s="1"/>
  <c r="AA36" i="19"/>
  <c r="D34" i="33" s="1"/>
  <c r="A37" i="19"/>
  <c r="B37" i="19"/>
  <c r="C37" i="19"/>
  <c r="D37" i="19"/>
  <c r="E37" i="19"/>
  <c r="F37" i="19"/>
  <c r="H37" i="19"/>
  <c r="I37" i="19"/>
  <c r="J37" i="19"/>
  <c r="K37" i="19"/>
  <c r="L37" i="19"/>
  <c r="M37" i="19"/>
  <c r="N37" i="19"/>
  <c r="P37" i="19"/>
  <c r="Q37" i="19"/>
  <c r="S37" i="19"/>
  <c r="V37" i="19"/>
  <c r="W37" i="19"/>
  <c r="X37" i="19"/>
  <c r="Z37" i="19"/>
  <c r="D35" i="32" s="1"/>
  <c r="AA37" i="19"/>
  <c r="D35" i="33" s="1"/>
  <c r="A38" i="19"/>
  <c r="B38" i="19"/>
  <c r="C38" i="19"/>
  <c r="D38" i="19"/>
  <c r="E38" i="19"/>
  <c r="F38" i="19"/>
  <c r="H38" i="19"/>
  <c r="I38" i="19"/>
  <c r="J38" i="19"/>
  <c r="K38" i="19"/>
  <c r="L38" i="19"/>
  <c r="M38" i="19"/>
  <c r="N38" i="19"/>
  <c r="P38" i="19"/>
  <c r="Q38" i="19"/>
  <c r="S38" i="19"/>
  <c r="V38" i="19"/>
  <c r="W38" i="19"/>
  <c r="X38" i="19"/>
  <c r="Z38" i="19"/>
  <c r="D36" i="32" s="1"/>
  <c r="AA38" i="19"/>
  <c r="D36" i="33" s="1"/>
  <c r="A39" i="19"/>
  <c r="B39" i="19"/>
  <c r="C39" i="19"/>
  <c r="D39" i="19"/>
  <c r="E39" i="19"/>
  <c r="F39" i="19"/>
  <c r="H39" i="19"/>
  <c r="I39" i="19"/>
  <c r="J39" i="19"/>
  <c r="K39" i="19"/>
  <c r="L39" i="19"/>
  <c r="M39" i="19"/>
  <c r="N39" i="19"/>
  <c r="P39" i="19"/>
  <c r="Q39" i="19"/>
  <c r="S39" i="19"/>
  <c r="V39" i="19"/>
  <c r="W39" i="19"/>
  <c r="X39" i="19"/>
  <c r="Z39" i="19"/>
  <c r="D37" i="32" s="1"/>
  <c r="AA39" i="19"/>
  <c r="D37" i="33" s="1"/>
  <c r="A40" i="19"/>
  <c r="B40" i="19"/>
  <c r="C40" i="19"/>
  <c r="D40" i="19"/>
  <c r="E40" i="19"/>
  <c r="F40" i="19"/>
  <c r="H40" i="19"/>
  <c r="I40" i="19"/>
  <c r="J40" i="19"/>
  <c r="K40" i="19"/>
  <c r="L40" i="19"/>
  <c r="M40" i="19"/>
  <c r="N40" i="19"/>
  <c r="P40" i="19"/>
  <c r="Q40" i="19"/>
  <c r="S40" i="19"/>
  <c r="V40" i="19"/>
  <c r="W40" i="19"/>
  <c r="X40" i="19"/>
  <c r="Z40" i="19"/>
  <c r="D38" i="32" s="1"/>
  <c r="AA40" i="19"/>
  <c r="D38" i="33" s="1"/>
  <c r="A41" i="19"/>
  <c r="B41" i="19"/>
  <c r="C41" i="19"/>
  <c r="D41" i="19"/>
  <c r="E41" i="19"/>
  <c r="F41" i="19"/>
  <c r="H41" i="19"/>
  <c r="I41" i="19"/>
  <c r="J41" i="19"/>
  <c r="K41" i="19"/>
  <c r="L41" i="19"/>
  <c r="M41" i="19"/>
  <c r="N41" i="19"/>
  <c r="P41" i="19"/>
  <c r="Q41" i="19"/>
  <c r="S41" i="19"/>
  <c r="V41" i="19"/>
  <c r="W41" i="19"/>
  <c r="X41" i="19"/>
  <c r="Z41" i="19"/>
  <c r="D39" i="32" s="1"/>
  <c r="AA41" i="19"/>
  <c r="D39" i="33" s="1"/>
  <c r="A42" i="19"/>
  <c r="B42" i="19"/>
  <c r="C42" i="19"/>
  <c r="D42" i="19"/>
  <c r="E42" i="19"/>
  <c r="F42" i="19"/>
  <c r="H42" i="19"/>
  <c r="I42" i="19"/>
  <c r="J42" i="19"/>
  <c r="K42" i="19"/>
  <c r="L42" i="19"/>
  <c r="M42" i="19"/>
  <c r="N42" i="19"/>
  <c r="P42" i="19"/>
  <c r="Q42" i="19"/>
  <c r="S42" i="19"/>
  <c r="V42" i="19"/>
  <c r="W42" i="19"/>
  <c r="X42" i="19"/>
  <c r="Z42" i="19"/>
  <c r="D40" i="32" s="1"/>
  <c r="AA42" i="19"/>
  <c r="D40" i="33" s="1"/>
  <c r="A43" i="19"/>
  <c r="B43" i="19"/>
  <c r="C43" i="19"/>
  <c r="D43" i="19"/>
  <c r="E43" i="19"/>
  <c r="F43" i="19"/>
  <c r="H43" i="19"/>
  <c r="I43" i="19"/>
  <c r="J43" i="19"/>
  <c r="K43" i="19"/>
  <c r="L43" i="19"/>
  <c r="M43" i="19"/>
  <c r="N43" i="19"/>
  <c r="P43" i="19"/>
  <c r="Q43" i="19"/>
  <c r="S43" i="19"/>
  <c r="V43" i="19"/>
  <c r="W43" i="19"/>
  <c r="X43" i="19"/>
  <c r="Z43" i="19"/>
  <c r="D41" i="32" s="1"/>
  <c r="AA43" i="19"/>
  <c r="D41" i="33" s="1"/>
  <c r="A44" i="19"/>
  <c r="B44" i="19"/>
  <c r="C44" i="19"/>
  <c r="D44" i="19"/>
  <c r="E44" i="19"/>
  <c r="F44" i="19"/>
  <c r="H44" i="19"/>
  <c r="I44" i="19"/>
  <c r="J44" i="19"/>
  <c r="K44" i="19"/>
  <c r="L44" i="19"/>
  <c r="M44" i="19"/>
  <c r="N44" i="19"/>
  <c r="P44" i="19"/>
  <c r="Q44" i="19"/>
  <c r="S44" i="19"/>
  <c r="V44" i="19"/>
  <c r="W44" i="19"/>
  <c r="X44" i="19"/>
  <c r="Z44" i="19"/>
  <c r="D42" i="32" s="1"/>
  <c r="AA44" i="19"/>
  <c r="D42" i="33" s="1"/>
  <c r="A45" i="19"/>
  <c r="B45" i="19"/>
  <c r="C45" i="19"/>
  <c r="D45" i="19"/>
  <c r="E45" i="19"/>
  <c r="F45" i="19"/>
  <c r="H45" i="19"/>
  <c r="I45" i="19"/>
  <c r="J45" i="19"/>
  <c r="K45" i="19"/>
  <c r="L45" i="19"/>
  <c r="M45" i="19"/>
  <c r="N45" i="19"/>
  <c r="P45" i="19"/>
  <c r="Q45" i="19"/>
  <c r="S45" i="19"/>
  <c r="V45" i="19"/>
  <c r="W45" i="19"/>
  <c r="X45" i="19"/>
  <c r="Z45" i="19"/>
  <c r="D43" i="32" s="1"/>
  <c r="AA45" i="19"/>
  <c r="D43" i="33" s="1"/>
  <c r="A46" i="19"/>
  <c r="B46" i="19"/>
  <c r="C46" i="19"/>
  <c r="D46" i="19"/>
  <c r="E46" i="19"/>
  <c r="F46" i="19"/>
  <c r="H46" i="19"/>
  <c r="I46" i="19"/>
  <c r="J46" i="19"/>
  <c r="K46" i="19"/>
  <c r="L46" i="19"/>
  <c r="M46" i="19"/>
  <c r="N46" i="19"/>
  <c r="P46" i="19"/>
  <c r="Q46" i="19"/>
  <c r="S46" i="19"/>
  <c r="V46" i="19"/>
  <c r="W46" i="19"/>
  <c r="X46" i="19"/>
  <c r="Z46" i="19"/>
  <c r="D44" i="32" s="1"/>
  <c r="AA46" i="19"/>
  <c r="D44" i="33" s="1"/>
  <c r="A47" i="19"/>
  <c r="B47" i="19"/>
  <c r="C47" i="19"/>
  <c r="D47" i="19"/>
  <c r="E47" i="19"/>
  <c r="F47" i="19"/>
  <c r="H47" i="19"/>
  <c r="I47" i="19"/>
  <c r="J47" i="19"/>
  <c r="K47" i="19"/>
  <c r="L47" i="19"/>
  <c r="M47" i="19"/>
  <c r="N47" i="19"/>
  <c r="P47" i="19"/>
  <c r="Q47" i="19"/>
  <c r="S47" i="19"/>
  <c r="V47" i="19"/>
  <c r="W47" i="19"/>
  <c r="X47" i="19"/>
  <c r="Z47" i="19"/>
  <c r="D45" i="32" s="1"/>
  <c r="AA47" i="19"/>
  <c r="D45" i="33" s="1"/>
  <c r="A48" i="19"/>
  <c r="B48" i="19"/>
  <c r="C48" i="19"/>
  <c r="D48" i="19"/>
  <c r="E48" i="19"/>
  <c r="F48" i="19"/>
  <c r="H48" i="19"/>
  <c r="I48" i="19"/>
  <c r="J48" i="19"/>
  <c r="K48" i="19"/>
  <c r="L48" i="19"/>
  <c r="M48" i="19"/>
  <c r="N48" i="19"/>
  <c r="P48" i="19"/>
  <c r="Q48" i="19"/>
  <c r="S48" i="19"/>
  <c r="V48" i="19"/>
  <c r="W48" i="19"/>
  <c r="X48" i="19"/>
  <c r="Z48" i="19"/>
  <c r="D46" i="32" s="1"/>
  <c r="AA48" i="19"/>
  <c r="D46" i="33" s="1"/>
  <c r="A49" i="19"/>
  <c r="B49" i="19"/>
  <c r="C49" i="19"/>
  <c r="D49" i="19"/>
  <c r="E49" i="19"/>
  <c r="F49" i="19"/>
  <c r="H49" i="19"/>
  <c r="I49" i="19"/>
  <c r="J49" i="19"/>
  <c r="K49" i="19"/>
  <c r="L49" i="19"/>
  <c r="M49" i="19"/>
  <c r="N49" i="19"/>
  <c r="P49" i="19"/>
  <c r="Q49" i="19"/>
  <c r="S49" i="19"/>
  <c r="V49" i="19"/>
  <c r="W49" i="19"/>
  <c r="X49" i="19"/>
  <c r="Z49" i="19"/>
  <c r="D47" i="32" s="1"/>
  <c r="AA49" i="19"/>
  <c r="D47" i="33" s="1"/>
  <c r="A50" i="19"/>
  <c r="B50" i="19"/>
  <c r="C50" i="19"/>
  <c r="D50" i="19"/>
  <c r="E50" i="19"/>
  <c r="F50" i="19"/>
  <c r="H50" i="19"/>
  <c r="I50" i="19"/>
  <c r="J50" i="19"/>
  <c r="K50" i="19"/>
  <c r="L50" i="19"/>
  <c r="M50" i="19"/>
  <c r="N50" i="19"/>
  <c r="P50" i="19"/>
  <c r="Q50" i="19"/>
  <c r="S50" i="19"/>
  <c r="V50" i="19"/>
  <c r="W50" i="19"/>
  <c r="X50" i="19"/>
  <c r="Z50" i="19"/>
  <c r="D48" i="32" s="1"/>
  <c r="AA50" i="19"/>
  <c r="D48" i="33" s="1"/>
  <c r="A51" i="19"/>
  <c r="B51" i="19"/>
  <c r="C51" i="19"/>
  <c r="D51" i="19"/>
  <c r="E51" i="19"/>
  <c r="F51" i="19"/>
  <c r="H51" i="19"/>
  <c r="I51" i="19"/>
  <c r="J51" i="19"/>
  <c r="K51" i="19"/>
  <c r="L51" i="19"/>
  <c r="M51" i="19"/>
  <c r="N51" i="19"/>
  <c r="P51" i="19"/>
  <c r="Q51" i="19"/>
  <c r="S51" i="19"/>
  <c r="V51" i="19"/>
  <c r="W51" i="19"/>
  <c r="X51" i="19"/>
  <c r="Z51" i="19"/>
  <c r="D49" i="32" s="1"/>
  <c r="AA51" i="19"/>
  <c r="D49" i="33" s="1"/>
  <c r="A52" i="19"/>
  <c r="B52" i="19"/>
  <c r="C52" i="19"/>
  <c r="D52" i="19"/>
  <c r="E52" i="19"/>
  <c r="F52" i="19"/>
  <c r="H52" i="19"/>
  <c r="I52" i="19"/>
  <c r="J52" i="19"/>
  <c r="K52" i="19"/>
  <c r="L52" i="19"/>
  <c r="M52" i="19"/>
  <c r="N52" i="19"/>
  <c r="P52" i="19"/>
  <c r="Q52" i="19"/>
  <c r="S52" i="19"/>
  <c r="V52" i="19"/>
  <c r="W52" i="19"/>
  <c r="X52" i="19"/>
  <c r="Z52" i="19"/>
  <c r="D50" i="32" s="1"/>
  <c r="AA52" i="19"/>
  <c r="D50" i="33" s="1"/>
  <c r="A53" i="19"/>
  <c r="B53" i="19"/>
  <c r="C53" i="19"/>
  <c r="D53" i="19"/>
  <c r="E53" i="19"/>
  <c r="F53" i="19"/>
  <c r="H53" i="19"/>
  <c r="I53" i="19"/>
  <c r="J53" i="19"/>
  <c r="K53" i="19"/>
  <c r="L53" i="19"/>
  <c r="M53" i="19"/>
  <c r="N53" i="19"/>
  <c r="P53" i="19"/>
  <c r="Q53" i="19"/>
  <c r="S53" i="19"/>
  <c r="V53" i="19"/>
  <c r="W53" i="19"/>
  <c r="X53" i="19"/>
  <c r="Z53" i="19"/>
  <c r="D51" i="32" s="1"/>
  <c r="AA53" i="19"/>
  <c r="D51" i="33" s="1"/>
  <c r="A54" i="19"/>
  <c r="B54" i="19"/>
  <c r="C54" i="19"/>
  <c r="D54" i="19"/>
  <c r="E54" i="19"/>
  <c r="F54" i="19"/>
  <c r="H54" i="19"/>
  <c r="I54" i="19"/>
  <c r="J54" i="19"/>
  <c r="K54" i="19"/>
  <c r="L54" i="19"/>
  <c r="M54" i="19"/>
  <c r="N54" i="19"/>
  <c r="P54" i="19"/>
  <c r="Q54" i="19"/>
  <c r="S54" i="19"/>
  <c r="V54" i="19"/>
  <c r="W54" i="19"/>
  <c r="X54" i="19"/>
  <c r="Z54" i="19"/>
  <c r="D52" i="32" s="1"/>
  <c r="AA54" i="19"/>
  <c r="D52" i="33" s="1"/>
  <c r="A55" i="19"/>
  <c r="B55" i="19"/>
  <c r="C55" i="19"/>
  <c r="D55" i="19"/>
  <c r="E55" i="19"/>
  <c r="F55" i="19"/>
  <c r="H55" i="19"/>
  <c r="I55" i="19"/>
  <c r="J55" i="19"/>
  <c r="K55" i="19"/>
  <c r="L55" i="19"/>
  <c r="M55" i="19"/>
  <c r="N55" i="19"/>
  <c r="P55" i="19"/>
  <c r="Q55" i="19"/>
  <c r="S55" i="19"/>
  <c r="V55" i="19"/>
  <c r="W55" i="19"/>
  <c r="X55" i="19"/>
  <c r="Z55" i="19"/>
  <c r="D53" i="32" s="1"/>
  <c r="AA55" i="19"/>
  <c r="D53" i="33" s="1"/>
  <c r="A56" i="19"/>
  <c r="B56" i="19"/>
  <c r="C56" i="19"/>
  <c r="D56" i="19"/>
  <c r="E56" i="19"/>
  <c r="F56" i="19"/>
  <c r="H56" i="19"/>
  <c r="I56" i="19"/>
  <c r="J56" i="19"/>
  <c r="K56" i="19"/>
  <c r="L56" i="19"/>
  <c r="M56" i="19"/>
  <c r="N56" i="19"/>
  <c r="P56" i="19"/>
  <c r="Q56" i="19"/>
  <c r="S56" i="19"/>
  <c r="V56" i="19"/>
  <c r="W56" i="19"/>
  <c r="X56" i="19"/>
  <c r="Z56" i="19"/>
  <c r="D54" i="32" s="1"/>
  <c r="AA56" i="19"/>
  <c r="D54" i="33" s="1"/>
  <c r="A57" i="19"/>
  <c r="B57" i="19"/>
  <c r="C57" i="19"/>
  <c r="D57" i="19"/>
  <c r="E57" i="19"/>
  <c r="F57" i="19"/>
  <c r="H57" i="19"/>
  <c r="I57" i="19"/>
  <c r="J57" i="19"/>
  <c r="K57" i="19"/>
  <c r="L57" i="19"/>
  <c r="M57" i="19"/>
  <c r="N57" i="19"/>
  <c r="P57" i="19"/>
  <c r="Q57" i="19"/>
  <c r="S57" i="19"/>
  <c r="V57" i="19"/>
  <c r="W57" i="19"/>
  <c r="X57" i="19"/>
  <c r="Z57" i="19"/>
  <c r="D55" i="32" s="1"/>
  <c r="AA57" i="19"/>
  <c r="D55" i="33" s="1"/>
  <c r="A58" i="19"/>
  <c r="B58" i="19"/>
  <c r="C58" i="19"/>
  <c r="D58" i="19"/>
  <c r="E58" i="19"/>
  <c r="F58" i="19"/>
  <c r="H58" i="19"/>
  <c r="I58" i="19"/>
  <c r="J58" i="19"/>
  <c r="K58" i="19"/>
  <c r="L58" i="19"/>
  <c r="M58" i="19"/>
  <c r="N58" i="19"/>
  <c r="P58" i="19"/>
  <c r="Q58" i="19"/>
  <c r="S58" i="19"/>
  <c r="V58" i="19"/>
  <c r="W58" i="19"/>
  <c r="X58" i="19"/>
  <c r="Z58" i="19"/>
  <c r="D56" i="32" s="1"/>
  <c r="AA58" i="19"/>
  <c r="D56" i="33" s="1"/>
  <c r="A59" i="19"/>
  <c r="B59" i="19"/>
  <c r="C59" i="19"/>
  <c r="D59" i="19"/>
  <c r="E59" i="19"/>
  <c r="F59" i="19"/>
  <c r="H59" i="19"/>
  <c r="I59" i="19"/>
  <c r="J59" i="19"/>
  <c r="K59" i="19"/>
  <c r="L59" i="19"/>
  <c r="M59" i="19"/>
  <c r="N59" i="19"/>
  <c r="P59" i="19"/>
  <c r="Q59" i="19"/>
  <c r="S59" i="19"/>
  <c r="V59" i="19"/>
  <c r="W59" i="19"/>
  <c r="X59" i="19"/>
  <c r="Z59" i="19"/>
  <c r="D57" i="32" s="1"/>
  <c r="AA59" i="19"/>
  <c r="D57" i="33" s="1"/>
  <c r="A60" i="19"/>
  <c r="B60" i="19"/>
  <c r="C60" i="19"/>
  <c r="D60" i="19"/>
  <c r="E60" i="19"/>
  <c r="F60" i="19"/>
  <c r="H60" i="19"/>
  <c r="I60" i="19"/>
  <c r="J60" i="19"/>
  <c r="K60" i="19"/>
  <c r="L60" i="19"/>
  <c r="M60" i="19"/>
  <c r="N60" i="19"/>
  <c r="P60" i="19"/>
  <c r="Q60" i="19"/>
  <c r="S60" i="19"/>
  <c r="V60" i="19"/>
  <c r="W60" i="19"/>
  <c r="X60" i="19"/>
  <c r="Z60" i="19"/>
  <c r="D58" i="32" s="1"/>
  <c r="AA60" i="19"/>
  <c r="D58" i="33" s="1"/>
  <c r="A61" i="19"/>
  <c r="B61" i="19"/>
  <c r="C61" i="19"/>
  <c r="D61" i="19"/>
  <c r="E61" i="19"/>
  <c r="F61" i="19"/>
  <c r="H61" i="19"/>
  <c r="I61" i="19"/>
  <c r="J61" i="19"/>
  <c r="K61" i="19"/>
  <c r="L61" i="19"/>
  <c r="M61" i="19"/>
  <c r="N61" i="19"/>
  <c r="P61" i="19"/>
  <c r="Q61" i="19"/>
  <c r="S61" i="19"/>
  <c r="V61" i="19"/>
  <c r="W61" i="19"/>
  <c r="X61" i="19"/>
  <c r="Z61" i="19"/>
  <c r="D59" i="32" s="1"/>
  <c r="AA61" i="19"/>
  <c r="D59" i="33" s="1"/>
  <c r="A62" i="19"/>
  <c r="B62" i="19"/>
  <c r="C62" i="19"/>
  <c r="D62" i="19"/>
  <c r="E62" i="19"/>
  <c r="F62" i="19"/>
  <c r="H62" i="19"/>
  <c r="I62" i="19"/>
  <c r="J62" i="19"/>
  <c r="K62" i="19"/>
  <c r="L62" i="19"/>
  <c r="M62" i="19"/>
  <c r="N62" i="19"/>
  <c r="P62" i="19"/>
  <c r="Q62" i="19"/>
  <c r="S62" i="19"/>
  <c r="V62" i="19"/>
  <c r="W62" i="19"/>
  <c r="X62" i="19"/>
  <c r="Z62" i="19"/>
  <c r="D60" i="32" s="1"/>
  <c r="AA62" i="19"/>
  <c r="D60" i="33" s="1"/>
  <c r="A63" i="19"/>
  <c r="B63" i="19"/>
  <c r="C63" i="19"/>
  <c r="D63" i="19"/>
  <c r="E63" i="19"/>
  <c r="F63" i="19"/>
  <c r="H63" i="19"/>
  <c r="I63" i="19"/>
  <c r="J63" i="19"/>
  <c r="K63" i="19"/>
  <c r="L63" i="19"/>
  <c r="M63" i="19"/>
  <c r="N63" i="19"/>
  <c r="P63" i="19"/>
  <c r="Q63" i="19"/>
  <c r="S63" i="19"/>
  <c r="V63" i="19"/>
  <c r="W63" i="19"/>
  <c r="X63" i="19"/>
  <c r="Z63" i="19"/>
  <c r="D61" i="32" s="1"/>
  <c r="AA63" i="19"/>
  <c r="D61" i="33" s="1"/>
  <c r="A64" i="19"/>
  <c r="B64" i="19"/>
  <c r="C64" i="19"/>
  <c r="D64" i="19"/>
  <c r="E64" i="19"/>
  <c r="F64" i="19"/>
  <c r="H64" i="19"/>
  <c r="I64" i="19"/>
  <c r="J64" i="19"/>
  <c r="K64" i="19"/>
  <c r="L64" i="19"/>
  <c r="M64" i="19"/>
  <c r="N64" i="19"/>
  <c r="P64" i="19"/>
  <c r="Q64" i="19"/>
  <c r="S64" i="19"/>
  <c r="V64" i="19"/>
  <c r="W64" i="19"/>
  <c r="X64" i="19"/>
  <c r="Z64" i="19"/>
  <c r="D62" i="32" s="1"/>
  <c r="AA64" i="19"/>
  <c r="D62" i="33" s="1"/>
  <c r="A65" i="19"/>
  <c r="B65" i="19"/>
  <c r="C65" i="19"/>
  <c r="D65" i="19"/>
  <c r="E65" i="19"/>
  <c r="F65" i="19"/>
  <c r="H65" i="19"/>
  <c r="I65" i="19"/>
  <c r="J65" i="19"/>
  <c r="K65" i="19"/>
  <c r="L65" i="19"/>
  <c r="M65" i="19"/>
  <c r="N65" i="19"/>
  <c r="P65" i="19"/>
  <c r="Q65" i="19"/>
  <c r="S65" i="19"/>
  <c r="V65" i="19"/>
  <c r="W65" i="19"/>
  <c r="X65" i="19"/>
  <c r="Z65" i="19"/>
  <c r="D63" i="32" s="1"/>
  <c r="AA65" i="19"/>
  <c r="D63" i="33" s="1"/>
  <c r="A66" i="19"/>
  <c r="B66" i="19"/>
  <c r="C66" i="19"/>
  <c r="D66" i="19"/>
  <c r="E66" i="19"/>
  <c r="F66" i="19"/>
  <c r="H66" i="19"/>
  <c r="I66" i="19"/>
  <c r="J66" i="19"/>
  <c r="K66" i="19"/>
  <c r="L66" i="19"/>
  <c r="M66" i="19"/>
  <c r="N66" i="19"/>
  <c r="P66" i="19"/>
  <c r="Q66" i="19"/>
  <c r="S66" i="19"/>
  <c r="V66" i="19"/>
  <c r="W66" i="19"/>
  <c r="X66" i="19"/>
  <c r="Z66" i="19"/>
  <c r="D64" i="32" s="1"/>
  <c r="AA66" i="19"/>
  <c r="D64" i="33" s="1"/>
  <c r="A67" i="19"/>
  <c r="B67" i="19"/>
  <c r="C67" i="19"/>
  <c r="D67" i="19"/>
  <c r="E67" i="19"/>
  <c r="F67" i="19"/>
  <c r="H67" i="19"/>
  <c r="I67" i="19"/>
  <c r="J67" i="19"/>
  <c r="K67" i="19"/>
  <c r="L67" i="19"/>
  <c r="M67" i="19"/>
  <c r="N67" i="19"/>
  <c r="P67" i="19"/>
  <c r="Q67" i="19"/>
  <c r="S67" i="19"/>
  <c r="V67" i="19"/>
  <c r="W67" i="19"/>
  <c r="X67" i="19"/>
  <c r="Z67" i="19"/>
  <c r="D65" i="32" s="1"/>
  <c r="AA67" i="19"/>
  <c r="D65" i="33" s="1"/>
  <c r="A68" i="19"/>
  <c r="B68" i="19"/>
  <c r="C68" i="19"/>
  <c r="D68" i="19"/>
  <c r="E68" i="19"/>
  <c r="F68" i="19"/>
  <c r="H68" i="19"/>
  <c r="I68" i="19"/>
  <c r="J68" i="19"/>
  <c r="K68" i="19"/>
  <c r="L68" i="19"/>
  <c r="M68" i="19"/>
  <c r="N68" i="19"/>
  <c r="P68" i="19"/>
  <c r="Q68" i="19"/>
  <c r="S68" i="19"/>
  <c r="V68" i="19"/>
  <c r="W68" i="19"/>
  <c r="X68" i="19"/>
  <c r="Z68" i="19"/>
  <c r="D66" i="32" s="1"/>
  <c r="AA68" i="19"/>
  <c r="D66" i="33" s="1"/>
  <c r="A69" i="19"/>
  <c r="B69" i="19"/>
  <c r="C69" i="19"/>
  <c r="D69" i="19"/>
  <c r="E69" i="19"/>
  <c r="F69" i="19"/>
  <c r="H69" i="19"/>
  <c r="I69" i="19"/>
  <c r="J69" i="19"/>
  <c r="K69" i="19"/>
  <c r="L69" i="19"/>
  <c r="M69" i="19"/>
  <c r="N69" i="19"/>
  <c r="P69" i="19"/>
  <c r="Q69" i="19"/>
  <c r="S69" i="19"/>
  <c r="V69" i="19"/>
  <c r="W69" i="19"/>
  <c r="X69" i="19"/>
  <c r="Z69" i="19"/>
  <c r="D67" i="32" s="1"/>
  <c r="AA69" i="19"/>
  <c r="D67" i="33" s="1"/>
  <c r="A70" i="19"/>
  <c r="B70" i="19"/>
  <c r="C70" i="19"/>
  <c r="D70" i="19"/>
  <c r="E70" i="19"/>
  <c r="F70" i="19"/>
  <c r="H70" i="19"/>
  <c r="I70" i="19"/>
  <c r="J70" i="19"/>
  <c r="K70" i="19"/>
  <c r="L70" i="19"/>
  <c r="M70" i="19"/>
  <c r="N70" i="19"/>
  <c r="P70" i="19"/>
  <c r="Q70" i="19"/>
  <c r="S70" i="19"/>
  <c r="V70" i="19"/>
  <c r="W70" i="19"/>
  <c r="X70" i="19"/>
  <c r="Z70" i="19"/>
  <c r="D68" i="32" s="1"/>
  <c r="AA70" i="19"/>
  <c r="D68" i="33" s="1"/>
  <c r="A71" i="19"/>
  <c r="B71" i="19"/>
  <c r="C71" i="19"/>
  <c r="D71" i="19"/>
  <c r="E71" i="19"/>
  <c r="F71" i="19"/>
  <c r="H71" i="19"/>
  <c r="I71" i="19"/>
  <c r="J71" i="19"/>
  <c r="K71" i="19"/>
  <c r="L71" i="19"/>
  <c r="M71" i="19"/>
  <c r="N71" i="19"/>
  <c r="P71" i="19"/>
  <c r="Q71" i="19"/>
  <c r="S71" i="19"/>
  <c r="V71" i="19"/>
  <c r="W71" i="19"/>
  <c r="X71" i="19"/>
  <c r="Z71" i="19"/>
  <c r="D69" i="32" s="1"/>
  <c r="AA71" i="19"/>
  <c r="D69" i="33" s="1"/>
  <c r="A72" i="19"/>
  <c r="B72" i="19"/>
  <c r="C72" i="19"/>
  <c r="D72" i="19"/>
  <c r="E72" i="19"/>
  <c r="F72" i="19"/>
  <c r="H72" i="19"/>
  <c r="I72" i="19"/>
  <c r="J72" i="19"/>
  <c r="K72" i="19"/>
  <c r="L72" i="19"/>
  <c r="M72" i="19"/>
  <c r="N72" i="19"/>
  <c r="P72" i="19"/>
  <c r="Q72" i="19"/>
  <c r="S72" i="19"/>
  <c r="V72" i="19"/>
  <c r="W72" i="19"/>
  <c r="X72" i="19"/>
  <c r="Z72" i="19"/>
  <c r="D70" i="32" s="1"/>
  <c r="AA72" i="19"/>
  <c r="D70" i="33" s="1"/>
  <c r="A73" i="19"/>
  <c r="B73" i="19"/>
  <c r="C73" i="19"/>
  <c r="D73" i="19"/>
  <c r="E73" i="19"/>
  <c r="F73" i="19"/>
  <c r="H73" i="19"/>
  <c r="I73" i="19"/>
  <c r="J73" i="19"/>
  <c r="K73" i="19"/>
  <c r="L73" i="19"/>
  <c r="M73" i="19"/>
  <c r="N73" i="19"/>
  <c r="P73" i="19"/>
  <c r="Q73" i="19"/>
  <c r="S73" i="19"/>
  <c r="V73" i="19"/>
  <c r="W73" i="19"/>
  <c r="X73" i="19"/>
  <c r="Z73" i="19"/>
  <c r="D71" i="32" s="1"/>
  <c r="AA73" i="19"/>
  <c r="D71" i="33" s="1"/>
  <c r="A74" i="19"/>
  <c r="B74" i="19"/>
  <c r="C74" i="19"/>
  <c r="D74" i="19"/>
  <c r="E74" i="19"/>
  <c r="F74" i="19"/>
  <c r="H74" i="19"/>
  <c r="I74" i="19"/>
  <c r="J74" i="19"/>
  <c r="K74" i="19"/>
  <c r="L74" i="19"/>
  <c r="M74" i="19"/>
  <c r="N74" i="19"/>
  <c r="P74" i="19"/>
  <c r="Q74" i="19"/>
  <c r="S74" i="19"/>
  <c r="V74" i="19"/>
  <c r="W74" i="19"/>
  <c r="X74" i="19"/>
  <c r="Z74" i="19"/>
  <c r="D72" i="32" s="1"/>
  <c r="AA74" i="19"/>
  <c r="D72" i="33" s="1"/>
  <c r="A75" i="19"/>
  <c r="B75" i="19"/>
  <c r="C75" i="19"/>
  <c r="D75" i="19"/>
  <c r="E75" i="19"/>
  <c r="F75" i="19"/>
  <c r="H75" i="19"/>
  <c r="I75" i="19"/>
  <c r="J75" i="19"/>
  <c r="K75" i="19"/>
  <c r="L75" i="19"/>
  <c r="M75" i="19"/>
  <c r="N75" i="19"/>
  <c r="P75" i="19"/>
  <c r="Q75" i="19"/>
  <c r="S75" i="19"/>
  <c r="V75" i="19"/>
  <c r="W75" i="19"/>
  <c r="X75" i="19"/>
  <c r="Z75" i="19"/>
  <c r="D73" i="32" s="1"/>
  <c r="AA75" i="19"/>
  <c r="D73" i="33" s="1"/>
  <c r="A76" i="19"/>
  <c r="B76" i="19"/>
  <c r="C76" i="19"/>
  <c r="D76" i="19"/>
  <c r="E76" i="19"/>
  <c r="F76" i="19"/>
  <c r="H76" i="19"/>
  <c r="I76" i="19"/>
  <c r="J76" i="19"/>
  <c r="K76" i="19"/>
  <c r="L76" i="19"/>
  <c r="M76" i="19"/>
  <c r="N76" i="19"/>
  <c r="P76" i="19"/>
  <c r="Q76" i="19"/>
  <c r="S76" i="19"/>
  <c r="V76" i="19"/>
  <c r="W76" i="19"/>
  <c r="X76" i="19"/>
  <c r="Z76" i="19"/>
  <c r="D74" i="32" s="1"/>
  <c r="AA76" i="19"/>
  <c r="D74" i="33" s="1"/>
  <c r="A77" i="19"/>
  <c r="B77" i="19"/>
  <c r="C77" i="19"/>
  <c r="D77" i="19"/>
  <c r="E77" i="19"/>
  <c r="F77" i="19"/>
  <c r="H77" i="19"/>
  <c r="I77" i="19"/>
  <c r="J77" i="19"/>
  <c r="K77" i="19"/>
  <c r="L77" i="19"/>
  <c r="M77" i="19"/>
  <c r="N77" i="19"/>
  <c r="P77" i="19"/>
  <c r="Q77" i="19"/>
  <c r="S77" i="19"/>
  <c r="V77" i="19"/>
  <c r="W77" i="19"/>
  <c r="X77" i="19"/>
  <c r="Z77" i="19"/>
  <c r="D75" i="32" s="1"/>
  <c r="AA77" i="19"/>
  <c r="D75" i="33" s="1"/>
  <c r="A78" i="19"/>
  <c r="B78" i="19"/>
  <c r="C78" i="19"/>
  <c r="D78" i="19"/>
  <c r="E78" i="19"/>
  <c r="F78" i="19"/>
  <c r="H78" i="19"/>
  <c r="I78" i="19"/>
  <c r="J78" i="19"/>
  <c r="K78" i="19"/>
  <c r="L78" i="19"/>
  <c r="M78" i="19"/>
  <c r="N78" i="19"/>
  <c r="P78" i="19"/>
  <c r="Q78" i="19"/>
  <c r="S78" i="19"/>
  <c r="V78" i="19"/>
  <c r="W78" i="19"/>
  <c r="X78" i="19"/>
  <c r="Z78" i="19"/>
  <c r="D76" i="32" s="1"/>
  <c r="AA78" i="19"/>
  <c r="D76" i="33" s="1"/>
  <c r="A79" i="19"/>
  <c r="B79" i="19"/>
  <c r="C79" i="19"/>
  <c r="D79" i="19"/>
  <c r="E79" i="19"/>
  <c r="F79" i="19"/>
  <c r="H79" i="19"/>
  <c r="I79" i="19"/>
  <c r="J79" i="19"/>
  <c r="K79" i="19"/>
  <c r="L79" i="19"/>
  <c r="M79" i="19"/>
  <c r="N79" i="19"/>
  <c r="P79" i="19"/>
  <c r="Q79" i="19"/>
  <c r="S79" i="19"/>
  <c r="V79" i="19"/>
  <c r="W79" i="19"/>
  <c r="X79" i="19"/>
  <c r="Z79" i="19"/>
  <c r="D77" i="32" s="1"/>
  <c r="AA79" i="19"/>
  <c r="D77" i="33" s="1"/>
  <c r="A80" i="19"/>
  <c r="B80" i="19"/>
  <c r="C80" i="19"/>
  <c r="D80" i="19"/>
  <c r="E80" i="19"/>
  <c r="F80" i="19"/>
  <c r="H80" i="19"/>
  <c r="I80" i="19"/>
  <c r="J80" i="19"/>
  <c r="K80" i="19"/>
  <c r="L80" i="19"/>
  <c r="M80" i="19"/>
  <c r="N80" i="19"/>
  <c r="P80" i="19"/>
  <c r="Q80" i="19"/>
  <c r="S80" i="19"/>
  <c r="V80" i="19"/>
  <c r="W80" i="19"/>
  <c r="X80" i="19"/>
  <c r="Z80" i="19"/>
  <c r="D78" i="32" s="1"/>
  <c r="AA80" i="19"/>
  <c r="D78" i="33" s="1"/>
  <c r="A81" i="19"/>
  <c r="B81" i="19"/>
  <c r="C81" i="19"/>
  <c r="D81" i="19"/>
  <c r="E81" i="19"/>
  <c r="F81" i="19"/>
  <c r="H81" i="19"/>
  <c r="I81" i="19"/>
  <c r="J81" i="19"/>
  <c r="K81" i="19"/>
  <c r="L81" i="19"/>
  <c r="M81" i="19"/>
  <c r="N81" i="19"/>
  <c r="P81" i="19"/>
  <c r="Q81" i="19"/>
  <c r="S81" i="19"/>
  <c r="V81" i="19"/>
  <c r="W81" i="19"/>
  <c r="X81" i="19"/>
  <c r="Z81" i="19"/>
  <c r="D79" i="32" s="1"/>
  <c r="AA81" i="19"/>
  <c r="D79" i="33" s="1"/>
  <c r="A82" i="19"/>
  <c r="B82" i="19"/>
  <c r="C82" i="19"/>
  <c r="D82" i="19"/>
  <c r="E82" i="19"/>
  <c r="F82" i="19"/>
  <c r="H82" i="19"/>
  <c r="I82" i="19"/>
  <c r="J82" i="19"/>
  <c r="K82" i="19"/>
  <c r="L82" i="19"/>
  <c r="M82" i="19"/>
  <c r="N82" i="19"/>
  <c r="P82" i="19"/>
  <c r="Q82" i="19"/>
  <c r="S82" i="19"/>
  <c r="V82" i="19"/>
  <c r="W82" i="19"/>
  <c r="X82" i="19"/>
  <c r="Z82" i="19"/>
  <c r="D80" i="32" s="1"/>
  <c r="AA82" i="19"/>
  <c r="D80" i="33" s="1"/>
  <c r="A83" i="19"/>
  <c r="B83" i="19"/>
  <c r="C83" i="19"/>
  <c r="D83" i="19"/>
  <c r="E83" i="19"/>
  <c r="F83" i="19"/>
  <c r="H83" i="19"/>
  <c r="I83" i="19"/>
  <c r="J83" i="19"/>
  <c r="K83" i="19"/>
  <c r="L83" i="19"/>
  <c r="M83" i="19"/>
  <c r="N83" i="19"/>
  <c r="P83" i="19"/>
  <c r="Q83" i="19"/>
  <c r="S83" i="19"/>
  <c r="V83" i="19"/>
  <c r="W83" i="19"/>
  <c r="X83" i="19"/>
  <c r="Z83" i="19"/>
  <c r="D81" i="32" s="1"/>
  <c r="AA83" i="19"/>
  <c r="D81" i="33" s="1"/>
  <c r="A84" i="19"/>
  <c r="B84" i="19"/>
  <c r="C84" i="19"/>
  <c r="D84" i="19"/>
  <c r="E84" i="19"/>
  <c r="F84" i="19"/>
  <c r="H84" i="19"/>
  <c r="I84" i="19"/>
  <c r="J84" i="19"/>
  <c r="K84" i="19"/>
  <c r="L84" i="19"/>
  <c r="M84" i="19"/>
  <c r="N84" i="19"/>
  <c r="P84" i="19"/>
  <c r="Q84" i="19"/>
  <c r="S84" i="19"/>
  <c r="V84" i="19"/>
  <c r="W84" i="19"/>
  <c r="X84" i="19"/>
  <c r="Z84" i="19"/>
  <c r="D82" i="32" s="1"/>
  <c r="AA84" i="19"/>
  <c r="D82" i="33" s="1"/>
  <c r="A85" i="19"/>
  <c r="B85" i="19"/>
  <c r="C85" i="19"/>
  <c r="D85" i="19"/>
  <c r="E85" i="19"/>
  <c r="F85" i="19"/>
  <c r="H85" i="19"/>
  <c r="I85" i="19"/>
  <c r="J85" i="19"/>
  <c r="K85" i="19"/>
  <c r="L85" i="19"/>
  <c r="M85" i="19"/>
  <c r="N85" i="19"/>
  <c r="P85" i="19"/>
  <c r="Q85" i="19"/>
  <c r="S85" i="19"/>
  <c r="V85" i="19"/>
  <c r="W85" i="19"/>
  <c r="X85" i="19"/>
  <c r="Z85" i="19"/>
  <c r="D83" i="32" s="1"/>
  <c r="AA85" i="19"/>
  <c r="D83" i="33" s="1"/>
  <c r="A86" i="19"/>
  <c r="B86" i="19"/>
  <c r="C86" i="19"/>
  <c r="D86" i="19"/>
  <c r="E86" i="19"/>
  <c r="F86" i="19"/>
  <c r="H86" i="19"/>
  <c r="I86" i="19"/>
  <c r="J86" i="19"/>
  <c r="K86" i="19"/>
  <c r="L86" i="19"/>
  <c r="M86" i="19"/>
  <c r="N86" i="19"/>
  <c r="P86" i="19"/>
  <c r="Q86" i="19"/>
  <c r="S86" i="19"/>
  <c r="V86" i="19"/>
  <c r="W86" i="19"/>
  <c r="X86" i="19"/>
  <c r="Z86" i="19"/>
  <c r="D84" i="32" s="1"/>
  <c r="AA86" i="19"/>
  <c r="D84" i="33" s="1"/>
  <c r="A87" i="19"/>
  <c r="B87" i="19"/>
  <c r="C87" i="19"/>
  <c r="D87" i="19"/>
  <c r="E87" i="19"/>
  <c r="F87" i="19"/>
  <c r="H87" i="19"/>
  <c r="I87" i="19"/>
  <c r="J87" i="19"/>
  <c r="K87" i="19"/>
  <c r="L87" i="19"/>
  <c r="M87" i="19"/>
  <c r="N87" i="19"/>
  <c r="P87" i="19"/>
  <c r="Q87" i="19"/>
  <c r="S87" i="19"/>
  <c r="V87" i="19"/>
  <c r="W87" i="19"/>
  <c r="X87" i="19"/>
  <c r="Z87" i="19"/>
  <c r="D85" i="32" s="1"/>
  <c r="AA87" i="19"/>
  <c r="D85" i="33" s="1"/>
  <c r="A88" i="19"/>
  <c r="B88" i="19"/>
  <c r="C88" i="19"/>
  <c r="D88" i="19"/>
  <c r="E88" i="19"/>
  <c r="F88" i="19"/>
  <c r="H88" i="19"/>
  <c r="I88" i="19"/>
  <c r="J88" i="19"/>
  <c r="K88" i="19"/>
  <c r="L88" i="19"/>
  <c r="M88" i="19"/>
  <c r="N88" i="19"/>
  <c r="P88" i="19"/>
  <c r="Q88" i="19"/>
  <c r="S88" i="19"/>
  <c r="V88" i="19"/>
  <c r="W88" i="19"/>
  <c r="X88" i="19"/>
  <c r="Z88" i="19"/>
  <c r="D86" i="32" s="1"/>
  <c r="AA88" i="19"/>
  <c r="D86" i="33" s="1"/>
  <c r="A89" i="19"/>
  <c r="B89" i="19"/>
  <c r="C89" i="19"/>
  <c r="D89" i="19"/>
  <c r="E89" i="19"/>
  <c r="F89" i="19"/>
  <c r="H89" i="19"/>
  <c r="I89" i="19"/>
  <c r="J89" i="19"/>
  <c r="K89" i="19"/>
  <c r="L89" i="19"/>
  <c r="M89" i="19"/>
  <c r="N89" i="19"/>
  <c r="P89" i="19"/>
  <c r="Q89" i="19"/>
  <c r="S89" i="19"/>
  <c r="V89" i="19"/>
  <c r="W89" i="19"/>
  <c r="X89" i="19"/>
  <c r="Z89" i="19"/>
  <c r="D87" i="32" s="1"/>
  <c r="AA89" i="19"/>
  <c r="D87" i="33" s="1"/>
  <c r="A90" i="19"/>
  <c r="B90" i="19"/>
  <c r="C90" i="19"/>
  <c r="D90" i="19"/>
  <c r="E90" i="19"/>
  <c r="F90" i="19"/>
  <c r="H90" i="19"/>
  <c r="I90" i="19"/>
  <c r="J90" i="19"/>
  <c r="K90" i="19"/>
  <c r="L90" i="19"/>
  <c r="M90" i="19"/>
  <c r="N90" i="19"/>
  <c r="P90" i="19"/>
  <c r="Q90" i="19"/>
  <c r="S90" i="19"/>
  <c r="V90" i="19"/>
  <c r="W90" i="19"/>
  <c r="X90" i="19"/>
  <c r="Z90" i="19"/>
  <c r="D88" i="32" s="1"/>
  <c r="AA90" i="19"/>
  <c r="D88" i="33" s="1"/>
  <c r="A91" i="19"/>
  <c r="B91" i="19"/>
  <c r="C91" i="19"/>
  <c r="D91" i="19"/>
  <c r="E91" i="19"/>
  <c r="F91" i="19"/>
  <c r="H91" i="19"/>
  <c r="I91" i="19"/>
  <c r="J91" i="19"/>
  <c r="K91" i="19"/>
  <c r="L91" i="19"/>
  <c r="M91" i="19"/>
  <c r="N91" i="19"/>
  <c r="P91" i="19"/>
  <c r="Q91" i="19"/>
  <c r="S91" i="19"/>
  <c r="V91" i="19"/>
  <c r="W91" i="19"/>
  <c r="X91" i="19"/>
  <c r="Z91" i="19"/>
  <c r="D89" i="32" s="1"/>
  <c r="AA91" i="19"/>
  <c r="D89" i="33" s="1"/>
  <c r="A92" i="19"/>
  <c r="B92" i="19"/>
  <c r="C92" i="19"/>
  <c r="D92" i="19"/>
  <c r="E92" i="19"/>
  <c r="F92" i="19"/>
  <c r="H92" i="19"/>
  <c r="I92" i="19"/>
  <c r="J92" i="19"/>
  <c r="K92" i="19"/>
  <c r="L92" i="19"/>
  <c r="M92" i="19"/>
  <c r="N92" i="19"/>
  <c r="P92" i="19"/>
  <c r="Q92" i="19"/>
  <c r="S92" i="19"/>
  <c r="V92" i="19"/>
  <c r="W92" i="19"/>
  <c r="X92" i="19"/>
  <c r="Z92" i="19"/>
  <c r="D90" i="32" s="1"/>
  <c r="AA92" i="19"/>
  <c r="D90" i="33" s="1"/>
  <c r="A93" i="19"/>
  <c r="B93" i="19"/>
  <c r="C93" i="19"/>
  <c r="D93" i="19"/>
  <c r="E93" i="19"/>
  <c r="F93" i="19"/>
  <c r="H93" i="19"/>
  <c r="I93" i="19"/>
  <c r="J93" i="19"/>
  <c r="K93" i="19"/>
  <c r="L93" i="19"/>
  <c r="M93" i="19"/>
  <c r="N93" i="19"/>
  <c r="P93" i="19"/>
  <c r="Q93" i="19"/>
  <c r="S93" i="19"/>
  <c r="V93" i="19"/>
  <c r="W93" i="19"/>
  <c r="X93" i="19"/>
  <c r="Z93" i="19"/>
  <c r="D91" i="32" s="1"/>
  <c r="AA93" i="19"/>
  <c r="D91" i="33" s="1"/>
  <c r="A94" i="19"/>
  <c r="B94" i="19"/>
  <c r="C94" i="19"/>
  <c r="D94" i="19"/>
  <c r="E94" i="19"/>
  <c r="F94" i="19"/>
  <c r="H94" i="19"/>
  <c r="I94" i="19"/>
  <c r="J94" i="19"/>
  <c r="K94" i="19"/>
  <c r="L94" i="19"/>
  <c r="M94" i="19"/>
  <c r="N94" i="19"/>
  <c r="P94" i="19"/>
  <c r="Q94" i="19"/>
  <c r="S94" i="19"/>
  <c r="W94" i="19"/>
  <c r="X94" i="19"/>
  <c r="Z94" i="19"/>
  <c r="D92" i="32" s="1"/>
  <c r="AA94" i="19"/>
  <c r="D92" i="33" s="1"/>
  <c r="A95" i="19"/>
  <c r="B95" i="19"/>
  <c r="C95" i="19"/>
  <c r="D95" i="19"/>
  <c r="E95" i="19"/>
  <c r="F95" i="19"/>
  <c r="H95" i="19"/>
  <c r="I95" i="19"/>
  <c r="J95" i="19"/>
  <c r="K95" i="19"/>
  <c r="L95" i="19"/>
  <c r="M95" i="19"/>
  <c r="N95" i="19"/>
  <c r="P95" i="19"/>
  <c r="Q95" i="19"/>
  <c r="S95" i="19"/>
  <c r="V95" i="19"/>
  <c r="W95" i="19"/>
  <c r="X95" i="19"/>
  <c r="Z95" i="19"/>
  <c r="D93" i="32" s="1"/>
  <c r="AA95" i="19"/>
  <c r="D93" i="33" s="1"/>
  <c r="A96" i="19"/>
  <c r="B96" i="19"/>
  <c r="C96" i="19"/>
  <c r="D96" i="19"/>
  <c r="E96" i="19"/>
  <c r="F96" i="19"/>
  <c r="H96" i="19"/>
  <c r="I96" i="19"/>
  <c r="J96" i="19"/>
  <c r="K96" i="19"/>
  <c r="L96" i="19"/>
  <c r="M96" i="19"/>
  <c r="N96" i="19"/>
  <c r="P96" i="19"/>
  <c r="Q96" i="19"/>
  <c r="S96" i="19"/>
  <c r="V96" i="19"/>
  <c r="W96" i="19"/>
  <c r="X96" i="19"/>
  <c r="Z96" i="19"/>
  <c r="D94" i="32" s="1"/>
  <c r="AA96" i="19"/>
  <c r="D94" i="33" s="1"/>
  <c r="A97" i="19"/>
  <c r="B97" i="19"/>
  <c r="C97" i="19"/>
  <c r="D97" i="19"/>
  <c r="E97" i="19"/>
  <c r="F97" i="19"/>
  <c r="H97" i="19"/>
  <c r="I97" i="19"/>
  <c r="J97" i="19"/>
  <c r="K97" i="19"/>
  <c r="L97" i="19"/>
  <c r="M97" i="19"/>
  <c r="N97" i="19"/>
  <c r="P97" i="19"/>
  <c r="Q97" i="19"/>
  <c r="S97" i="19"/>
  <c r="V97" i="19"/>
  <c r="W97" i="19"/>
  <c r="X97" i="19"/>
  <c r="Z97" i="19"/>
  <c r="D95" i="32" s="1"/>
  <c r="AA97" i="19"/>
  <c r="D95" i="33" s="1"/>
  <c r="A98" i="19"/>
  <c r="B98" i="19"/>
  <c r="C98" i="19"/>
  <c r="D98" i="19"/>
  <c r="E98" i="19"/>
  <c r="F98" i="19"/>
  <c r="H98" i="19"/>
  <c r="I98" i="19"/>
  <c r="J98" i="19"/>
  <c r="K98" i="19"/>
  <c r="L98" i="19"/>
  <c r="M98" i="19"/>
  <c r="N98" i="19"/>
  <c r="P98" i="19"/>
  <c r="Q98" i="19"/>
  <c r="S98" i="19"/>
  <c r="V98" i="19"/>
  <c r="W98" i="19"/>
  <c r="X98" i="19"/>
  <c r="Z98" i="19"/>
  <c r="D96" i="32" s="1"/>
  <c r="AA98" i="19"/>
  <c r="D96" i="33" s="1"/>
  <c r="A99" i="19"/>
  <c r="B99" i="19"/>
  <c r="C99" i="19"/>
  <c r="D99" i="19"/>
  <c r="E99" i="19"/>
  <c r="F99" i="19"/>
  <c r="H99" i="19"/>
  <c r="I99" i="19"/>
  <c r="J99" i="19"/>
  <c r="K99" i="19"/>
  <c r="L99" i="19"/>
  <c r="M99" i="19"/>
  <c r="N99" i="19"/>
  <c r="P99" i="19"/>
  <c r="Q99" i="19"/>
  <c r="S99" i="19"/>
  <c r="V99" i="19"/>
  <c r="W99" i="19"/>
  <c r="X99" i="19"/>
  <c r="Z99" i="19"/>
  <c r="D97" i="32" s="1"/>
  <c r="AA99" i="19"/>
  <c r="D97" i="33" s="1"/>
  <c r="A100" i="19"/>
  <c r="B100" i="19"/>
  <c r="C100" i="19"/>
  <c r="D100" i="19"/>
  <c r="E100" i="19"/>
  <c r="F100" i="19"/>
  <c r="H100" i="19"/>
  <c r="I100" i="19"/>
  <c r="J100" i="19"/>
  <c r="K100" i="19"/>
  <c r="L100" i="19"/>
  <c r="M100" i="19"/>
  <c r="N100" i="19"/>
  <c r="P100" i="19"/>
  <c r="Q100" i="19"/>
  <c r="S100" i="19"/>
  <c r="V100" i="19"/>
  <c r="W100" i="19"/>
  <c r="X100" i="19"/>
  <c r="Z100" i="19"/>
  <c r="D98" i="32" s="1"/>
  <c r="AA100" i="19"/>
  <c r="D98" i="33" s="1"/>
  <c r="A101" i="19"/>
  <c r="B101" i="19"/>
  <c r="C101" i="19"/>
  <c r="D101" i="19"/>
  <c r="E101" i="19"/>
  <c r="F101" i="19"/>
  <c r="H101" i="19"/>
  <c r="I101" i="19"/>
  <c r="J101" i="19"/>
  <c r="K101" i="19"/>
  <c r="L101" i="19"/>
  <c r="M101" i="19"/>
  <c r="N101" i="19"/>
  <c r="P101" i="19"/>
  <c r="Q101" i="19"/>
  <c r="S101" i="19"/>
  <c r="V101" i="19"/>
  <c r="W101" i="19"/>
  <c r="X101" i="19"/>
  <c r="Z101" i="19"/>
  <c r="D99" i="32" s="1"/>
  <c r="AA101" i="19"/>
  <c r="D99" i="33" s="1"/>
  <c r="A102" i="19"/>
  <c r="B102" i="19"/>
  <c r="C102" i="19"/>
  <c r="D102" i="19"/>
  <c r="E102" i="19"/>
  <c r="F102" i="19"/>
  <c r="H102" i="19"/>
  <c r="I102" i="19"/>
  <c r="J102" i="19"/>
  <c r="K102" i="19"/>
  <c r="L102" i="19"/>
  <c r="M102" i="19"/>
  <c r="N102" i="19"/>
  <c r="P102" i="19"/>
  <c r="Q102" i="19"/>
  <c r="S102" i="19"/>
  <c r="V102" i="19"/>
  <c r="W102" i="19"/>
  <c r="X102" i="19"/>
  <c r="Z102" i="19"/>
  <c r="D100" i="32" s="1"/>
  <c r="AA102" i="19"/>
  <c r="D100" i="33" s="1"/>
  <c r="A103" i="19"/>
  <c r="B103" i="19"/>
  <c r="C103" i="19"/>
  <c r="D103" i="19"/>
  <c r="E103" i="19"/>
  <c r="F103" i="19"/>
  <c r="H103" i="19"/>
  <c r="I103" i="19"/>
  <c r="J103" i="19"/>
  <c r="K103" i="19"/>
  <c r="L103" i="19"/>
  <c r="M103" i="19"/>
  <c r="N103" i="19"/>
  <c r="P103" i="19"/>
  <c r="Q103" i="19"/>
  <c r="S103" i="19"/>
  <c r="V103" i="19"/>
  <c r="W103" i="19"/>
  <c r="X103" i="19"/>
  <c r="Z103" i="19"/>
  <c r="D101" i="32" s="1"/>
  <c r="AA103" i="19"/>
  <c r="D101" i="33" s="1"/>
  <c r="A104" i="19"/>
  <c r="B104" i="19"/>
  <c r="C104" i="19"/>
  <c r="D104" i="19"/>
  <c r="E104" i="19"/>
  <c r="F104" i="19"/>
  <c r="H104" i="19"/>
  <c r="I104" i="19"/>
  <c r="J104" i="19"/>
  <c r="K104" i="19"/>
  <c r="L104" i="19"/>
  <c r="M104" i="19"/>
  <c r="N104" i="19"/>
  <c r="P104" i="19"/>
  <c r="Q104" i="19"/>
  <c r="S104" i="19"/>
  <c r="V104" i="19"/>
  <c r="W104" i="19"/>
  <c r="X104" i="19"/>
  <c r="Z104" i="19"/>
  <c r="D102" i="32" s="1"/>
  <c r="AA104" i="19"/>
  <c r="D102" i="33" s="1"/>
  <c r="A105" i="19"/>
  <c r="B105" i="19"/>
  <c r="C105" i="19"/>
  <c r="D105" i="19"/>
  <c r="E105" i="19"/>
  <c r="F105" i="19"/>
  <c r="H105" i="19"/>
  <c r="I105" i="19"/>
  <c r="J105" i="19"/>
  <c r="K105" i="19"/>
  <c r="L105" i="19"/>
  <c r="M105" i="19"/>
  <c r="N105" i="19"/>
  <c r="P105" i="19"/>
  <c r="Q105" i="19"/>
  <c r="S105" i="19"/>
  <c r="V105" i="19"/>
  <c r="W105" i="19"/>
  <c r="X105" i="19"/>
  <c r="Z105" i="19"/>
  <c r="D103" i="32" s="1"/>
  <c r="AA105" i="19"/>
  <c r="D103" i="33" s="1"/>
  <c r="A106" i="19"/>
  <c r="B106" i="19"/>
  <c r="C106" i="19"/>
  <c r="D106" i="19"/>
  <c r="E106" i="19"/>
  <c r="F106" i="19"/>
  <c r="H106" i="19"/>
  <c r="I106" i="19"/>
  <c r="J106" i="19"/>
  <c r="K106" i="19"/>
  <c r="L106" i="19"/>
  <c r="M106" i="19"/>
  <c r="N106" i="19"/>
  <c r="P106" i="19"/>
  <c r="Q106" i="19"/>
  <c r="S106" i="19"/>
  <c r="V106" i="19"/>
  <c r="W106" i="19"/>
  <c r="X106" i="19"/>
  <c r="Z106" i="19"/>
  <c r="D104" i="32" s="1"/>
  <c r="AA106" i="19"/>
  <c r="D104" i="33" s="1"/>
  <c r="A107" i="19"/>
  <c r="B107" i="19"/>
  <c r="C107" i="19"/>
  <c r="D107" i="19"/>
  <c r="E107" i="19"/>
  <c r="F107" i="19"/>
  <c r="H107" i="19"/>
  <c r="I107" i="19"/>
  <c r="J107" i="19"/>
  <c r="K107" i="19"/>
  <c r="L107" i="19"/>
  <c r="M107" i="19"/>
  <c r="N107" i="19"/>
  <c r="P107" i="19"/>
  <c r="Q107" i="19"/>
  <c r="S107" i="19"/>
  <c r="V107" i="19"/>
  <c r="W107" i="19"/>
  <c r="X107" i="19"/>
  <c r="Z107" i="19"/>
  <c r="D105" i="32" s="1"/>
  <c r="AA107" i="19"/>
  <c r="D105" i="33" s="1"/>
  <c r="A108" i="19"/>
  <c r="B108" i="19"/>
  <c r="C108" i="19"/>
  <c r="D108" i="19"/>
  <c r="E108" i="19"/>
  <c r="F108" i="19"/>
  <c r="H108" i="19"/>
  <c r="I108" i="19"/>
  <c r="J108" i="19"/>
  <c r="K108" i="19"/>
  <c r="L108" i="19"/>
  <c r="M108" i="19"/>
  <c r="N108" i="19"/>
  <c r="P108" i="19"/>
  <c r="Q108" i="19"/>
  <c r="S108" i="19"/>
  <c r="V108" i="19"/>
  <c r="W108" i="19"/>
  <c r="X108" i="19"/>
  <c r="Z108" i="19"/>
  <c r="D106" i="32" s="1"/>
  <c r="AA108" i="19"/>
  <c r="D106" i="33" s="1"/>
  <c r="A109" i="19"/>
  <c r="B109" i="19"/>
  <c r="C109" i="19"/>
  <c r="D109" i="19"/>
  <c r="E109" i="19"/>
  <c r="F109" i="19"/>
  <c r="H109" i="19"/>
  <c r="I109" i="19"/>
  <c r="J109" i="19"/>
  <c r="K109" i="19"/>
  <c r="L109" i="19"/>
  <c r="M109" i="19"/>
  <c r="N109" i="19"/>
  <c r="P109" i="19"/>
  <c r="Q109" i="19"/>
  <c r="S109" i="19"/>
  <c r="V109" i="19"/>
  <c r="W109" i="19"/>
  <c r="X109" i="19"/>
  <c r="Z109" i="19"/>
  <c r="D107" i="32" s="1"/>
  <c r="AA109" i="19"/>
  <c r="D107" i="33" s="1"/>
  <c r="A110" i="19"/>
  <c r="B110" i="19"/>
  <c r="C110" i="19"/>
  <c r="D110" i="19"/>
  <c r="E110" i="19"/>
  <c r="F110" i="19"/>
  <c r="H110" i="19"/>
  <c r="I110" i="19"/>
  <c r="J110" i="19"/>
  <c r="K110" i="19"/>
  <c r="L110" i="19"/>
  <c r="M110" i="19"/>
  <c r="N110" i="19"/>
  <c r="P110" i="19"/>
  <c r="Q110" i="19"/>
  <c r="S110" i="19"/>
  <c r="V110" i="19"/>
  <c r="W110" i="19"/>
  <c r="X110" i="19"/>
  <c r="Z110" i="19"/>
  <c r="D108" i="32" s="1"/>
  <c r="AA110" i="19"/>
  <c r="D108" i="33" s="1"/>
  <c r="A111" i="19"/>
  <c r="B111" i="19"/>
  <c r="C111" i="19"/>
  <c r="D111" i="19"/>
  <c r="E111" i="19"/>
  <c r="F111" i="19"/>
  <c r="H111" i="19"/>
  <c r="I111" i="19"/>
  <c r="J111" i="19"/>
  <c r="K111" i="19"/>
  <c r="L111" i="19"/>
  <c r="M111" i="19"/>
  <c r="N111" i="19"/>
  <c r="P111" i="19"/>
  <c r="Q111" i="19"/>
  <c r="S111" i="19"/>
  <c r="V111" i="19"/>
  <c r="W111" i="19"/>
  <c r="X111" i="19"/>
  <c r="Z111" i="19"/>
  <c r="D109" i="32" s="1"/>
  <c r="AA111" i="19"/>
  <c r="D109" i="33" s="1"/>
  <c r="A112" i="19"/>
  <c r="B112" i="19"/>
  <c r="C112" i="19"/>
  <c r="D112" i="19"/>
  <c r="E112" i="19"/>
  <c r="F112" i="19"/>
  <c r="H112" i="19"/>
  <c r="I112" i="19"/>
  <c r="J112" i="19"/>
  <c r="K112" i="19"/>
  <c r="L112" i="19"/>
  <c r="M112" i="19"/>
  <c r="N112" i="19"/>
  <c r="P112" i="19"/>
  <c r="Q112" i="19"/>
  <c r="S112" i="19"/>
  <c r="V112" i="19"/>
  <c r="W112" i="19"/>
  <c r="X112" i="19"/>
  <c r="Z112" i="19"/>
  <c r="D110" i="32" s="1"/>
  <c r="AA112" i="19"/>
  <c r="D110" i="33" s="1"/>
  <c r="A113" i="19"/>
  <c r="B113" i="19"/>
  <c r="C113" i="19"/>
  <c r="D113" i="19"/>
  <c r="E113" i="19"/>
  <c r="F113" i="19"/>
  <c r="H113" i="19"/>
  <c r="I113" i="19"/>
  <c r="J113" i="19"/>
  <c r="K113" i="19"/>
  <c r="L113" i="19"/>
  <c r="M113" i="19"/>
  <c r="N113" i="19"/>
  <c r="P113" i="19"/>
  <c r="Q113" i="19"/>
  <c r="S113" i="19"/>
  <c r="V113" i="19"/>
  <c r="W113" i="19"/>
  <c r="X113" i="19"/>
  <c r="Z113" i="19"/>
  <c r="D111" i="32" s="1"/>
  <c r="AA113" i="19"/>
  <c r="D111" i="33" s="1"/>
  <c r="A114" i="19"/>
  <c r="B114" i="19"/>
  <c r="C114" i="19"/>
  <c r="D114" i="19"/>
  <c r="E114" i="19"/>
  <c r="F114" i="19"/>
  <c r="H114" i="19"/>
  <c r="I114" i="19"/>
  <c r="J114" i="19"/>
  <c r="K114" i="19"/>
  <c r="L114" i="19"/>
  <c r="M114" i="19"/>
  <c r="N114" i="19"/>
  <c r="P114" i="19"/>
  <c r="Q114" i="19"/>
  <c r="S114" i="19"/>
  <c r="V114" i="19"/>
  <c r="W114" i="19"/>
  <c r="X114" i="19"/>
  <c r="Z114" i="19"/>
  <c r="D112" i="32" s="1"/>
  <c r="AA114" i="19"/>
  <c r="D112" i="33" s="1"/>
  <c r="A115" i="19"/>
  <c r="B115" i="19"/>
  <c r="C115" i="19"/>
  <c r="D115" i="19"/>
  <c r="E115" i="19"/>
  <c r="F115" i="19"/>
  <c r="H115" i="19"/>
  <c r="I115" i="19"/>
  <c r="J115" i="19"/>
  <c r="K115" i="19"/>
  <c r="L115" i="19"/>
  <c r="M115" i="19"/>
  <c r="N115" i="19"/>
  <c r="P115" i="19"/>
  <c r="Q115" i="19"/>
  <c r="S115" i="19"/>
  <c r="V115" i="19"/>
  <c r="W115" i="19"/>
  <c r="X115" i="19"/>
  <c r="Z115" i="19"/>
  <c r="D113" i="32" s="1"/>
  <c r="AA115" i="19"/>
  <c r="D113" i="33" s="1"/>
  <c r="A116" i="19"/>
  <c r="B116" i="19"/>
  <c r="C116" i="19"/>
  <c r="D116" i="19"/>
  <c r="E116" i="19"/>
  <c r="F116" i="19"/>
  <c r="H116" i="19"/>
  <c r="I116" i="19"/>
  <c r="J116" i="19"/>
  <c r="K116" i="19"/>
  <c r="L116" i="19"/>
  <c r="M116" i="19"/>
  <c r="N116" i="19"/>
  <c r="P116" i="19"/>
  <c r="Q116" i="19"/>
  <c r="S116" i="19"/>
  <c r="V116" i="19"/>
  <c r="W116" i="19"/>
  <c r="X116" i="19"/>
  <c r="Z116" i="19"/>
  <c r="D114" i="32" s="1"/>
  <c r="AA116" i="19"/>
  <c r="D114" i="33" s="1"/>
  <c r="A117" i="19"/>
  <c r="B117" i="19"/>
  <c r="C117" i="19"/>
  <c r="D117" i="19"/>
  <c r="E117" i="19"/>
  <c r="F117" i="19"/>
  <c r="H117" i="19"/>
  <c r="I117" i="19"/>
  <c r="J117" i="19"/>
  <c r="K117" i="19"/>
  <c r="L117" i="19"/>
  <c r="M117" i="19"/>
  <c r="N117" i="19"/>
  <c r="P117" i="19"/>
  <c r="Q117" i="19"/>
  <c r="S117" i="19"/>
  <c r="V117" i="19"/>
  <c r="W117" i="19"/>
  <c r="X117" i="19"/>
  <c r="Z117" i="19"/>
  <c r="D115" i="32" s="1"/>
  <c r="AA117" i="19"/>
  <c r="D115" i="33" s="1"/>
  <c r="A118" i="19"/>
  <c r="B118" i="19"/>
  <c r="C118" i="19"/>
  <c r="D118" i="19"/>
  <c r="E118" i="19"/>
  <c r="F118" i="19"/>
  <c r="H118" i="19"/>
  <c r="I118" i="19"/>
  <c r="J118" i="19"/>
  <c r="K118" i="19"/>
  <c r="L118" i="19"/>
  <c r="M118" i="19"/>
  <c r="N118" i="19"/>
  <c r="P118" i="19"/>
  <c r="Q118" i="19"/>
  <c r="S118" i="19"/>
  <c r="V118" i="19"/>
  <c r="W118" i="19"/>
  <c r="X118" i="19"/>
  <c r="Z118" i="19"/>
  <c r="D116" i="32" s="1"/>
  <c r="AA118" i="19"/>
  <c r="D116" i="33" s="1"/>
  <c r="A119" i="19"/>
  <c r="B119" i="19"/>
  <c r="C119" i="19"/>
  <c r="D119" i="19"/>
  <c r="E119" i="19"/>
  <c r="F119" i="19"/>
  <c r="H119" i="19"/>
  <c r="I119" i="19"/>
  <c r="J119" i="19"/>
  <c r="K119" i="19"/>
  <c r="L119" i="19"/>
  <c r="M119" i="19"/>
  <c r="N119" i="19"/>
  <c r="P119" i="19"/>
  <c r="Q119" i="19"/>
  <c r="S119" i="19"/>
  <c r="V119" i="19"/>
  <c r="W119" i="19"/>
  <c r="X119" i="19"/>
  <c r="Z119" i="19"/>
  <c r="D117" i="32" s="1"/>
  <c r="AA119" i="19"/>
  <c r="D117" i="33" s="1"/>
  <c r="A120" i="19"/>
  <c r="B120" i="19"/>
  <c r="C120" i="19"/>
  <c r="D120" i="19"/>
  <c r="E120" i="19"/>
  <c r="F120" i="19"/>
  <c r="H120" i="19"/>
  <c r="I120" i="19"/>
  <c r="J120" i="19"/>
  <c r="K120" i="19"/>
  <c r="L120" i="19"/>
  <c r="M120" i="19"/>
  <c r="N120" i="19"/>
  <c r="P120" i="19"/>
  <c r="Q120" i="19"/>
  <c r="S120" i="19"/>
  <c r="V120" i="19"/>
  <c r="W120" i="19"/>
  <c r="X120" i="19"/>
  <c r="Z120" i="19"/>
  <c r="D118" i="32" s="1"/>
  <c r="AA120" i="19"/>
  <c r="D118" i="33" s="1"/>
  <c r="A121" i="19"/>
  <c r="B121" i="19"/>
  <c r="C121" i="19"/>
  <c r="D121" i="19"/>
  <c r="E121" i="19"/>
  <c r="F121" i="19"/>
  <c r="H121" i="19"/>
  <c r="I121" i="19"/>
  <c r="J121" i="19"/>
  <c r="K121" i="19"/>
  <c r="L121" i="19"/>
  <c r="M121" i="19"/>
  <c r="N121" i="19"/>
  <c r="P121" i="19"/>
  <c r="Q121" i="19"/>
  <c r="S121" i="19"/>
  <c r="V121" i="19"/>
  <c r="W121" i="19"/>
  <c r="X121" i="19"/>
  <c r="Z121" i="19"/>
  <c r="D119" i="32" s="1"/>
  <c r="AA121" i="19"/>
  <c r="D119" i="33" s="1"/>
  <c r="A122" i="19"/>
  <c r="B122" i="19"/>
  <c r="C122" i="19"/>
  <c r="D122" i="19"/>
  <c r="E122" i="19"/>
  <c r="F122" i="19"/>
  <c r="H122" i="19"/>
  <c r="I122" i="19"/>
  <c r="J122" i="19"/>
  <c r="K122" i="19"/>
  <c r="L122" i="19"/>
  <c r="M122" i="19"/>
  <c r="N122" i="19"/>
  <c r="P122" i="19"/>
  <c r="Q122" i="19"/>
  <c r="S122" i="19"/>
  <c r="V122" i="19"/>
  <c r="W122" i="19"/>
  <c r="X122" i="19"/>
  <c r="Z122" i="19"/>
  <c r="D120" i="32" s="1"/>
  <c r="AA122" i="19"/>
  <c r="D120" i="33" s="1"/>
  <c r="A123" i="19"/>
  <c r="B123" i="19"/>
  <c r="C123" i="19"/>
  <c r="D123" i="19"/>
  <c r="E123" i="19"/>
  <c r="F123" i="19"/>
  <c r="H123" i="19"/>
  <c r="I123" i="19"/>
  <c r="J123" i="19"/>
  <c r="K123" i="19"/>
  <c r="L123" i="19"/>
  <c r="M123" i="19"/>
  <c r="N123" i="19"/>
  <c r="P123" i="19"/>
  <c r="Q123" i="19"/>
  <c r="S123" i="19"/>
  <c r="V123" i="19"/>
  <c r="W123" i="19"/>
  <c r="X123" i="19"/>
  <c r="Z123" i="19"/>
  <c r="D121" i="32" s="1"/>
  <c r="AA123" i="19"/>
  <c r="D121" i="33" s="1"/>
  <c r="A124" i="19"/>
  <c r="B124" i="19"/>
  <c r="C124" i="19"/>
  <c r="D124" i="19"/>
  <c r="E124" i="19"/>
  <c r="F124" i="19"/>
  <c r="H124" i="19"/>
  <c r="I124" i="19"/>
  <c r="J124" i="19"/>
  <c r="K124" i="19"/>
  <c r="L124" i="19"/>
  <c r="M124" i="19"/>
  <c r="N124" i="19"/>
  <c r="P124" i="19"/>
  <c r="Q124" i="19"/>
  <c r="S124" i="19"/>
  <c r="V124" i="19"/>
  <c r="W124" i="19"/>
  <c r="X124" i="19"/>
  <c r="Z124" i="19"/>
  <c r="D122" i="32" s="1"/>
  <c r="AA124" i="19"/>
  <c r="D122" i="33" s="1"/>
  <c r="A125" i="19"/>
  <c r="B125" i="19"/>
  <c r="C125" i="19"/>
  <c r="D125" i="19"/>
  <c r="E125" i="19"/>
  <c r="F125" i="19"/>
  <c r="H125" i="19"/>
  <c r="I125" i="19"/>
  <c r="J125" i="19"/>
  <c r="K125" i="19"/>
  <c r="L125" i="19"/>
  <c r="M125" i="19"/>
  <c r="N125" i="19"/>
  <c r="P125" i="19"/>
  <c r="Q125" i="19"/>
  <c r="S125" i="19"/>
  <c r="V125" i="19"/>
  <c r="W125" i="19"/>
  <c r="X125" i="19"/>
  <c r="Z125" i="19"/>
  <c r="D123" i="32" s="1"/>
  <c r="AA125" i="19"/>
  <c r="D123" i="33" s="1"/>
  <c r="A126" i="19"/>
  <c r="B126" i="19"/>
  <c r="C126" i="19"/>
  <c r="D126" i="19"/>
  <c r="E126" i="19"/>
  <c r="F126" i="19"/>
  <c r="H126" i="19"/>
  <c r="I126" i="19"/>
  <c r="J126" i="19"/>
  <c r="K126" i="19"/>
  <c r="L126" i="19"/>
  <c r="M126" i="19"/>
  <c r="N126" i="19"/>
  <c r="P126" i="19"/>
  <c r="Q126" i="19"/>
  <c r="S126" i="19"/>
  <c r="V126" i="19"/>
  <c r="W126" i="19"/>
  <c r="X126" i="19"/>
  <c r="Z126" i="19"/>
  <c r="D124" i="32" s="1"/>
  <c r="AA126" i="19"/>
  <c r="D124" i="33" s="1"/>
  <c r="A127" i="19"/>
  <c r="B127" i="19"/>
  <c r="C127" i="19"/>
  <c r="D127" i="19"/>
  <c r="E127" i="19"/>
  <c r="F127" i="19"/>
  <c r="H127" i="19"/>
  <c r="I127" i="19"/>
  <c r="J127" i="19"/>
  <c r="K127" i="19"/>
  <c r="L127" i="19"/>
  <c r="M127" i="19"/>
  <c r="N127" i="19"/>
  <c r="P127" i="19"/>
  <c r="Q127" i="19"/>
  <c r="S127" i="19"/>
  <c r="V127" i="19"/>
  <c r="W127" i="19"/>
  <c r="X127" i="19"/>
  <c r="Z127" i="19"/>
  <c r="D125" i="32" s="1"/>
  <c r="AA127" i="19"/>
  <c r="D125" i="33" s="1"/>
  <c r="A128" i="19"/>
  <c r="B128" i="19"/>
  <c r="C128" i="19"/>
  <c r="D128" i="19"/>
  <c r="E128" i="19"/>
  <c r="F128" i="19"/>
  <c r="H128" i="19"/>
  <c r="I128" i="19"/>
  <c r="J128" i="19"/>
  <c r="K128" i="19"/>
  <c r="L128" i="19"/>
  <c r="M128" i="19"/>
  <c r="N128" i="19"/>
  <c r="P128" i="19"/>
  <c r="Q128" i="19"/>
  <c r="S128" i="19"/>
  <c r="V128" i="19"/>
  <c r="W128" i="19"/>
  <c r="X128" i="19"/>
  <c r="Z128" i="19"/>
  <c r="D126" i="32" s="1"/>
  <c r="AA128" i="19"/>
  <c r="D126" i="33" s="1"/>
  <c r="A129" i="19"/>
  <c r="B129" i="19"/>
  <c r="C129" i="19"/>
  <c r="D129" i="19"/>
  <c r="E129" i="19"/>
  <c r="F129" i="19"/>
  <c r="H129" i="19"/>
  <c r="I129" i="19"/>
  <c r="J129" i="19"/>
  <c r="K129" i="19"/>
  <c r="L129" i="19"/>
  <c r="M129" i="19"/>
  <c r="N129" i="19"/>
  <c r="P129" i="19"/>
  <c r="Q129" i="19"/>
  <c r="S129" i="19"/>
  <c r="V129" i="19"/>
  <c r="W129" i="19"/>
  <c r="X129" i="19"/>
  <c r="Z129" i="19"/>
  <c r="D127" i="32" s="1"/>
  <c r="AA129" i="19"/>
  <c r="D127" i="33" s="1"/>
  <c r="A130" i="19"/>
  <c r="B130" i="19"/>
  <c r="C130" i="19"/>
  <c r="D130" i="19"/>
  <c r="E130" i="19"/>
  <c r="F130" i="19"/>
  <c r="H130" i="19"/>
  <c r="I130" i="19"/>
  <c r="J130" i="19"/>
  <c r="K130" i="19"/>
  <c r="L130" i="19"/>
  <c r="M130" i="19"/>
  <c r="N130" i="19"/>
  <c r="P130" i="19"/>
  <c r="Q130" i="19"/>
  <c r="S130" i="19"/>
  <c r="V130" i="19"/>
  <c r="W130" i="19"/>
  <c r="X130" i="19"/>
  <c r="Z130" i="19"/>
  <c r="D128" i="32" s="1"/>
  <c r="AA130" i="19"/>
  <c r="D128" i="33" s="1"/>
  <c r="A131" i="19"/>
  <c r="B131" i="19"/>
  <c r="C131" i="19"/>
  <c r="D131" i="19"/>
  <c r="E131" i="19"/>
  <c r="F131" i="19"/>
  <c r="H131" i="19"/>
  <c r="I131" i="19"/>
  <c r="J131" i="19"/>
  <c r="K131" i="19"/>
  <c r="L131" i="19"/>
  <c r="M131" i="19"/>
  <c r="N131" i="19"/>
  <c r="P131" i="19"/>
  <c r="Q131" i="19"/>
  <c r="S131" i="19"/>
  <c r="V131" i="19"/>
  <c r="W131" i="19"/>
  <c r="X131" i="19"/>
  <c r="Z131" i="19"/>
  <c r="D129" i="32" s="1"/>
  <c r="AA131" i="19"/>
  <c r="D129" i="33" s="1"/>
  <c r="A132" i="19"/>
  <c r="B132" i="19"/>
  <c r="C132" i="19"/>
  <c r="D132" i="19"/>
  <c r="E132" i="19"/>
  <c r="F132" i="19"/>
  <c r="H132" i="19"/>
  <c r="I132" i="19"/>
  <c r="J132" i="19"/>
  <c r="K132" i="19"/>
  <c r="L132" i="19"/>
  <c r="M132" i="19"/>
  <c r="N132" i="19"/>
  <c r="P132" i="19"/>
  <c r="Q132" i="19"/>
  <c r="S132" i="19"/>
  <c r="V132" i="19"/>
  <c r="W132" i="19"/>
  <c r="X132" i="19"/>
  <c r="Z132" i="19"/>
  <c r="D130" i="32" s="1"/>
  <c r="AA132" i="19"/>
  <c r="D130" i="33" s="1"/>
  <c r="A133" i="19"/>
  <c r="B133" i="19"/>
  <c r="C133" i="19"/>
  <c r="D133" i="19"/>
  <c r="E133" i="19"/>
  <c r="F133" i="19"/>
  <c r="H133" i="19"/>
  <c r="I133" i="19"/>
  <c r="J133" i="19"/>
  <c r="K133" i="19"/>
  <c r="L133" i="19"/>
  <c r="M133" i="19"/>
  <c r="N133" i="19"/>
  <c r="P133" i="19"/>
  <c r="Q133" i="19"/>
  <c r="S133" i="19"/>
  <c r="V133" i="19"/>
  <c r="W133" i="19"/>
  <c r="X133" i="19"/>
  <c r="Z133" i="19"/>
  <c r="D131" i="32" s="1"/>
  <c r="AA133" i="19"/>
  <c r="D131" i="33" s="1"/>
  <c r="A134" i="19"/>
  <c r="B134" i="19"/>
  <c r="C134" i="19"/>
  <c r="D134" i="19"/>
  <c r="E134" i="19"/>
  <c r="F134" i="19"/>
  <c r="H134" i="19"/>
  <c r="I134" i="19"/>
  <c r="J134" i="19"/>
  <c r="K134" i="19"/>
  <c r="L134" i="19"/>
  <c r="M134" i="19"/>
  <c r="N134" i="19"/>
  <c r="P134" i="19"/>
  <c r="Q134" i="19"/>
  <c r="S134" i="19"/>
  <c r="V134" i="19"/>
  <c r="W134" i="19"/>
  <c r="X134" i="19"/>
  <c r="Z134" i="19"/>
  <c r="D132" i="32" s="1"/>
  <c r="AA134" i="19"/>
  <c r="D132" i="33" s="1"/>
  <c r="A135" i="19"/>
  <c r="B135" i="19"/>
  <c r="C135" i="19"/>
  <c r="D135" i="19"/>
  <c r="E135" i="19"/>
  <c r="F135" i="19"/>
  <c r="H135" i="19"/>
  <c r="I135" i="19"/>
  <c r="J135" i="19"/>
  <c r="K135" i="19"/>
  <c r="L135" i="19"/>
  <c r="M135" i="19"/>
  <c r="N135" i="19"/>
  <c r="P135" i="19"/>
  <c r="Q135" i="19"/>
  <c r="S135" i="19"/>
  <c r="V135" i="19"/>
  <c r="W135" i="19"/>
  <c r="X135" i="19"/>
  <c r="Z135" i="19"/>
  <c r="D133" i="32" s="1"/>
  <c r="AA135" i="19"/>
  <c r="D133" i="33" s="1"/>
  <c r="A136" i="19"/>
  <c r="B136" i="19"/>
  <c r="C136" i="19"/>
  <c r="D136" i="19"/>
  <c r="E136" i="19"/>
  <c r="F136" i="19"/>
  <c r="H136" i="19"/>
  <c r="I136" i="19"/>
  <c r="J136" i="19"/>
  <c r="K136" i="19"/>
  <c r="L136" i="19"/>
  <c r="M136" i="19"/>
  <c r="N136" i="19"/>
  <c r="P136" i="19"/>
  <c r="Q136" i="19"/>
  <c r="S136" i="19"/>
  <c r="V136" i="19"/>
  <c r="W136" i="19"/>
  <c r="X136" i="19"/>
  <c r="Z136" i="19"/>
  <c r="D134" i="32" s="1"/>
  <c r="AA136" i="19"/>
  <c r="D134" i="33" s="1"/>
  <c r="A137" i="19"/>
  <c r="B137" i="19"/>
  <c r="C137" i="19"/>
  <c r="D137" i="19"/>
  <c r="E137" i="19"/>
  <c r="F137" i="19"/>
  <c r="H137" i="19"/>
  <c r="I137" i="19"/>
  <c r="J137" i="19"/>
  <c r="K137" i="19"/>
  <c r="L137" i="19"/>
  <c r="M137" i="19"/>
  <c r="N137" i="19"/>
  <c r="P137" i="19"/>
  <c r="Q137" i="19"/>
  <c r="S137" i="19"/>
  <c r="V137" i="19"/>
  <c r="W137" i="19"/>
  <c r="X137" i="19"/>
  <c r="Z137" i="19"/>
  <c r="D135" i="32" s="1"/>
  <c r="AA137" i="19"/>
  <c r="D135" i="33" s="1"/>
  <c r="A138" i="19"/>
  <c r="B138" i="19"/>
  <c r="C138" i="19"/>
  <c r="D138" i="19"/>
  <c r="E138" i="19"/>
  <c r="F138" i="19"/>
  <c r="H138" i="19"/>
  <c r="I138" i="19"/>
  <c r="J138" i="19"/>
  <c r="K138" i="19"/>
  <c r="L138" i="19"/>
  <c r="M138" i="19"/>
  <c r="N138" i="19"/>
  <c r="P138" i="19"/>
  <c r="Q138" i="19"/>
  <c r="S138" i="19"/>
  <c r="V138" i="19"/>
  <c r="W138" i="19"/>
  <c r="X138" i="19"/>
  <c r="Z138" i="19"/>
  <c r="D136" i="32" s="1"/>
  <c r="AA138" i="19"/>
  <c r="D136" i="33" s="1"/>
  <c r="A139" i="19"/>
  <c r="B139" i="19"/>
  <c r="C139" i="19"/>
  <c r="D139" i="19"/>
  <c r="E139" i="19"/>
  <c r="F139" i="19"/>
  <c r="H139" i="19"/>
  <c r="I139" i="19"/>
  <c r="J139" i="19"/>
  <c r="K139" i="19"/>
  <c r="L139" i="19"/>
  <c r="M139" i="19"/>
  <c r="N139" i="19"/>
  <c r="P139" i="19"/>
  <c r="Q139" i="19"/>
  <c r="S139" i="19"/>
  <c r="V139" i="19"/>
  <c r="W139" i="19"/>
  <c r="X139" i="19"/>
  <c r="Z139" i="19"/>
  <c r="D137" i="32" s="1"/>
  <c r="AA139" i="19"/>
  <c r="D137" i="33" s="1"/>
  <c r="A140" i="19"/>
  <c r="B140" i="19"/>
  <c r="C140" i="19"/>
  <c r="D140" i="19"/>
  <c r="E140" i="19"/>
  <c r="F140" i="19"/>
  <c r="H140" i="19"/>
  <c r="I140" i="19"/>
  <c r="J140" i="19"/>
  <c r="K140" i="19"/>
  <c r="L140" i="19"/>
  <c r="M140" i="19"/>
  <c r="N140" i="19"/>
  <c r="P140" i="19"/>
  <c r="Q140" i="19"/>
  <c r="S140" i="19"/>
  <c r="V140" i="19"/>
  <c r="W140" i="19"/>
  <c r="X140" i="19"/>
  <c r="Z140" i="19"/>
  <c r="D138" i="32" s="1"/>
  <c r="AA140" i="19"/>
  <c r="D138" i="33" s="1"/>
  <c r="A141" i="19"/>
  <c r="B141" i="19"/>
  <c r="C141" i="19"/>
  <c r="D141" i="19"/>
  <c r="E141" i="19"/>
  <c r="F141" i="19"/>
  <c r="H141" i="19"/>
  <c r="I141" i="19"/>
  <c r="J141" i="19"/>
  <c r="K141" i="19"/>
  <c r="L141" i="19"/>
  <c r="M141" i="19"/>
  <c r="N141" i="19"/>
  <c r="P141" i="19"/>
  <c r="Q141" i="19"/>
  <c r="S141" i="19"/>
  <c r="V141" i="19"/>
  <c r="W141" i="19"/>
  <c r="X141" i="19"/>
  <c r="Z141" i="19"/>
  <c r="D139" i="32" s="1"/>
  <c r="AA141" i="19"/>
  <c r="D139" i="33" s="1"/>
  <c r="A142" i="19"/>
  <c r="B142" i="19"/>
  <c r="C142" i="19"/>
  <c r="D142" i="19"/>
  <c r="E142" i="19"/>
  <c r="F142" i="19"/>
  <c r="H142" i="19"/>
  <c r="I142" i="19"/>
  <c r="J142" i="19"/>
  <c r="K142" i="19"/>
  <c r="L142" i="19"/>
  <c r="M142" i="19"/>
  <c r="N142" i="19"/>
  <c r="P142" i="19"/>
  <c r="Q142" i="19"/>
  <c r="S142" i="19"/>
  <c r="V142" i="19"/>
  <c r="W142" i="19"/>
  <c r="X142" i="19"/>
  <c r="Z142" i="19"/>
  <c r="D140" i="32" s="1"/>
  <c r="AA142" i="19"/>
  <c r="D140" i="33" s="1"/>
  <c r="A143" i="19"/>
  <c r="B143" i="19"/>
  <c r="C143" i="19"/>
  <c r="D143" i="19"/>
  <c r="E143" i="19"/>
  <c r="F143" i="19"/>
  <c r="H143" i="19"/>
  <c r="I143" i="19"/>
  <c r="J143" i="19"/>
  <c r="K143" i="19"/>
  <c r="L143" i="19"/>
  <c r="M143" i="19"/>
  <c r="N143" i="19"/>
  <c r="P143" i="19"/>
  <c r="Q143" i="19"/>
  <c r="S143" i="19"/>
  <c r="V143" i="19"/>
  <c r="W143" i="19"/>
  <c r="X143" i="19"/>
  <c r="Z143" i="19"/>
  <c r="D141" i="32" s="1"/>
  <c r="AA143" i="19"/>
  <c r="D141" i="33" s="1"/>
  <c r="A144" i="19"/>
  <c r="B144" i="19"/>
  <c r="C144" i="19"/>
  <c r="D144" i="19"/>
  <c r="E144" i="19"/>
  <c r="F144" i="19"/>
  <c r="H144" i="19"/>
  <c r="I144" i="19"/>
  <c r="J144" i="19"/>
  <c r="K144" i="19"/>
  <c r="L144" i="19"/>
  <c r="M144" i="19"/>
  <c r="N144" i="19"/>
  <c r="P144" i="19"/>
  <c r="Q144" i="19"/>
  <c r="S144" i="19"/>
  <c r="V144" i="19"/>
  <c r="W144" i="19"/>
  <c r="X144" i="19"/>
  <c r="Z144" i="19"/>
  <c r="D142" i="32" s="1"/>
  <c r="AA144" i="19"/>
  <c r="D142" i="33" s="1"/>
  <c r="A145" i="19"/>
  <c r="B145" i="19"/>
  <c r="C145" i="19"/>
  <c r="D145" i="19"/>
  <c r="E145" i="19"/>
  <c r="F145" i="19"/>
  <c r="H145" i="19"/>
  <c r="I145" i="19"/>
  <c r="J145" i="19"/>
  <c r="K145" i="19"/>
  <c r="L145" i="19"/>
  <c r="M145" i="19"/>
  <c r="N145" i="19"/>
  <c r="P145" i="19"/>
  <c r="Q145" i="19"/>
  <c r="S145" i="19"/>
  <c r="V145" i="19"/>
  <c r="W145" i="19"/>
  <c r="X145" i="19"/>
  <c r="Z145" i="19"/>
  <c r="D143" i="32" s="1"/>
  <c r="AA145" i="19"/>
  <c r="D143" i="33" s="1"/>
  <c r="A146" i="19"/>
  <c r="B146" i="19"/>
  <c r="C146" i="19"/>
  <c r="D146" i="19"/>
  <c r="E146" i="19"/>
  <c r="F146" i="19"/>
  <c r="H146" i="19"/>
  <c r="I146" i="19"/>
  <c r="J146" i="19"/>
  <c r="K146" i="19"/>
  <c r="L146" i="19"/>
  <c r="M146" i="19"/>
  <c r="N146" i="19"/>
  <c r="P146" i="19"/>
  <c r="Q146" i="19"/>
  <c r="S146" i="19"/>
  <c r="V146" i="19"/>
  <c r="W146" i="19"/>
  <c r="X146" i="19"/>
  <c r="Z146" i="19"/>
  <c r="D144" i="32" s="1"/>
  <c r="AA146" i="19"/>
  <c r="D144" i="33" s="1"/>
  <c r="A147" i="19"/>
  <c r="B147" i="19"/>
  <c r="C147" i="19"/>
  <c r="D147" i="19"/>
  <c r="E147" i="19"/>
  <c r="F147" i="19"/>
  <c r="H147" i="19"/>
  <c r="I147" i="19"/>
  <c r="J147" i="19"/>
  <c r="K147" i="19"/>
  <c r="L147" i="19"/>
  <c r="M147" i="19"/>
  <c r="N147" i="19"/>
  <c r="P147" i="19"/>
  <c r="Q147" i="19"/>
  <c r="S147" i="19"/>
  <c r="V147" i="19"/>
  <c r="W147" i="19"/>
  <c r="X147" i="19"/>
  <c r="Z147" i="19"/>
  <c r="D145" i="32" s="1"/>
  <c r="AA147" i="19"/>
  <c r="D145" i="33" s="1"/>
  <c r="A148" i="19"/>
  <c r="B148" i="19"/>
  <c r="C148" i="19"/>
  <c r="D148" i="19"/>
  <c r="E148" i="19"/>
  <c r="F148" i="19"/>
  <c r="H148" i="19"/>
  <c r="I148" i="19"/>
  <c r="J148" i="19"/>
  <c r="K148" i="19"/>
  <c r="L148" i="19"/>
  <c r="M148" i="19"/>
  <c r="N148" i="19"/>
  <c r="P148" i="19"/>
  <c r="Q148" i="19"/>
  <c r="S148" i="19"/>
  <c r="V148" i="19"/>
  <c r="W148" i="19"/>
  <c r="X148" i="19"/>
  <c r="Z148" i="19"/>
  <c r="D146" i="32" s="1"/>
  <c r="AA148" i="19"/>
  <c r="D146" i="33" s="1"/>
  <c r="A149" i="19"/>
  <c r="B149" i="19"/>
  <c r="C149" i="19"/>
  <c r="D149" i="19"/>
  <c r="E149" i="19"/>
  <c r="F149" i="19"/>
  <c r="H149" i="19"/>
  <c r="I149" i="19"/>
  <c r="J149" i="19"/>
  <c r="K149" i="19"/>
  <c r="L149" i="19"/>
  <c r="M149" i="19"/>
  <c r="N149" i="19"/>
  <c r="P149" i="19"/>
  <c r="Q149" i="19"/>
  <c r="S149" i="19"/>
  <c r="V149" i="19"/>
  <c r="W149" i="19"/>
  <c r="X149" i="19"/>
  <c r="Z149" i="19"/>
  <c r="D147" i="32" s="1"/>
  <c r="AA149" i="19"/>
  <c r="D147" i="33" s="1"/>
  <c r="A150" i="19"/>
  <c r="B150" i="19"/>
  <c r="C150" i="19"/>
  <c r="D150" i="19"/>
  <c r="E150" i="19"/>
  <c r="F150" i="19"/>
  <c r="H150" i="19"/>
  <c r="I150" i="19"/>
  <c r="J150" i="19"/>
  <c r="K150" i="19"/>
  <c r="L150" i="19"/>
  <c r="M150" i="19"/>
  <c r="N150" i="19"/>
  <c r="P150" i="19"/>
  <c r="Q150" i="19"/>
  <c r="S150" i="19"/>
  <c r="V150" i="19"/>
  <c r="W150" i="19"/>
  <c r="X150" i="19"/>
  <c r="Z150" i="19"/>
  <c r="D148" i="32" s="1"/>
  <c r="AA150" i="19"/>
  <c r="D148" i="33" s="1"/>
  <c r="A151" i="19"/>
  <c r="B151" i="19"/>
  <c r="C151" i="19"/>
  <c r="D151" i="19"/>
  <c r="E151" i="19"/>
  <c r="F151" i="19"/>
  <c r="H151" i="19"/>
  <c r="I151" i="19"/>
  <c r="J151" i="19"/>
  <c r="K151" i="19"/>
  <c r="L151" i="19"/>
  <c r="M151" i="19"/>
  <c r="N151" i="19"/>
  <c r="P151" i="19"/>
  <c r="Q151" i="19"/>
  <c r="S151" i="19"/>
  <c r="V151" i="19"/>
  <c r="W151" i="19"/>
  <c r="X151" i="19"/>
  <c r="Z151" i="19"/>
  <c r="D149" i="32" s="1"/>
  <c r="AA151" i="19"/>
  <c r="D149" i="33" s="1"/>
  <c r="A152" i="19"/>
  <c r="B152" i="19"/>
  <c r="C152" i="19"/>
  <c r="D152" i="19"/>
  <c r="E152" i="19"/>
  <c r="F152" i="19"/>
  <c r="H152" i="19"/>
  <c r="I152" i="19"/>
  <c r="J152" i="19"/>
  <c r="K152" i="19"/>
  <c r="L152" i="19"/>
  <c r="M152" i="19"/>
  <c r="N152" i="19"/>
  <c r="P152" i="19"/>
  <c r="Q152" i="19"/>
  <c r="S152" i="19"/>
  <c r="V152" i="19"/>
  <c r="W152" i="19"/>
  <c r="X152" i="19"/>
  <c r="Z152" i="19"/>
  <c r="D150" i="32" s="1"/>
  <c r="AA152" i="19"/>
  <c r="D150" i="33" s="1"/>
  <c r="A153" i="19"/>
  <c r="B153" i="19"/>
  <c r="C153" i="19"/>
  <c r="D153" i="19"/>
  <c r="E153" i="19"/>
  <c r="F153" i="19"/>
  <c r="H153" i="19"/>
  <c r="I153" i="19"/>
  <c r="J153" i="19"/>
  <c r="K153" i="19"/>
  <c r="L153" i="19"/>
  <c r="M153" i="19"/>
  <c r="N153" i="19"/>
  <c r="P153" i="19"/>
  <c r="Q153" i="19"/>
  <c r="S153" i="19"/>
  <c r="V153" i="19"/>
  <c r="W153" i="19"/>
  <c r="X153" i="19"/>
  <c r="Z153" i="19"/>
  <c r="D151" i="32" s="1"/>
  <c r="AA153" i="19"/>
  <c r="D151" i="33" s="1"/>
  <c r="A154" i="19"/>
  <c r="B154" i="19"/>
  <c r="C154" i="19"/>
  <c r="D154" i="19"/>
  <c r="E154" i="19"/>
  <c r="F154" i="19"/>
  <c r="H154" i="19"/>
  <c r="I154" i="19"/>
  <c r="J154" i="19"/>
  <c r="K154" i="19"/>
  <c r="L154" i="19"/>
  <c r="M154" i="19"/>
  <c r="N154" i="19"/>
  <c r="P154" i="19"/>
  <c r="Q154" i="19"/>
  <c r="S154" i="19"/>
  <c r="V154" i="19"/>
  <c r="W154" i="19"/>
  <c r="X154" i="19"/>
  <c r="Z154" i="19"/>
  <c r="D152" i="32" s="1"/>
  <c r="AA154" i="19"/>
  <c r="D152" i="33" s="1"/>
  <c r="A155" i="19"/>
  <c r="B155" i="19"/>
  <c r="C155" i="19"/>
  <c r="D155" i="19"/>
  <c r="E155" i="19"/>
  <c r="F155" i="19"/>
  <c r="H155" i="19"/>
  <c r="I155" i="19"/>
  <c r="J155" i="19"/>
  <c r="K155" i="19"/>
  <c r="L155" i="19"/>
  <c r="M155" i="19"/>
  <c r="N155" i="19"/>
  <c r="P155" i="19"/>
  <c r="Q155" i="19"/>
  <c r="S155" i="19"/>
  <c r="V155" i="19"/>
  <c r="W155" i="19"/>
  <c r="X155" i="19"/>
  <c r="Z155" i="19"/>
  <c r="D153" i="32" s="1"/>
  <c r="AA155" i="19"/>
  <c r="D153" i="33" s="1"/>
  <c r="A156" i="19"/>
  <c r="B156" i="19"/>
  <c r="C156" i="19"/>
  <c r="D156" i="19"/>
  <c r="E156" i="19"/>
  <c r="F156" i="19"/>
  <c r="H156" i="19"/>
  <c r="I156" i="19"/>
  <c r="J156" i="19"/>
  <c r="K156" i="19"/>
  <c r="L156" i="19"/>
  <c r="M156" i="19"/>
  <c r="N156" i="19"/>
  <c r="P156" i="19"/>
  <c r="Q156" i="19"/>
  <c r="S156" i="19"/>
  <c r="V156" i="19"/>
  <c r="W156" i="19"/>
  <c r="X156" i="19"/>
  <c r="Z156" i="19"/>
  <c r="D154" i="32" s="1"/>
  <c r="AA156" i="19"/>
  <c r="D154" i="33" s="1"/>
  <c r="A157" i="19"/>
  <c r="B157" i="19"/>
  <c r="C157" i="19"/>
  <c r="D157" i="19"/>
  <c r="E157" i="19"/>
  <c r="F157" i="19"/>
  <c r="H157" i="19"/>
  <c r="I157" i="19"/>
  <c r="J157" i="19"/>
  <c r="K157" i="19"/>
  <c r="L157" i="19"/>
  <c r="M157" i="19"/>
  <c r="N157" i="19"/>
  <c r="P157" i="19"/>
  <c r="Q157" i="19"/>
  <c r="S157" i="19"/>
  <c r="V157" i="19"/>
  <c r="W157" i="19"/>
  <c r="X157" i="19"/>
  <c r="Z157" i="19"/>
  <c r="D155" i="32" s="1"/>
  <c r="AA157" i="19"/>
  <c r="D155" i="33" s="1"/>
  <c r="A158" i="19"/>
  <c r="B158" i="19"/>
  <c r="C158" i="19"/>
  <c r="D158" i="19"/>
  <c r="E158" i="19"/>
  <c r="F158" i="19"/>
  <c r="H158" i="19"/>
  <c r="I158" i="19"/>
  <c r="J158" i="19"/>
  <c r="K158" i="19"/>
  <c r="L158" i="19"/>
  <c r="M158" i="19"/>
  <c r="N158" i="19"/>
  <c r="P158" i="19"/>
  <c r="Q158" i="19"/>
  <c r="S158" i="19"/>
  <c r="V158" i="19"/>
  <c r="W158" i="19"/>
  <c r="X158" i="19"/>
  <c r="Z158" i="19"/>
  <c r="D156" i="32" s="1"/>
  <c r="AA158" i="19"/>
  <c r="D156" i="33" s="1"/>
  <c r="A159" i="19"/>
  <c r="B159" i="19"/>
  <c r="C159" i="19"/>
  <c r="D159" i="19"/>
  <c r="E159" i="19"/>
  <c r="F159" i="19"/>
  <c r="H159" i="19"/>
  <c r="I159" i="19"/>
  <c r="J159" i="19"/>
  <c r="K159" i="19"/>
  <c r="L159" i="19"/>
  <c r="M159" i="19"/>
  <c r="N159" i="19"/>
  <c r="P159" i="19"/>
  <c r="Q159" i="19"/>
  <c r="S159" i="19"/>
  <c r="V159" i="19"/>
  <c r="W159" i="19"/>
  <c r="X159" i="19"/>
  <c r="Z159" i="19"/>
  <c r="D157" i="32" s="1"/>
  <c r="AA159" i="19"/>
  <c r="D157" i="33" s="1"/>
  <c r="A160" i="19"/>
  <c r="B160" i="19"/>
  <c r="C160" i="19"/>
  <c r="D160" i="19"/>
  <c r="E160" i="19"/>
  <c r="F160" i="19"/>
  <c r="H160" i="19"/>
  <c r="I160" i="19"/>
  <c r="J160" i="19"/>
  <c r="K160" i="19"/>
  <c r="L160" i="19"/>
  <c r="M160" i="19"/>
  <c r="N160" i="19"/>
  <c r="P160" i="19"/>
  <c r="Q160" i="19"/>
  <c r="S160" i="19"/>
  <c r="V160" i="19"/>
  <c r="W160" i="19"/>
  <c r="X160" i="19"/>
  <c r="Z160" i="19"/>
  <c r="D158" i="32" s="1"/>
  <c r="AA160" i="19"/>
  <c r="D158" i="33" s="1"/>
  <c r="A161" i="19"/>
  <c r="B161" i="19"/>
  <c r="C161" i="19"/>
  <c r="D161" i="19"/>
  <c r="E161" i="19"/>
  <c r="F161" i="19"/>
  <c r="H161" i="19"/>
  <c r="I161" i="19"/>
  <c r="J161" i="19"/>
  <c r="K161" i="19"/>
  <c r="L161" i="19"/>
  <c r="M161" i="19"/>
  <c r="N161" i="19"/>
  <c r="P161" i="19"/>
  <c r="Q161" i="19"/>
  <c r="S161" i="19"/>
  <c r="V161" i="19"/>
  <c r="W161" i="19"/>
  <c r="X161" i="19"/>
  <c r="Z161" i="19"/>
  <c r="D159" i="32" s="1"/>
  <c r="AA161" i="19"/>
  <c r="D159" i="33" s="1"/>
  <c r="A162" i="19"/>
  <c r="B162" i="19"/>
  <c r="C162" i="19"/>
  <c r="D162" i="19"/>
  <c r="E162" i="19"/>
  <c r="F162" i="19"/>
  <c r="H162" i="19"/>
  <c r="I162" i="19"/>
  <c r="J162" i="19"/>
  <c r="K162" i="19"/>
  <c r="L162" i="19"/>
  <c r="M162" i="19"/>
  <c r="N162" i="19"/>
  <c r="P162" i="19"/>
  <c r="Q162" i="19"/>
  <c r="S162" i="19"/>
  <c r="V162" i="19"/>
  <c r="W162" i="19"/>
  <c r="X162" i="19"/>
  <c r="Z162" i="19"/>
  <c r="D160" i="32" s="1"/>
  <c r="AA162" i="19"/>
  <c r="D160" i="33" s="1"/>
  <c r="A163" i="19"/>
  <c r="B163" i="19"/>
  <c r="C163" i="19"/>
  <c r="D163" i="19"/>
  <c r="E163" i="19"/>
  <c r="F163" i="19"/>
  <c r="H163" i="19"/>
  <c r="I163" i="19"/>
  <c r="J163" i="19"/>
  <c r="K163" i="19"/>
  <c r="L163" i="19"/>
  <c r="M163" i="19"/>
  <c r="N163" i="19"/>
  <c r="P163" i="19"/>
  <c r="Q163" i="19"/>
  <c r="S163" i="19"/>
  <c r="V163" i="19"/>
  <c r="W163" i="19"/>
  <c r="X163" i="19"/>
  <c r="Z163" i="19"/>
  <c r="D161" i="32" s="1"/>
  <c r="AA163" i="19"/>
  <c r="D161" i="33" s="1"/>
  <c r="A164" i="19"/>
  <c r="B164" i="19"/>
  <c r="C164" i="19"/>
  <c r="D164" i="19"/>
  <c r="E164" i="19"/>
  <c r="F164" i="19"/>
  <c r="H164" i="19"/>
  <c r="I164" i="19"/>
  <c r="J164" i="19"/>
  <c r="K164" i="19"/>
  <c r="L164" i="19"/>
  <c r="M164" i="19"/>
  <c r="N164" i="19"/>
  <c r="P164" i="19"/>
  <c r="Q164" i="19"/>
  <c r="S164" i="19"/>
  <c r="V164" i="19"/>
  <c r="W164" i="19"/>
  <c r="X164" i="19"/>
  <c r="Z164" i="19"/>
  <c r="D162" i="32" s="1"/>
  <c r="AA164" i="19"/>
  <c r="D162" i="33" s="1"/>
  <c r="A165" i="19"/>
  <c r="B165" i="19"/>
  <c r="C165" i="19"/>
  <c r="D165" i="19"/>
  <c r="E165" i="19"/>
  <c r="F165" i="19"/>
  <c r="H165" i="19"/>
  <c r="I165" i="19"/>
  <c r="J165" i="19"/>
  <c r="K165" i="19"/>
  <c r="L165" i="19"/>
  <c r="M165" i="19"/>
  <c r="N165" i="19"/>
  <c r="P165" i="19"/>
  <c r="Q165" i="19"/>
  <c r="S165" i="19"/>
  <c r="V165" i="19"/>
  <c r="W165" i="19"/>
  <c r="X165" i="19"/>
  <c r="Z165" i="19"/>
  <c r="D163" i="32" s="1"/>
  <c r="AA165" i="19"/>
  <c r="D163" i="33" s="1"/>
  <c r="A166" i="19"/>
  <c r="B166" i="19"/>
  <c r="C166" i="19"/>
  <c r="D166" i="19"/>
  <c r="E166" i="19"/>
  <c r="F166" i="19"/>
  <c r="H166" i="19"/>
  <c r="I166" i="19"/>
  <c r="J166" i="19"/>
  <c r="K166" i="19"/>
  <c r="L166" i="19"/>
  <c r="M166" i="19"/>
  <c r="N166" i="19"/>
  <c r="P166" i="19"/>
  <c r="Q166" i="19"/>
  <c r="S166" i="19"/>
  <c r="V166" i="19"/>
  <c r="W166" i="19"/>
  <c r="X166" i="19"/>
  <c r="Z166" i="19"/>
  <c r="D164" i="32" s="1"/>
  <c r="AA166" i="19"/>
  <c r="D164" i="33" s="1"/>
  <c r="A167" i="19"/>
  <c r="B167" i="19"/>
  <c r="C167" i="19"/>
  <c r="D167" i="19"/>
  <c r="E167" i="19"/>
  <c r="F167" i="19"/>
  <c r="H167" i="19"/>
  <c r="I167" i="19"/>
  <c r="J167" i="19"/>
  <c r="K167" i="19"/>
  <c r="L167" i="19"/>
  <c r="M167" i="19"/>
  <c r="N167" i="19"/>
  <c r="P167" i="19"/>
  <c r="Q167" i="19"/>
  <c r="S167" i="19"/>
  <c r="V167" i="19"/>
  <c r="W167" i="19"/>
  <c r="X167" i="19"/>
  <c r="Z167" i="19"/>
  <c r="D165" i="32" s="1"/>
  <c r="AA167" i="19"/>
  <c r="D165" i="33" s="1"/>
  <c r="A168" i="19"/>
  <c r="B168" i="19"/>
  <c r="C168" i="19"/>
  <c r="D168" i="19"/>
  <c r="E168" i="19"/>
  <c r="F168" i="19"/>
  <c r="H168" i="19"/>
  <c r="I168" i="19"/>
  <c r="J168" i="19"/>
  <c r="K168" i="19"/>
  <c r="L168" i="19"/>
  <c r="M168" i="19"/>
  <c r="N168" i="19"/>
  <c r="P168" i="19"/>
  <c r="Q168" i="19"/>
  <c r="S168" i="19"/>
  <c r="V168" i="19"/>
  <c r="W168" i="19"/>
  <c r="X168" i="19"/>
  <c r="Z168" i="19"/>
  <c r="D166" i="32" s="1"/>
  <c r="AA168" i="19"/>
  <c r="D166" i="33" s="1"/>
  <c r="A169" i="19"/>
  <c r="B169" i="19"/>
  <c r="C169" i="19"/>
  <c r="D169" i="19"/>
  <c r="E169" i="19"/>
  <c r="F169" i="19"/>
  <c r="H169" i="19"/>
  <c r="I169" i="19"/>
  <c r="J169" i="19"/>
  <c r="K169" i="19"/>
  <c r="L169" i="19"/>
  <c r="M169" i="19"/>
  <c r="N169" i="19"/>
  <c r="P169" i="19"/>
  <c r="Q169" i="19"/>
  <c r="S169" i="19"/>
  <c r="V169" i="19"/>
  <c r="W169" i="19"/>
  <c r="X169" i="19"/>
  <c r="Z169" i="19"/>
  <c r="D167" i="32" s="1"/>
  <c r="AA169" i="19"/>
  <c r="D167" i="33" s="1"/>
  <c r="A170" i="19"/>
  <c r="B170" i="19"/>
  <c r="C170" i="19"/>
  <c r="D170" i="19"/>
  <c r="E170" i="19"/>
  <c r="F170" i="19"/>
  <c r="H170" i="19"/>
  <c r="I170" i="19"/>
  <c r="J170" i="19"/>
  <c r="K170" i="19"/>
  <c r="L170" i="19"/>
  <c r="M170" i="19"/>
  <c r="N170" i="19"/>
  <c r="P170" i="19"/>
  <c r="Q170" i="19"/>
  <c r="S170" i="19"/>
  <c r="V170" i="19"/>
  <c r="W170" i="19"/>
  <c r="X170" i="19"/>
  <c r="Z170" i="19"/>
  <c r="D168" i="32" s="1"/>
  <c r="AA170" i="19"/>
  <c r="D168" i="33" s="1"/>
  <c r="A171" i="19"/>
  <c r="B171" i="19"/>
  <c r="C171" i="19"/>
  <c r="D171" i="19"/>
  <c r="E171" i="19"/>
  <c r="F171" i="19"/>
  <c r="H171" i="19"/>
  <c r="I171" i="19"/>
  <c r="J171" i="19"/>
  <c r="K171" i="19"/>
  <c r="L171" i="19"/>
  <c r="M171" i="19"/>
  <c r="N171" i="19"/>
  <c r="P171" i="19"/>
  <c r="Q171" i="19"/>
  <c r="S171" i="19"/>
  <c r="V171" i="19"/>
  <c r="W171" i="19"/>
  <c r="X171" i="19"/>
  <c r="Z171" i="19"/>
  <c r="D169" i="32" s="1"/>
  <c r="AA171" i="19"/>
  <c r="D169" i="33" s="1"/>
  <c r="A172" i="19"/>
  <c r="B172" i="19"/>
  <c r="C172" i="19"/>
  <c r="D172" i="19"/>
  <c r="E172" i="19"/>
  <c r="F172" i="19"/>
  <c r="H172" i="19"/>
  <c r="I172" i="19"/>
  <c r="J172" i="19"/>
  <c r="K172" i="19"/>
  <c r="L172" i="19"/>
  <c r="M172" i="19"/>
  <c r="N172" i="19"/>
  <c r="P172" i="19"/>
  <c r="Q172" i="19"/>
  <c r="S172" i="19"/>
  <c r="V172" i="19"/>
  <c r="W172" i="19"/>
  <c r="X172" i="19"/>
  <c r="Z172" i="19"/>
  <c r="D170" i="32" s="1"/>
  <c r="AA172" i="19"/>
  <c r="D170" i="33" s="1"/>
  <c r="A173" i="19"/>
  <c r="B173" i="19"/>
  <c r="C173" i="19"/>
  <c r="D173" i="19"/>
  <c r="E173" i="19"/>
  <c r="F173" i="19"/>
  <c r="H173" i="19"/>
  <c r="I173" i="19"/>
  <c r="J173" i="19"/>
  <c r="K173" i="19"/>
  <c r="L173" i="19"/>
  <c r="M173" i="19"/>
  <c r="N173" i="19"/>
  <c r="P173" i="19"/>
  <c r="Q173" i="19"/>
  <c r="S173" i="19"/>
  <c r="V173" i="19"/>
  <c r="W173" i="19"/>
  <c r="X173" i="19"/>
  <c r="Z173" i="19"/>
  <c r="D171" i="32" s="1"/>
  <c r="AA173" i="19"/>
  <c r="D171" i="33" s="1"/>
  <c r="A174" i="19"/>
  <c r="B174" i="19"/>
  <c r="C174" i="19"/>
  <c r="D174" i="19"/>
  <c r="E174" i="19"/>
  <c r="F174" i="19"/>
  <c r="H174" i="19"/>
  <c r="I174" i="19"/>
  <c r="J174" i="19"/>
  <c r="K174" i="19"/>
  <c r="L174" i="19"/>
  <c r="M174" i="19"/>
  <c r="N174" i="19"/>
  <c r="P174" i="19"/>
  <c r="Q174" i="19"/>
  <c r="S174" i="19"/>
  <c r="V174" i="19"/>
  <c r="W174" i="19"/>
  <c r="X174" i="19"/>
  <c r="Z174" i="19"/>
  <c r="D172" i="32" s="1"/>
  <c r="AA174" i="19"/>
  <c r="D172" i="33" s="1"/>
  <c r="A175" i="19"/>
  <c r="B175" i="19"/>
  <c r="C175" i="19"/>
  <c r="D175" i="19"/>
  <c r="E175" i="19"/>
  <c r="F175" i="19"/>
  <c r="H175" i="19"/>
  <c r="I175" i="19"/>
  <c r="J175" i="19"/>
  <c r="K175" i="19"/>
  <c r="L175" i="19"/>
  <c r="M175" i="19"/>
  <c r="N175" i="19"/>
  <c r="P175" i="19"/>
  <c r="Q175" i="19"/>
  <c r="S175" i="19"/>
  <c r="V175" i="19"/>
  <c r="W175" i="19"/>
  <c r="X175" i="19"/>
  <c r="Z175" i="19"/>
  <c r="D173" i="32" s="1"/>
  <c r="AA175" i="19"/>
  <c r="D173" i="33" s="1"/>
  <c r="A176" i="19"/>
  <c r="B176" i="19"/>
  <c r="C176" i="19"/>
  <c r="D176" i="19"/>
  <c r="E176" i="19"/>
  <c r="F176" i="19"/>
  <c r="H176" i="19"/>
  <c r="I176" i="19"/>
  <c r="J176" i="19"/>
  <c r="K176" i="19"/>
  <c r="L176" i="19"/>
  <c r="M176" i="19"/>
  <c r="N176" i="19"/>
  <c r="P176" i="19"/>
  <c r="Q176" i="19"/>
  <c r="S176" i="19"/>
  <c r="V176" i="19"/>
  <c r="W176" i="19"/>
  <c r="X176" i="19"/>
  <c r="Z176" i="19"/>
  <c r="D174" i="32" s="1"/>
  <c r="AA176" i="19"/>
  <c r="D174" i="33" s="1"/>
  <c r="A177" i="19"/>
  <c r="B177" i="19"/>
  <c r="C177" i="19"/>
  <c r="D177" i="19"/>
  <c r="E177" i="19"/>
  <c r="F177" i="19"/>
  <c r="H177" i="19"/>
  <c r="I177" i="19"/>
  <c r="J177" i="19"/>
  <c r="K177" i="19"/>
  <c r="L177" i="19"/>
  <c r="M177" i="19"/>
  <c r="N177" i="19"/>
  <c r="P177" i="19"/>
  <c r="Q177" i="19"/>
  <c r="S177" i="19"/>
  <c r="V177" i="19"/>
  <c r="W177" i="19"/>
  <c r="X177" i="19"/>
  <c r="Z177" i="19"/>
  <c r="D175" i="32" s="1"/>
  <c r="AA177" i="19"/>
  <c r="D175" i="33" s="1"/>
  <c r="A178" i="19"/>
  <c r="B178" i="19"/>
  <c r="C178" i="19"/>
  <c r="D178" i="19"/>
  <c r="E178" i="19"/>
  <c r="F178" i="19"/>
  <c r="H178" i="19"/>
  <c r="I178" i="19"/>
  <c r="J178" i="19"/>
  <c r="K178" i="19"/>
  <c r="L178" i="19"/>
  <c r="M178" i="19"/>
  <c r="N178" i="19"/>
  <c r="P178" i="19"/>
  <c r="Q178" i="19"/>
  <c r="S178" i="19"/>
  <c r="V178" i="19"/>
  <c r="W178" i="19"/>
  <c r="X178" i="19"/>
  <c r="Z178" i="19"/>
  <c r="D176" i="32" s="1"/>
  <c r="AA178" i="19"/>
  <c r="D176" i="33" s="1"/>
  <c r="A179" i="19"/>
  <c r="B179" i="19"/>
  <c r="C179" i="19"/>
  <c r="D179" i="19"/>
  <c r="E179" i="19"/>
  <c r="F179" i="19"/>
  <c r="H179" i="19"/>
  <c r="I179" i="19"/>
  <c r="J179" i="19"/>
  <c r="K179" i="19"/>
  <c r="L179" i="19"/>
  <c r="M179" i="19"/>
  <c r="N179" i="19"/>
  <c r="P179" i="19"/>
  <c r="Q179" i="19"/>
  <c r="S179" i="19"/>
  <c r="V179" i="19"/>
  <c r="W179" i="19"/>
  <c r="X179" i="19"/>
  <c r="Z179" i="19"/>
  <c r="D177" i="32" s="1"/>
  <c r="AA179" i="19"/>
  <c r="D177" i="33" s="1"/>
  <c r="A180" i="19"/>
  <c r="B180" i="19"/>
  <c r="C180" i="19"/>
  <c r="D180" i="19"/>
  <c r="E180" i="19"/>
  <c r="F180" i="19"/>
  <c r="H180" i="19"/>
  <c r="I180" i="19"/>
  <c r="J180" i="19"/>
  <c r="K180" i="19"/>
  <c r="L180" i="19"/>
  <c r="M180" i="19"/>
  <c r="N180" i="19"/>
  <c r="P180" i="19"/>
  <c r="Q180" i="19"/>
  <c r="S180" i="19"/>
  <c r="V180" i="19"/>
  <c r="W180" i="19"/>
  <c r="X180" i="19"/>
  <c r="Z180" i="19"/>
  <c r="D178" i="32" s="1"/>
  <c r="AA180" i="19"/>
  <c r="D178" i="33" s="1"/>
  <c r="A181" i="19"/>
  <c r="B181" i="19"/>
  <c r="C181" i="19"/>
  <c r="D181" i="19"/>
  <c r="E181" i="19"/>
  <c r="F181" i="19"/>
  <c r="H181" i="19"/>
  <c r="I181" i="19"/>
  <c r="J181" i="19"/>
  <c r="K181" i="19"/>
  <c r="L181" i="19"/>
  <c r="M181" i="19"/>
  <c r="N181" i="19"/>
  <c r="P181" i="19"/>
  <c r="Q181" i="19"/>
  <c r="S181" i="19"/>
  <c r="V181" i="19"/>
  <c r="W181" i="19"/>
  <c r="X181" i="19"/>
  <c r="Z181" i="19"/>
  <c r="D179" i="32" s="1"/>
  <c r="AA181" i="19"/>
  <c r="D179" i="33" s="1"/>
  <c r="A182" i="19"/>
  <c r="B182" i="19"/>
  <c r="C182" i="19"/>
  <c r="D182" i="19"/>
  <c r="E182" i="19"/>
  <c r="F182" i="19"/>
  <c r="H182" i="19"/>
  <c r="I182" i="19"/>
  <c r="J182" i="19"/>
  <c r="K182" i="19"/>
  <c r="L182" i="19"/>
  <c r="M182" i="19"/>
  <c r="N182" i="19"/>
  <c r="P182" i="19"/>
  <c r="Q182" i="19"/>
  <c r="S182" i="19"/>
  <c r="V182" i="19"/>
  <c r="W182" i="19"/>
  <c r="X182" i="19"/>
  <c r="Z182" i="19"/>
  <c r="D180" i="32" s="1"/>
  <c r="AA182" i="19"/>
  <c r="D180" i="33" s="1"/>
  <c r="A183" i="19"/>
  <c r="B183" i="19"/>
  <c r="C183" i="19"/>
  <c r="D183" i="19"/>
  <c r="E183" i="19"/>
  <c r="F183" i="19"/>
  <c r="H183" i="19"/>
  <c r="I183" i="19"/>
  <c r="J183" i="19"/>
  <c r="K183" i="19"/>
  <c r="L183" i="19"/>
  <c r="M183" i="19"/>
  <c r="N183" i="19"/>
  <c r="P183" i="19"/>
  <c r="Q183" i="19"/>
  <c r="S183" i="19"/>
  <c r="V183" i="19"/>
  <c r="W183" i="19"/>
  <c r="X183" i="19"/>
  <c r="Z183" i="19"/>
  <c r="D181" i="32" s="1"/>
  <c r="AA183" i="19"/>
  <c r="D181" i="33" s="1"/>
  <c r="A184" i="19"/>
  <c r="B184" i="19"/>
  <c r="C184" i="19"/>
  <c r="D184" i="19"/>
  <c r="E184" i="19"/>
  <c r="F184" i="19"/>
  <c r="H184" i="19"/>
  <c r="I184" i="19"/>
  <c r="J184" i="19"/>
  <c r="K184" i="19"/>
  <c r="L184" i="19"/>
  <c r="M184" i="19"/>
  <c r="N184" i="19"/>
  <c r="P184" i="19"/>
  <c r="Q184" i="19"/>
  <c r="S184" i="19"/>
  <c r="V184" i="19"/>
  <c r="W184" i="19"/>
  <c r="X184" i="19"/>
  <c r="Z184" i="19"/>
  <c r="D182" i="32" s="1"/>
  <c r="AA184" i="19"/>
  <c r="D182" i="33" s="1"/>
  <c r="A185" i="19"/>
  <c r="B185" i="19"/>
  <c r="C185" i="19"/>
  <c r="D185" i="19"/>
  <c r="E185" i="19"/>
  <c r="F185" i="19"/>
  <c r="H185" i="19"/>
  <c r="I185" i="19"/>
  <c r="J185" i="19"/>
  <c r="K185" i="19"/>
  <c r="L185" i="19"/>
  <c r="M185" i="19"/>
  <c r="N185" i="19"/>
  <c r="P185" i="19"/>
  <c r="Q185" i="19"/>
  <c r="S185" i="19"/>
  <c r="V185" i="19"/>
  <c r="W185" i="19"/>
  <c r="X185" i="19"/>
  <c r="Z185" i="19"/>
  <c r="D183" i="32" s="1"/>
  <c r="AA185" i="19"/>
  <c r="D183" i="33" s="1"/>
  <c r="A186" i="19"/>
  <c r="B186" i="19"/>
  <c r="C186" i="19"/>
  <c r="D186" i="19"/>
  <c r="E186" i="19"/>
  <c r="F186" i="19"/>
  <c r="H186" i="19"/>
  <c r="I186" i="19"/>
  <c r="J186" i="19"/>
  <c r="K186" i="19"/>
  <c r="L186" i="19"/>
  <c r="M186" i="19"/>
  <c r="N186" i="19"/>
  <c r="P186" i="19"/>
  <c r="Q186" i="19"/>
  <c r="S186" i="19"/>
  <c r="V186" i="19"/>
  <c r="W186" i="19"/>
  <c r="X186" i="19"/>
  <c r="Z186" i="19"/>
  <c r="D184" i="32" s="1"/>
  <c r="AA186" i="19"/>
  <c r="D184" i="33" s="1"/>
  <c r="A187" i="19"/>
  <c r="B187" i="19"/>
  <c r="C187" i="19"/>
  <c r="D187" i="19"/>
  <c r="E187" i="19"/>
  <c r="F187" i="19"/>
  <c r="H187" i="19"/>
  <c r="I187" i="19"/>
  <c r="J187" i="19"/>
  <c r="K187" i="19"/>
  <c r="L187" i="19"/>
  <c r="M187" i="19"/>
  <c r="N187" i="19"/>
  <c r="P187" i="19"/>
  <c r="Q187" i="19"/>
  <c r="S187" i="19"/>
  <c r="V187" i="19"/>
  <c r="W187" i="19"/>
  <c r="X187" i="19"/>
  <c r="Z187" i="19"/>
  <c r="D185" i="32" s="1"/>
  <c r="AA187" i="19"/>
  <c r="D185" i="33" s="1"/>
  <c r="A188" i="19"/>
  <c r="B188" i="19"/>
  <c r="C188" i="19"/>
  <c r="D188" i="19"/>
  <c r="E188" i="19"/>
  <c r="F188" i="19"/>
  <c r="H188" i="19"/>
  <c r="I188" i="19"/>
  <c r="J188" i="19"/>
  <c r="K188" i="19"/>
  <c r="L188" i="19"/>
  <c r="M188" i="19"/>
  <c r="N188" i="19"/>
  <c r="P188" i="19"/>
  <c r="Q188" i="19"/>
  <c r="S188" i="19"/>
  <c r="V188" i="19"/>
  <c r="W188" i="19"/>
  <c r="X188" i="19"/>
  <c r="Z188" i="19"/>
  <c r="D186" i="32" s="1"/>
  <c r="AA188" i="19"/>
  <c r="D186" i="33" s="1"/>
  <c r="A189" i="19"/>
  <c r="B189" i="19"/>
  <c r="C189" i="19"/>
  <c r="D189" i="19"/>
  <c r="E189" i="19"/>
  <c r="F189" i="19"/>
  <c r="H189" i="19"/>
  <c r="I189" i="19"/>
  <c r="J189" i="19"/>
  <c r="K189" i="19"/>
  <c r="L189" i="19"/>
  <c r="M189" i="19"/>
  <c r="N189" i="19"/>
  <c r="P189" i="19"/>
  <c r="Q189" i="19"/>
  <c r="S189" i="19"/>
  <c r="V189" i="19"/>
  <c r="W189" i="19"/>
  <c r="X189" i="19"/>
  <c r="Z189" i="19"/>
  <c r="D187" i="32" s="1"/>
  <c r="AA189" i="19"/>
  <c r="D187" i="33" s="1"/>
  <c r="A190" i="19"/>
  <c r="B190" i="19"/>
  <c r="C190" i="19"/>
  <c r="D190" i="19"/>
  <c r="E190" i="19"/>
  <c r="F190" i="19"/>
  <c r="H190" i="19"/>
  <c r="I190" i="19"/>
  <c r="J190" i="19"/>
  <c r="K190" i="19"/>
  <c r="L190" i="19"/>
  <c r="M190" i="19"/>
  <c r="N190" i="19"/>
  <c r="P190" i="19"/>
  <c r="Q190" i="19"/>
  <c r="S190" i="19"/>
  <c r="V190" i="19"/>
  <c r="W190" i="19"/>
  <c r="X190" i="19"/>
  <c r="Z190" i="19"/>
  <c r="D188" i="32" s="1"/>
  <c r="AA190" i="19"/>
  <c r="D188" i="33" s="1"/>
  <c r="A191" i="19"/>
  <c r="B191" i="19"/>
  <c r="C191" i="19"/>
  <c r="D191" i="19"/>
  <c r="E191" i="19"/>
  <c r="F191" i="19"/>
  <c r="H191" i="19"/>
  <c r="I191" i="19"/>
  <c r="J191" i="19"/>
  <c r="K191" i="19"/>
  <c r="L191" i="19"/>
  <c r="M191" i="19"/>
  <c r="N191" i="19"/>
  <c r="P191" i="19"/>
  <c r="Q191" i="19"/>
  <c r="S191" i="19"/>
  <c r="V191" i="19"/>
  <c r="W191" i="19"/>
  <c r="X191" i="19"/>
  <c r="Z191" i="19"/>
  <c r="D189" i="32" s="1"/>
  <c r="AA191" i="19"/>
  <c r="D189" i="33" s="1"/>
  <c r="A192" i="19"/>
  <c r="B192" i="19"/>
  <c r="C192" i="19"/>
  <c r="D192" i="19"/>
  <c r="E192" i="19"/>
  <c r="F192" i="19"/>
  <c r="H192" i="19"/>
  <c r="I192" i="19"/>
  <c r="J192" i="19"/>
  <c r="K192" i="19"/>
  <c r="L192" i="19"/>
  <c r="M192" i="19"/>
  <c r="N192" i="19"/>
  <c r="P192" i="19"/>
  <c r="Q192" i="19"/>
  <c r="S192" i="19"/>
  <c r="V192" i="19"/>
  <c r="W192" i="19"/>
  <c r="X192" i="19"/>
  <c r="Z192" i="19"/>
  <c r="D190" i="32" s="1"/>
  <c r="AA192" i="19"/>
  <c r="D190" i="33" s="1"/>
  <c r="A193" i="19"/>
  <c r="B193" i="19"/>
  <c r="C193" i="19"/>
  <c r="D193" i="19"/>
  <c r="E193" i="19"/>
  <c r="F193" i="19"/>
  <c r="H193" i="19"/>
  <c r="I193" i="19"/>
  <c r="J193" i="19"/>
  <c r="K193" i="19"/>
  <c r="L193" i="19"/>
  <c r="M193" i="19"/>
  <c r="N193" i="19"/>
  <c r="P193" i="19"/>
  <c r="Q193" i="19"/>
  <c r="S193" i="19"/>
  <c r="V193" i="19"/>
  <c r="W193" i="19"/>
  <c r="X193" i="19"/>
  <c r="Z193" i="19"/>
  <c r="D191" i="32" s="1"/>
  <c r="AA193" i="19"/>
  <c r="D191" i="33" s="1"/>
  <c r="A194" i="19"/>
  <c r="B194" i="19"/>
  <c r="C194" i="19"/>
  <c r="D194" i="19"/>
  <c r="E194" i="19"/>
  <c r="F194" i="19"/>
  <c r="H194" i="19"/>
  <c r="I194" i="19"/>
  <c r="J194" i="19"/>
  <c r="K194" i="19"/>
  <c r="L194" i="19"/>
  <c r="M194" i="19"/>
  <c r="N194" i="19"/>
  <c r="P194" i="19"/>
  <c r="Q194" i="19"/>
  <c r="S194" i="19"/>
  <c r="V194" i="19"/>
  <c r="W194" i="19"/>
  <c r="X194" i="19"/>
  <c r="Z194" i="19"/>
  <c r="D192" i="32" s="1"/>
  <c r="AA194" i="19"/>
  <c r="D192" i="33" s="1"/>
  <c r="A195" i="19"/>
  <c r="B195" i="19"/>
  <c r="C195" i="19"/>
  <c r="D195" i="19"/>
  <c r="E195" i="19"/>
  <c r="F195" i="19"/>
  <c r="H195" i="19"/>
  <c r="I195" i="19"/>
  <c r="J195" i="19"/>
  <c r="K195" i="19"/>
  <c r="L195" i="19"/>
  <c r="M195" i="19"/>
  <c r="N195" i="19"/>
  <c r="P195" i="19"/>
  <c r="Q195" i="19"/>
  <c r="S195" i="19"/>
  <c r="V195" i="19"/>
  <c r="W195" i="19"/>
  <c r="X195" i="19"/>
  <c r="Z195" i="19"/>
  <c r="D193" i="32" s="1"/>
  <c r="AA195" i="19"/>
  <c r="D193" i="33" s="1"/>
  <c r="A196" i="19"/>
  <c r="B196" i="19"/>
  <c r="C196" i="19"/>
  <c r="D196" i="19"/>
  <c r="E196" i="19"/>
  <c r="F196" i="19"/>
  <c r="H196" i="19"/>
  <c r="I196" i="19"/>
  <c r="J196" i="19"/>
  <c r="K196" i="19"/>
  <c r="L196" i="19"/>
  <c r="M196" i="19"/>
  <c r="N196" i="19"/>
  <c r="P196" i="19"/>
  <c r="Q196" i="19"/>
  <c r="S196" i="19"/>
  <c r="V196" i="19"/>
  <c r="W196" i="19"/>
  <c r="X196" i="19"/>
  <c r="Z196" i="19"/>
  <c r="D194" i="32" s="1"/>
  <c r="AA196" i="19"/>
  <c r="D194" i="33" s="1"/>
  <c r="A197" i="19"/>
  <c r="B197" i="19"/>
  <c r="C197" i="19"/>
  <c r="D197" i="19"/>
  <c r="E197" i="19"/>
  <c r="F197" i="19"/>
  <c r="H197" i="19"/>
  <c r="I197" i="19"/>
  <c r="J197" i="19"/>
  <c r="K197" i="19"/>
  <c r="L197" i="19"/>
  <c r="M197" i="19"/>
  <c r="N197" i="19"/>
  <c r="P197" i="19"/>
  <c r="Q197" i="19"/>
  <c r="S197" i="19"/>
  <c r="V197" i="19"/>
  <c r="W197" i="19"/>
  <c r="X197" i="19"/>
  <c r="Z197" i="19"/>
  <c r="D195" i="32" s="1"/>
  <c r="AA197" i="19"/>
  <c r="D195" i="33" s="1"/>
  <c r="A198" i="19"/>
  <c r="B198" i="19"/>
  <c r="C198" i="19"/>
  <c r="D198" i="19"/>
  <c r="E198" i="19"/>
  <c r="F198" i="19"/>
  <c r="H198" i="19"/>
  <c r="I198" i="19"/>
  <c r="J198" i="19"/>
  <c r="K198" i="19"/>
  <c r="L198" i="19"/>
  <c r="M198" i="19"/>
  <c r="N198" i="19"/>
  <c r="P198" i="19"/>
  <c r="Q198" i="19"/>
  <c r="S198" i="19"/>
  <c r="V198" i="19"/>
  <c r="W198" i="19"/>
  <c r="X198" i="19"/>
  <c r="Z198" i="19"/>
  <c r="D196" i="32" s="1"/>
  <c r="AA198" i="19"/>
  <c r="D196" i="33" s="1"/>
  <c r="A199" i="19"/>
  <c r="B199" i="19"/>
  <c r="C199" i="19"/>
  <c r="D199" i="19"/>
  <c r="E199" i="19"/>
  <c r="F199" i="19"/>
  <c r="H199" i="19"/>
  <c r="I199" i="19"/>
  <c r="J199" i="19"/>
  <c r="K199" i="19"/>
  <c r="L199" i="19"/>
  <c r="M199" i="19"/>
  <c r="N199" i="19"/>
  <c r="P199" i="19"/>
  <c r="Q199" i="19"/>
  <c r="S199" i="19"/>
  <c r="V199" i="19"/>
  <c r="W199" i="19"/>
  <c r="X199" i="19"/>
  <c r="Z199" i="19"/>
  <c r="D197" i="32" s="1"/>
  <c r="AA199" i="19"/>
  <c r="D197" i="33" s="1"/>
  <c r="A200" i="19"/>
  <c r="B200" i="19"/>
  <c r="C200" i="19"/>
  <c r="D200" i="19"/>
  <c r="E200" i="19"/>
  <c r="F200" i="19"/>
  <c r="H200" i="19"/>
  <c r="I200" i="19"/>
  <c r="J200" i="19"/>
  <c r="K200" i="19"/>
  <c r="L200" i="19"/>
  <c r="M200" i="19"/>
  <c r="N200" i="19"/>
  <c r="P200" i="19"/>
  <c r="Q200" i="19"/>
  <c r="S200" i="19"/>
  <c r="V200" i="19"/>
  <c r="W200" i="19"/>
  <c r="X200" i="19"/>
  <c r="Z200" i="19"/>
  <c r="D198" i="32" s="1"/>
  <c r="AA200" i="19"/>
  <c r="D198" i="33" s="1"/>
  <c r="A201" i="19"/>
  <c r="B201" i="19"/>
  <c r="C201" i="19"/>
  <c r="D201" i="19"/>
  <c r="E201" i="19"/>
  <c r="F201" i="19"/>
  <c r="H201" i="19"/>
  <c r="I201" i="19"/>
  <c r="J201" i="19"/>
  <c r="K201" i="19"/>
  <c r="L201" i="19"/>
  <c r="M201" i="19"/>
  <c r="N201" i="19"/>
  <c r="P201" i="19"/>
  <c r="Q201" i="19"/>
  <c r="S201" i="19"/>
  <c r="V201" i="19"/>
  <c r="W201" i="19"/>
  <c r="X201" i="19"/>
  <c r="Z201" i="19"/>
  <c r="D199" i="32" s="1"/>
  <c r="AA201" i="19"/>
  <c r="D199" i="33" s="1"/>
  <c r="A202" i="19"/>
  <c r="B202" i="19"/>
  <c r="C202" i="19"/>
  <c r="D202" i="19"/>
  <c r="E202" i="19"/>
  <c r="F202" i="19"/>
  <c r="H202" i="19"/>
  <c r="I202" i="19"/>
  <c r="J202" i="19"/>
  <c r="K202" i="19"/>
  <c r="L202" i="19"/>
  <c r="M202" i="19"/>
  <c r="N202" i="19"/>
  <c r="P202" i="19"/>
  <c r="Q202" i="19"/>
  <c r="S202" i="19"/>
  <c r="V202" i="19"/>
  <c r="W202" i="19"/>
  <c r="X202" i="19"/>
  <c r="Z202" i="19"/>
  <c r="D200" i="32" s="1"/>
  <c r="AA202" i="19"/>
  <c r="D200" i="33" s="1"/>
  <c r="A203" i="19"/>
  <c r="B203" i="19"/>
  <c r="C203" i="19"/>
  <c r="D203" i="19"/>
  <c r="E203" i="19"/>
  <c r="F203" i="19"/>
  <c r="H203" i="19"/>
  <c r="I203" i="19"/>
  <c r="J203" i="19"/>
  <c r="K203" i="19"/>
  <c r="L203" i="19"/>
  <c r="M203" i="19"/>
  <c r="N203" i="19"/>
  <c r="P203" i="19"/>
  <c r="Q203" i="19"/>
  <c r="S203" i="19"/>
  <c r="V203" i="19"/>
  <c r="W203" i="19"/>
  <c r="X203" i="19"/>
  <c r="Z203" i="19"/>
  <c r="D201" i="32" s="1"/>
  <c r="AA203" i="19"/>
  <c r="D201" i="33" s="1"/>
  <c r="A204" i="19"/>
  <c r="B204" i="19"/>
  <c r="C204" i="19"/>
  <c r="D204" i="19"/>
  <c r="E204" i="19"/>
  <c r="F204" i="19"/>
  <c r="H204" i="19"/>
  <c r="I204" i="19"/>
  <c r="J204" i="19"/>
  <c r="K204" i="19"/>
  <c r="L204" i="19"/>
  <c r="M204" i="19"/>
  <c r="N204" i="19"/>
  <c r="P204" i="19"/>
  <c r="Q204" i="19"/>
  <c r="S204" i="19"/>
  <c r="V204" i="19"/>
  <c r="W204" i="19"/>
  <c r="X204" i="19"/>
  <c r="Z204" i="19"/>
  <c r="D202" i="32" s="1"/>
  <c r="AA204" i="19"/>
  <c r="D202" i="33" s="1"/>
  <c r="A205" i="19"/>
  <c r="B205" i="19"/>
  <c r="C205" i="19"/>
  <c r="D205" i="19"/>
  <c r="E205" i="19"/>
  <c r="F205" i="19"/>
  <c r="H205" i="19"/>
  <c r="I205" i="19"/>
  <c r="J205" i="19"/>
  <c r="K205" i="19"/>
  <c r="L205" i="19"/>
  <c r="M205" i="19"/>
  <c r="N205" i="19"/>
  <c r="P205" i="19"/>
  <c r="Q205" i="19"/>
  <c r="S205" i="19"/>
  <c r="V205" i="19"/>
  <c r="W205" i="19"/>
  <c r="X205" i="19"/>
  <c r="Z205" i="19"/>
  <c r="D203" i="32" s="1"/>
  <c r="AA205" i="19"/>
  <c r="D203" i="33" s="1"/>
  <c r="A206" i="19"/>
  <c r="B206" i="19"/>
  <c r="C206" i="19"/>
  <c r="D206" i="19"/>
  <c r="E206" i="19"/>
  <c r="F206" i="19"/>
  <c r="H206" i="19"/>
  <c r="I206" i="19"/>
  <c r="J206" i="19"/>
  <c r="K206" i="19"/>
  <c r="L206" i="19"/>
  <c r="M206" i="19"/>
  <c r="N206" i="19"/>
  <c r="P206" i="19"/>
  <c r="Q206" i="19"/>
  <c r="S206" i="19"/>
  <c r="V206" i="19"/>
  <c r="W206" i="19"/>
  <c r="X206" i="19"/>
  <c r="Z206" i="19"/>
  <c r="D204" i="32" s="1"/>
  <c r="AA206" i="19"/>
  <c r="D204" i="33" s="1"/>
  <c r="A207" i="19"/>
  <c r="B207" i="19"/>
  <c r="C207" i="19"/>
  <c r="D207" i="19"/>
  <c r="E207" i="19"/>
  <c r="F207" i="19"/>
  <c r="H207" i="19"/>
  <c r="I207" i="19"/>
  <c r="J207" i="19"/>
  <c r="K207" i="19"/>
  <c r="L207" i="19"/>
  <c r="M207" i="19"/>
  <c r="N207" i="19"/>
  <c r="P207" i="19"/>
  <c r="Q207" i="19"/>
  <c r="S207" i="19"/>
  <c r="V207" i="19"/>
  <c r="W207" i="19"/>
  <c r="X207" i="19"/>
  <c r="Z207" i="19"/>
  <c r="D205" i="32" s="1"/>
  <c r="AA207" i="19"/>
  <c r="D205" i="33" s="1"/>
  <c r="A208" i="19"/>
  <c r="B208" i="19"/>
  <c r="C208" i="19"/>
  <c r="D208" i="19"/>
  <c r="E208" i="19"/>
  <c r="F208" i="19"/>
  <c r="H208" i="19"/>
  <c r="I208" i="19"/>
  <c r="J208" i="19"/>
  <c r="K208" i="19"/>
  <c r="L208" i="19"/>
  <c r="M208" i="19"/>
  <c r="N208" i="19"/>
  <c r="P208" i="19"/>
  <c r="Q208" i="19"/>
  <c r="S208" i="19"/>
  <c r="V208" i="19"/>
  <c r="W208" i="19"/>
  <c r="X208" i="19"/>
  <c r="Z208" i="19"/>
  <c r="D206" i="32" s="1"/>
  <c r="AA208" i="19"/>
  <c r="D206" i="33" s="1"/>
  <c r="A209" i="19"/>
  <c r="B209" i="19"/>
  <c r="C209" i="19"/>
  <c r="D209" i="19"/>
  <c r="E209" i="19"/>
  <c r="F209" i="19"/>
  <c r="H209" i="19"/>
  <c r="I209" i="19"/>
  <c r="J209" i="19"/>
  <c r="K209" i="19"/>
  <c r="L209" i="19"/>
  <c r="M209" i="19"/>
  <c r="N209" i="19"/>
  <c r="P209" i="19"/>
  <c r="Q209" i="19"/>
  <c r="S209" i="19"/>
  <c r="V209" i="19"/>
  <c r="W209" i="19"/>
  <c r="X209" i="19"/>
  <c r="Z209" i="19"/>
  <c r="D207" i="32" s="1"/>
  <c r="AA209" i="19"/>
  <c r="D207" i="33" s="1"/>
  <c r="A210" i="19"/>
  <c r="B210" i="19"/>
  <c r="C210" i="19"/>
  <c r="D210" i="19"/>
  <c r="E210" i="19"/>
  <c r="F210" i="19"/>
  <c r="H210" i="19"/>
  <c r="I210" i="19"/>
  <c r="J210" i="19"/>
  <c r="K210" i="19"/>
  <c r="L210" i="19"/>
  <c r="M210" i="19"/>
  <c r="N210" i="19"/>
  <c r="P210" i="19"/>
  <c r="Q210" i="19"/>
  <c r="S210" i="19"/>
  <c r="V210" i="19"/>
  <c r="W210" i="19"/>
  <c r="X210" i="19"/>
  <c r="Z210" i="19"/>
  <c r="D208" i="32" s="1"/>
  <c r="AA210" i="19"/>
  <c r="D208" i="33" s="1"/>
  <c r="A211" i="19"/>
  <c r="B211" i="19"/>
  <c r="C211" i="19"/>
  <c r="D211" i="19"/>
  <c r="E211" i="19"/>
  <c r="F211" i="19"/>
  <c r="H211" i="19"/>
  <c r="I211" i="19"/>
  <c r="J211" i="19"/>
  <c r="K211" i="19"/>
  <c r="L211" i="19"/>
  <c r="M211" i="19"/>
  <c r="N211" i="19"/>
  <c r="P211" i="19"/>
  <c r="Q211" i="19"/>
  <c r="S211" i="19"/>
  <c r="V211" i="19"/>
  <c r="W211" i="19"/>
  <c r="X211" i="19"/>
  <c r="Z211" i="19"/>
  <c r="D209" i="32" s="1"/>
  <c r="AA211" i="19"/>
  <c r="D209" i="33" s="1"/>
  <c r="A212" i="19"/>
  <c r="B212" i="19"/>
  <c r="C212" i="19"/>
  <c r="D212" i="19"/>
  <c r="E212" i="19"/>
  <c r="F212" i="19"/>
  <c r="H212" i="19"/>
  <c r="I212" i="19"/>
  <c r="J212" i="19"/>
  <c r="K212" i="19"/>
  <c r="L212" i="19"/>
  <c r="M212" i="19"/>
  <c r="N212" i="19"/>
  <c r="P212" i="19"/>
  <c r="Q212" i="19"/>
  <c r="S212" i="19"/>
  <c r="V212" i="19"/>
  <c r="W212" i="19"/>
  <c r="X212" i="19"/>
  <c r="Z212" i="19"/>
  <c r="D210" i="32" s="1"/>
  <c r="AA212" i="19"/>
  <c r="D210" i="33" s="1"/>
  <c r="A213" i="19"/>
  <c r="B213" i="19"/>
  <c r="C213" i="19"/>
  <c r="D213" i="19"/>
  <c r="E213" i="19"/>
  <c r="F213" i="19"/>
  <c r="H213" i="19"/>
  <c r="I213" i="19"/>
  <c r="J213" i="19"/>
  <c r="K213" i="19"/>
  <c r="L213" i="19"/>
  <c r="M213" i="19"/>
  <c r="N213" i="19"/>
  <c r="P213" i="19"/>
  <c r="Q213" i="19"/>
  <c r="S213" i="19"/>
  <c r="V213" i="19"/>
  <c r="W213" i="19"/>
  <c r="X213" i="19"/>
  <c r="Z213" i="19"/>
  <c r="D211" i="32" s="1"/>
  <c r="AA213" i="19"/>
  <c r="D211" i="33" s="1"/>
  <c r="A214" i="19"/>
  <c r="B214" i="19"/>
  <c r="C214" i="19"/>
  <c r="D214" i="19"/>
  <c r="E214" i="19"/>
  <c r="F214" i="19"/>
  <c r="H214" i="19"/>
  <c r="I214" i="19"/>
  <c r="J214" i="19"/>
  <c r="K214" i="19"/>
  <c r="L214" i="19"/>
  <c r="M214" i="19"/>
  <c r="N214" i="19"/>
  <c r="P214" i="19"/>
  <c r="Q214" i="19"/>
  <c r="S214" i="19"/>
  <c r="V214" i="19"/>
  <c r="W214" i="19"/>
  <c r="X214" i="19"/>
  <c r="Z214" i="19"/>
  <c r="D212" i="32" s="1"/>
  <c r="AA214" i="19"/>
  <c r="D212" i="33" s="1"/>
  <c r="A215" i="19"/>
  <c r="B215" i="19"/>
  <c r="C215" i="19"/>
  <c r="D215" i="19"/>
  <c r="E215" i="19"/>
  <c r="F215" i="19"/>
  <c r="H215" i="19"/>
  <c r="I215" i="19"/>
  <c r="J215" i="19"/>
  <c r="K215" i="19"/>
  <c r="L215" i="19"/>
  <c r="M215" i="19"/>
  <c r="N215" i="19"/>
  <c r="P215" i="19"/>
  <c r="Q215" i="19"/>
  <c r="S215" i="19"/>
  <c r="V215" i="19"/>
  <c r="W215" i="19"/>
  <c r="X215" i="19"/>
  <c r="Z215" i="19"/>
  <c r="D213" i="32" s="1"/>
  <c r="AA215" i="19"/>
  <c r="D213" i="33" s="1"/>
  <c r="A216" i="19"/>
  <c r="B216" i="19"/>
  <c r="C216" i="19"/>
  <c r="D216" i="19"/>
  <c r="E216" i="19"/>
  <c r="F216" i="19"/>
  <c r="H216" i="19"/>
  <c r="I216" i="19"/>
  <c r="J216" i="19"/>
  <c r="K216" i="19"/>
  <c r="L216" i="19"/>
  <c r="M216" i="19"/>
  <c r="N216" i="19"/>
  <c r="P216" i="19"/>
  <c r="Q216" i="19"/>
  <c r="S216" i="19"/>
  <c r="V216" i="19"/>
  <c r="W216" i="19"/>
  <c r="X216" i="19"/>
  <c r="Z216" i="19"/>
  <c r="D214" i="32" s="1"/>
  <c r="AA216" i="19"/>
  <c r="D214" i="33" s="1"/>
  <c r="A217" i="19"/>
  <c r="B217" i="19"/>
  <c r="C217" i="19"/>
  <c r="D217" i="19"/>
  <c r="E217" i="19"/>
  <c r="F217" i="19"/>
  <c r="H217" i="19"/>
  <c r="I217" i="19"/>
  <c r="J217" i="19"/>
  <c r="K217" i="19"/>
  <c r="L217" i="19"/>
  <c r="M217" i="19"/>
  <c r="N217" i="19"/>
  <c r="P217" i="19"/>
  <c r="Q217" i="19"/>
  <c r="S217" i="19"/>
  <c r="V217" i="19"/>
  <c r="W217" i="19"/>
  <c r="X217" i="19"/>
  <c r="Z217" i="19"/>
  <c r="D215" i="32" s="1"/>
  <c r="AA217" i="19"/>
  <c r="D215" i="33" s="1"/>
  <c r="A218" i="19"/>
  <c r="B218" i="19"/>
  <c r="C218" i="19"/>
  <c r="D218" i="19"/>
  <c r="E218" i="19"/>
  <c r="F218" i="19"/>
  <c r="H218" i="19"/>
  <c r="I218" i="19"/>
  <c r="J218" i="19"/>
  <c r="K218" i="19"/>
  <c r="L218" i="19"/>
  <c r="M218" i="19"/>
  <c r="N218" i="19"/>
  <c r="P218" i="19"/>
  <c r="Q218" i="19"/>
  <c r="S218" i="19"/>
  <c r="V218" i="19"/>
  <c r="W218" i="19"/>
  <c r="X218" i="19"/>
  <c r="Z218" i="19"/>
  <c r="D216" i="32" s="1"/>
  <c r="AA218" i="19"/>
  <c r="D216" i="33" s="1"/>
  <c r="A219" i="19"/>
  <c r="B219" i="19"/>
  <c r="C219" i="19"/>
  <c r="D219" i="19"/>
  <c r="E219" i="19"/>
  <c r="F219" i="19"/>
  <c r="H219" i="19"/>
  <c r="I219" i="19"/>
  <c r="J219" i="19"/>
  <c r="K219" i="19"/>
  <c r="L219" i="19"/>
  <c r="M219" i="19"/>
  <c r="N219" i="19"/>
  <c r="P219" i="19"/>
  <c r="Q219" i="19"/>
  <c r="S219" i="19"/>
  <c r="V219" i="19"/>
  <c r="W219" i="19"/>
  <c r="X219" i="19"/>
  <c r="Z219" i="19"/>
  <c r="D217" i="32" s="1"/>
  <c r="AA219" i="19"/>
  <c r="D217" i="33" s="1"/>
  <c r="A220" i="19"/>
  <c r="B220" i="19"/>
  <c r="C220" i="19"/>
  <c r="D220" i="19"/>
  <c r="E220" i="19"/>
  <c r="F220" i="19"/>
  <c r="H220" i="19"/>
  <c r="I220" i="19"/>
  <c r="J220" i="19"/>
  <c r="K220" i="19"/>
  <c r="L220" i="19"/>
  <c r="M220" i="19"/>
  <c r="N220" i="19"/>
  <c r="P220" i="19"/>
  <c r="Q220" i="19"/>
  <c r="S220" i="19"/>
  <c r="V220" i="19"/>
  <c r="W220" i="19"/>
  <c r="X220" i="19"/>
  <c r="Z220" i="19"/>
  <c r="D218" i="32" s="1"/>
  <c r="AA220" i="19"/>
  <c r="D218" i="33" s="1"/>
  <c r="A221" i="19"/>
  <c r="B221" i="19"/>
  <c r="C221" i="19"/>
  <c r="D221" i="19"/>
  <c r="E221" i="19"/>
  <c r="F221" i="19"/>
  <c r="H221" i="19"/>
  <c r="I221" i="19"/>
  <c r="J221" i="19"/>
  <c r="K221" i="19"/>
  <c r="L221" i="19"/>
  <c r="M221" i="19"/>
  <c r="N221" i="19"/>
  <c r="P221" i="19"/>
  <c r="Q221" i="19"/>
  <c r="S221" i="19"/>
  <c r="V221" i="19"/>
  <c r="W221" i="19"/>
  <c r="X221" i="19"/>
  <c r="Z221" i="19"/>
  <c r="D219" i="32" s="1"/>
  <c r="AA221" i="19"/>
  <c r="D219" i="33" s="1"/>
  <c r="A222" i="19"/>
  <c r="B222" i="19"/>
  <c r="C222" i="19"/>
  <c r="D222" i="19"/>
  <c r="E222" i="19"/>
  <c r="F222" i="19"/>
  <c r="H222" i="19"/>
  <c r="I222" i="19"/>
  <c r="J222" i="19"/>
  <c r="K222" i="19"/>
  <c r="L222" i="19"/>
  <c r="M222" i="19"/>
  <c r="N222" i="19"/>
  <c r="P222" i="19"/>
  <c r="Q222" i="19"/>
  <c r="S222" i="19"/>
  <c r="V222" i="19"/>
  <c r="W222" i="19"/>
  <c r="X222" i="19"/>
  <c r="Z222" i="19"/>
  <c r="D220" i="32" s="1"/>
  <c r="AA222" i="19"/>
  <c r="D220" i="33" s="1"/>
  <c r="A223" i="19"/>
  <c r="B223" i="19"/>
  <c r="C223" i="19"/>
  <c r="D223" i="19"/>
  <c r="E223" i="19"/>
  <c r="F223" i="19"/>
  <c r="H223" i="19"/>
  <c r="I223" i="19"/>
  <c r="J223" i="19"/>
  <c r="K223" i="19"/>
  <c r="L223" i="19"/>
  <c r="M223" i="19"/>
  <c r="N223" i="19"/>
  <c r="P223" i="19"/>
  <c r="Q223" i="19"/>
  <c r="S223" i="19"/>
  <c r="V223" i="19"/>
  <c r="W223" i="19"/>
  <c r="X223" i="19"/>
  <c r="Z223" i="19"/>
  <c r="D221" i="32" s="1"/>
  <c r="AA223" i="19"/>
  <c r="D221" i="33" s="1"/>
  <c r="A224" i="19"/>
  <c r="B224" i="19"/>
  <c r="C224" i="19"/>
  <c r="D224" i="19"/>
  <c r="E224" i="19"/>
  <c r="F224" i="19"/>
  <c r="H224" i="19"/>
  <c r="I224" i="19"/>
  <c r="J224" i="19"/>
  <c r="K224" i="19"/>
  <c r="L224" i="19"/>
  <c r="M224" i="19"/>
  <c r="N224" i="19"/>
  <c r="P224" i="19"/>
  <c r="Q224" i="19"/>
  <c r="S224" i="19"/>
  <c r="V224" i="19"/>
  <c r="W224" i="19"/>
  <c r="X224" i="19"/>
  <c r="Z224" i="19"/>
  <c r="D222" i="32" s="1"/>
  <c r="AA224" i="19"/>
  <c r="D222" i="33" s="1"/>
  <c r="A225" i="19"/>
  <c r="B225" i="19"/>
  <c r="C225" i="19"/>
  <c r="D225" i="19"/>
  <c r="E225" i="19"/>
  <c r="F225" i="19"/>
  <c r="H225" i="19"/>
  <c r="I225" i="19"/>
  <c r="J225" i="19"/>
  <c r="K225" i="19"/>
  <c r="L225" i="19"/>
  <c r="M225" i="19"/>
  <c r="N225" i="19"/>
  <c r="P225" i="19"/>
  <c r="Q225" i="19"/>
  <c r="S225" i="19"/>
  <c r="V225" i="19"/>
  <c r="W225" i="19"/>
  <c r="X225" i="19"/>
  <c r="Z225" i="19"/>
  <c r="D223" i="32" s="1"/>
  <c r="AA225" i="19"/>
  <c r="D223" i="33" s="1"/>
  <c r="A226" i="19"/>
  <c r="B226" i="19"/>
  <c r="C226" i="19"/>
  <c r="D226" i="19"/>
  <c r="E226" i="19"/>
  <c r="F226" i="19"/>
  <c r="H226" i="19"/>
  <c r="I226" i="19"/>
  <c r="J226" i="19"/>
  <c r="K226" i="19"/>
  <c r="L226" i="19"/>
  <c r="M226" i="19"/>
  <c r="N226" i="19"/>
  <c r="P226" i="19"/>
  <c r="Q226" i="19"/>
  <c r="S226" i="19"/>
  <c r="V226" i="19"/>
  <c r="W226" i="19"/>
  <c r="X226" i="19"/>
  <c r="Z226" i="19"/>
  <c r="D224" i="32" s="1"/>
  <c r="AA226" i="19"/>
  <c r="D224" i="33" s="1"/>
  <c r="A227" i="19"/>
  <c r="B227" i="19"/>
  <c r="C227" i="19"/>
  <c r="D227" i="19"/>
  <c r="E227" i="19"/>
  <c r="F227" i="19"/>
  <c r="H227" i="19"/>
  <c r="I227" i="19"/>
  <c r="J227" i="19"/>
  <c r="K227" i="19"/>
  <c r="L227" i="19"/>
  <c r="M227" i="19"/>
  <c r="N227" i="19"/>
  <c r="P227" i="19"/>
  <c r="Q227" i="19"/>
  <c r="S227" i="19"/>
  <c r="V227" i="19"/>
  <c r="W227" i="19"/>
  <c r="X227" i="19"/>
  <c r="Z227" i="19"/>
  <c r="D225" i="32" s="1"/>
  <c r="AA227" i="19"/>
  <c r="D225" i="33" s="1"/>
  <c r="A228" i="19"/>
  <c r="B228" i="19"/>
  <c r="C228" i="19"/>
  <c r="D228" i="19"/>
  <c r="E228" i="19"/>
  <c r="F228" i="19"/>
  <c r="H228" i="19"/>
  <c r="I228" i="19"/>
  <c r="J228" i="19"/>
  <c r="K228" i="19"/>
  <c r="L228" i="19"/>
  <c r="M228" i="19"/>
  <c r="N228" i="19"/>
  <c r="P228" i="19"/>
  <c r="Q228" i="19"/>
  <c r="S228" i="19"/>
  <c r="V228" i="19"/>
  <c r="W228" i="19"/>
  <c r="X228" i="19"/>
  <c r="Z228" i="19"/>
  <c r="D226" i="32" s="1"/>
  <c r="AA228" i="19"/>
  <c r="D226" i="33" s="1"/>
  <c r="A229" i="19"/>
  <c r="B229" i="19"/>
  <c r="C229" i="19"/>
  <c r="D229" i="19"/>
  <c r="E229" i="19"/>
  <c r="F229" i="19"/>
  <c r="H229" i="19"/>
  <c r="I229" i="19"/>
  <c r="J229" i="19"/>
  <c r="K229" i="19"/>
  <c r="L229" i="19"/>
  <c r="M229" i="19"/>
  <c r="N229" i="19"/>
  <c r="P229" i="19"/>
  <c r="Q229" i="19"/>
  <c r="S229" i="19"/>
  <c r="V229" i="19"/>
  <c r="W229" i="19"/>
  <c r="X229" i="19"/>
  <c r="Z229" i="19"/>
  <c r="D227" i="32" s="1"/>
  <c r="AA229" i="19"/>
  <c r="D227" i="33" s="1"/>
  <c r="A230" i="19"/>
  <c r="B230" i="19"/>
  <c r="C230" i="19"/>
  <c r="D230" i="19"/>
  <c r="E230" i="19"/>
  <c r="F230" i="19"/>
  <c r="H230" i="19"/>
  <c r="I230" i="19"/>
  <c r="J230" i="19"/>
  <c r="K230" i="19"/>
  <c r="L230" i="19"/>
  <c r="M230" i="19"/>
  <c r="N230" i="19"/>
  <c r="P230" i="19"/>
  <c r="Q230" i="19"/>
  <c r="S230" i="19"/>
  <c r="V230" i="19"/>
  <c r="W230" i="19"/>
  <c r="X230" i="19"/>
  <c r="Z230" i="19"/>
  <c r="D228" i="32" s="1"/>
  <c r="AA230" i="19"/>
  <c r="D228" i="33" s="1"/>
  <c r="A231" i="19"/>
  <c r="B231" i="19"/>
  <c r="C231" i="19"/>
  <c r="D231" i="19"/>
  <c r="E231" i="19"/>
  <c r="F231" i="19"/>
  <c r="H231" i="19"/>
  <c r="I231" i="19"/>
  <c r="J231" i="19"/>
  <c r="K231" i="19"/>
  <c r="L231" i="19"/>
  <c r="M231" i="19"/>
  <c r="N231" i="19"/>
  <c r="P231" i="19"/>
  <c r="Q231" i="19"/>
  <c r="S231" i="19"/>
  <c r="V231" i="19"/>
  <c r="W231" i="19"/>
  <c r="X231" i="19"/>
  <c r="Z231" i="19"/>
  <c r="D229" i="32" s="1"/>
  <c r="AA231" i="19"/>
  <c r="D229" i="33" s="1"/>
  <c r="A232" i="19"/>
  <c r="B232" i="19"/>
  <c r="C232" i="19"/>
  <c r="D232" i="19"/>
  <c r="E232" i="19"/>
  <c r="F232" i="19"/>
  <c r="H232" i="19"/>
  <c r="I232" i="19"/>
  <c r="J232" i="19"/>
  <c r="K232" i="19"/>
  <c r="L232" i="19"/>
  <c r="M232" i="19"/>
  <c r="N232" i="19"/>
  <c r="P232" i="19"/>
  <c r="Q232" i="19"/>
  <c r="S232" i="19"/>
  <c r="V232" i="19"/>
  <c r="W232" i="19"/>
  <c r="X232" i="19"/>
  <c r="Z232" i="19"/>
  <c r="D230" i="32" s="1"/>
  <c r="AA232" i="19"/>
  <c r="D230" i="33" s="1"/>
  <c r="A233" i="19"/>
  <c r="B233" i="19"/>
  <c r="C233" i="19"/>
  <c r="D233" i="19"/>
  <c r="E233" i="19"/>
  <c r="F233" i="19"/>
  <c r="H233" i="19"/>
  <c r="I233" i="19"/>
  <c r="J233" i="19"/>
  <c r="K233" i="19"/>
  <c r="L233" i="19"/>
  <c r="M233" i="19"/>
  <c r="N233" i="19"/>
  <c r="P233" i="19"/>
  <c r="Q233" i="19"/>
  <c r="S233" i="19"/>
  <c r="V233" i="19"/>
  <c r="W233" i="19"/>
  <c r="X233" i="19"/>
  <c r="Z233" i="19"/>
  <c r="D231" i="32" s="1"/>
  <c r="AA233" i="19"/>
  <c r="D231" i="33" s="1"/>
  <c r="A234" i="19"/>
  <c r="B234" i="19"/>
  <c r="C234" i="19"/>
  <c r="D234" i="19"/>
  <c r="E234" i="19"/>
  <c r="F234" i="19"/>
  <c r="H234" i="19"/>
  <c r="I234" i="19"/>
  <c r="J234" i="19"/>
  <c r="K234" i="19"/>
  <c r="L234" i="19"/>
  <c r="M234" i="19"/>
  <c r="N234" i="19"/>
  <c r="P234" i="19"/>
  <c r="Q234" i="19"/>
  <c r="S234" i="19"/>
  <c r="V234" i="19"/>
  <c r="W234" i="19"/>
  <c r="X234" i="19"/>
  <c r="Z234" i="19"/>
  <c r="D232" i="32" s="1"/>
  <c r="AA234" i="19"/>
  <c r="D232" i="33" s="1"/>
  <c r="A235" i="19"/>
  <c r="B235" i="19"/>
  <c r="C235" i="19"/>
  <c r="D235" i="19"/>
  <c r="E235" i="19"/>
  <c r="F235" i="19"/>
  <c r="H235" i="19"/>
  <c r="I235" i="19"/>
  <c r="J235" i="19"/>
  <c r="K235" i="19"/>
  <c r="L235" i="19"/>
  <c r="M235" i="19"/>
  <c r="N235" i="19"/>
  <c r="P235" i="19"/>
  <c r="Q235" i="19"/>
  <c r="S235" i="19"/>
  <c r="V235" i="19"/>
  <c r="W235" i="19"/>
  <c r="X235" i="19"/>
  <c r="Z235" i="19"/>
  <c r="D233" i="32" s="1"/>
  <c r="AA235" i="19"/>
  <c r="D233" i="33" s="1"/>
  <c r="A236" i="19"/>
  <c r="B236" i="19"/>
  <c r="C236" i="19"/>
  <c r="D236" i="19"/>
  <c r="E236" i="19"/>
  <c r="F236" i="19"/>
  <c r="H236" i="19"/>
  <c r="I236" i="19"/>
  <c r="J236" i="19"/>
  <c r="K236" i="19"/>
  <c r="L236" i="19"/>
  <c r="M236" i="19"/>
  <c r="N236" i="19"/>
  <c r="P236" i="19"/>
  <c r="Q236" i="19"/>
  <c r="S236" i="19"/>
  <c r="V236" i="19"/>
  <c r="W236" i="19"/>
  <c r="X236" i="19"/>
  <c r="Z236" i="19"/>
  <c r="D234" i="32" s="1"/>
  <c r="AA236" i="19"/>
  <c r="D234" i="33" s="1"/>
  <c r="A237" i="19"/>
  <c r="B237" i="19"/>
  <c r="C237" i="19"/>
  <c r="D237" i="19"/>
  <c r="E237" i="19"/>
  <c r="F237" i="19"/>
  <c r="H237" i="19"/>
  <c r="I237" i="19"/>
  <c r="J237" i="19"/>
  <c r="K237" i="19"/>
  <c r="L237" i="19"/>
  <c r="M237" i="19"/>
  <c r="N237" i="19"/>
  <c r="P237" i="19"/>
  <c r="Q237" i="19"/>
  <c r="S237" i="19"/>
  <c r="V237" i="19"/>
  <c r="W237" i="19"/>
  <c r="X237" i="19"/>
  <c r="Z237" i="19"/>
  <c r="D235" i="32" s="1"/>
  <c r="AA237" i="19"/>
  <c r="D235" i="33" s="1"/>
  <c r="A238" i="19"/>
  <c r="B238" i="19"/>
  <c r="C238" i="19"/>
  <c r="D238" i="19"/>
  <c r="E238" i="19"/>
  <c r="F238" i="19"/>
  <c r="H238" i="19"/>
  <c r="I238" i="19"/>
  <c r="J238" i="19"/>
  <c r="K238" i="19"/>
  <c r="L238" i="19"/>
  <c r="M238" i="19"/>
  <c r="N238" i="19"/>
  <c r="P238" i="19"/>
  <c r="Q238" i="19"/>
  <c r="S238" i="19"/>
  <c r="V238" i="19"/>
  <c r="W238" i="19"/>
  <c r="X238" i="19"/>
  <c r="Z238" i="19"/>
  <c r="D236" i="32" s="1"/>
  <c r="AA238" i="19"/>
  <c r="D236" i="33" s="1"/>
  <c r="A239" i="19"/>
  <c r="B239" i="19"/>
  <c r="C239" i="19"/>
  <c r="D239" i="19"/>
  <c r="E239" i="19"/>
  <c r="F239" i="19"/>
  <c r="H239" i="19"/>
  <c r="I239" i="19"/>
  <c r="J239" i="19"/>
  <c r="K239" i="19"/>
  <c r="L239" i="19"/>
  <c r="M239" i="19"/>
  <c r="N239" i="19"/>
  <c r="P239" i="19"/>
  <c r="Q239" i="19"/>
  <c r="S239" i="19"/>
  <c r="V239" i="19"/>
  <c r="W239" i="19"/>
  <c r="X239" i="19"/>
  <c r="Z239" i="19"/>
  <c r="D237" i="32" s="1"/>
  <c r="AA239" i="19"/>
  <c r="D237" i="33" s="1"/>
  <c r="A240" i="19"/>
  <c r="B240" i="19"/>
  <c r="C240" i="19"/>
  <c r="D240" i="19"/>
  <c r="E240" i="19"/>
  <c r="F240" i="19"/>
  <c r="H240" i="19"/>
  <c r="I240" i="19"/>
  <c r="J240" i="19"/>
  <c r="K240" i="19"/>
  <c r="L240" i="19"/>
  <c r="M240" i="19"/>
  <c r="N240" i="19"/>
  <c r="P240" i="19"/>
  <c r="Q240" i="19"/>
  <c r="S240" i="19"/>
  <c r="V240" i="19"/>
  <c r="W240" i="19"/>
  <c r="X240" i="19"/>
  <c r="Z240" i="19"/>
  <c r="D238" i="32" s="1"/>
  <c r="AA240" i="19"/>
  <c r="D238" i="33" s="1"/>
  <c r="A241" i="19"/>
  <c r="B241" i="19"/>
  <c r="C241" i="19"/>
  <c r="D241" i="19"/>
  <c r="E241" i="19"/>
  <c r="F241" i="19"/>
  <c r="H241" i="19"/>
  <c r="I241" i="19"/>
  <c r="J241" i="19"/>
  <c r="K241" i="19"/>
  <c r="L241" i="19"/>
  <c r="M241" i="19"/>
  <c r="N241" i="19"/>
  <c r="P241" i="19"/>
  <c r="Q241" i="19"/>
  <c r="S241" i="19"/>
  <c r="V241" i="19"/>
  <c r="W241" i="19"/>
  <c r="X241" i="19"/>
  <c r="Z241" i="19"/>
  <c r="D239" i="32" s="1"/>
  <c r="AA241" i="19"/>
  <c r="D239" i="33" s="1"/>
  <c r="A242" i="19"/>
  <c r="B242" i="19"/>
  <c r="C242" i="19"/>
  <c r="D242" i="19"/>
  <c r="E242" i="19"/>
  <c r="F242" i="19"/>
  <c r="H242" i="19"/>
  <c r="I242" i="19"/>
  <c r="J242" i="19"/>
  <c r="K242" i="19"/>
  <c r="L242" i="19"/>
  <c r="M242" i="19"/>
  <c r="N242" i="19"/>
  <c r="P242" i="19"/>
  <c r="Q242" i="19"/>
  <c r="S242" i="19"/>
  <c r="V242" i="19"/>
  <c r="W242" i="19"/>
  <c r="X242" i="19"/>
  <c r="Z242" i="19"/>
  <c r="D240" i="32" s="1"/>
  <c r="AA242" i="19"/>
  <c r="D240" i="33" s="1"/>
  <c r="A243" i="19"/>
  <c r="B243" i="19"/>
  <c r="C243" i="19"/>
  <c r="D243" i="19"/>
  <c r="E243" i="19"/>
  <c r="F243" i="19"/>
  <c r="H243" i="19"/>
  <c r="I243" i="19"/>
  <c r="J243" i="19"/>
  <c r="K243" i="19"/>
  <c r="L243" i="19"/>
  <c r="M243" i="19"/>
  <c r="N243" i="19"/>
  <c r="P243" i="19"/>
  <c r="Q243" i="19"/>
  <c r="S243" i="19"/>
  <c r="V243" i="19"/>
  <c r="W243" i="19"/>
  <c r="X243" i="19"/>
  <c r="Z243" i="19"/>
  <c r="D241" i="32" s="1"/>
  <c r="AA243" i="19"/>
  <c r="D241" i="33" s="1"/>
  <c r="A244" i="19"/>
  <c r="B244" i="19"/>
  <c r="C244" i="19"/>
  <c r="D244" i="19"/>
  <c r="E244" i="19"/>
  <c r="F244" i="19"/>
  <c r="H244" i="19"/>
  <c r="I244" i="19"/>
  <c r="J244" i="19"/>
  <c r="K244" i="19"/>
  <c r="L244" i="19"/>
  <c r="M244" i="19"/>
  <c r="N244" i="19"/>
  <c r="P244" i="19"/>
  <c r="Q244" i="19"/>
  <c r="S244" i="19"/>
  <c r="V244" i="19"/>
  <c r="W244" i="19"/>
  <c r="X244" i="19"/>
  <c r="Z244" i="19"/>
  <c r="D242" i="32" s="1"/>
  <c r="AA244" i="19"/>
  <c r="D242" i="33" s="1"/>
  <c r="A245" i="19"/>
  <c r="B245" i="19"/>
  <c r="C245" i="19"/>
  <c r="D245" i="19"/>
  <c r="E245" i="19"/>
  <c r="F245" i="19"/>
  <c r="H245" i="19"/>
  <c r="I245" i="19"/>
  <c r="J245" i="19"/>
  <c r="K245" i="19"/>
  <c r="L245" i="19"/>
  <c r="M245" i="19"/>
  <c r="N245" i="19"/>
  <c r="P245" i="19"/>
  <c r="Q245" i="19"/>
  <c r="S245" i="19"/>
  <c r="V245" i="19"/>
  <c r="W245" i="19"/>
  <c r="X245" i="19"/>
  <c r="Z245" i="19"/>
  <c r="D243" i="32" s="1"/>
  <c r="AA245" i="19"/>
  <c r="D243" i="33" s="1"/>
  <c r="A246" i="19"/>
  <c r="B246" i="19"/>
  <c r="C246" i="19"/>
  <c r="D246" i="19"/>
  <c r="E246" i="19"/>
  <c r="F246" i="19"/>
  <c r="H246" i="19"/>
  <c r="I246" i="19"/>
  <c r="J246" i="19"/>
  <c r="K246" i="19"/>
  <c r="L246" i="19"/>
  <c r="M246" i="19"/>
  <c r="N246" i="19"/>
  <c r="P246" i="19"/>
  <c r="Q246" i="19"/>
  <c r="S246" i="19"/>
  <c r="V246" i="19"/>
  <c r="W246" i="19"/>
  <c r="X246" i="19"/>
  <c r="Z246" i="19"/>
  <c r="D244" i="32" s="1"/>
  <c r="AA246" i="19"/>
  <c r="D244" i="33" s="1"/>
  <c r="A247" i="19"/>
  <c r="B247" i="19"/>
  <c r="C247" i="19"/>
  <c r="D247" i="19"/>
  <c r="E247" i="19"/>
  <c r="F247" i="19"/>
  <c r="H247" i="19"/>
  <c r="I247" i="19"/>
  <c r="J247" i="19"/>
  <c r="K247" i="19"/>
  <c r="L247" i="19"/>
  <c r="M247" i="19"/>
  <c r="N247" i="19"/>
  <c r="P247" i="19"/>
  <c r="Q247" i="19"/>
  <c r="S247" i="19"/>
  <c r="V247" i="19"/>
  <c r="W247" i="19"/>
  <c r="X247" i="19"/>
  <c r="Z247" i="19"/>
  <c r="D245" i="32" s="1"/>
  <c r="AA247" i="19"/>
  <c r="D245" i="33" s="1"/>
  <c r="A248" i="19"/>
  <c r="B248" i="19"/>
  <c r="C248" i="19"/>
  <c r="D248" i="19"/>
  <c r="E248" i="19"/>
  <c r="F248" i="19"/>
  <c r="H248" i="19"/>
  <c r="I248" i="19"/>
  <c r="J248" i="19"/>
  <c r="K248" i="19"/>
  <c r="L248" i="19"/>
  <c r="M248" i="19"/>
  <c r="N248" i="19"/>
  <c r="P248" i="19"/>
  <c r="Q248" i="19"/>
  <c r="S248" i="19"/>
  <c r="V248" i="19"/>
  <c r="W248" i="19"/>
  <c r="X248" i="19"/>
  <c r="Z248" i="19"/>
  <c r="D246" i="32" s="1"/>
  <c r="AA248" i="19"/>
  <c r="D246" i="33" s="1"/>
  <c r="A249" i="19"/>
  <c r="B249" i="19"/>
  <c r="C249" i="19"/>
  <c r="D249" i="19"/>
  <c r="E249" i="19"/>
  <c r="F249" i="19"/>
  <c r="H249" i="19"/>
  <c r="I249" i="19"/>
  <c r="J249" i="19"/>
  <c r="K249" i="19"/>
  <c r="L249" i="19"/>
  <c r="M249" i="19"/>
  <c r="N249" i="19"/>
  <c r="P249" i="19"/>
  <c r="Q249" i="19"/>
  <c r="S249" i="19"/>
  <c r="V249" i="19"/>
  <c r="W249" i="19"/>
  <c r="X249" i="19"/>
  <c r="Z249" i="19"/>
  <c r="D247" i="32" s="1"/>
  <c r="AA249" i="19"/>
  <c r="D247" i="33" s="1"/>
  <c r="A250" i="19"/>
  <c r="B250" i="19"/>
  <c r="C250" i="19"/>
  <c r="D250" i="19"/>
  <c r="E250" i="19"/>
  <c r="F250" i="19"/>
  <c r="H250" i="19"/>
  <c r="I250" i="19"/>
  <c r="J250" i="19"/>
  <c r="K250" i="19"/>
  <c r="L250" i="19"/>
  <c r="M250" i="19"/>
  <c r="N250" i="19"/>
  <c r="P250" i="19"/>
  <c r="Q250" i="19"/>
  <c r="S250" i="19"/>
  <c r="V250" i="19"/>
  <c r="W250" i="19"/>
  <c r="X250" i="19"/>
  <c r="Z250" i="19"/>
  <c r="D248" i="32" s="1"/>
  <c r="AA250" i="19"/>
  <c r="D248" i="33" s="1"/>
  <c r="A251" i="19"/>
  <c r="B251" i="19"/>
  <c r="C251" i="19"/>
  <c r="D251" i="19"/>
  <c r="E251" i="19"/>
  <c r="F251" i="19"/>
  <c r="H251" i="19"/>
  <c r="I251" i="19"/>
  <c r="J251" i="19"/>
  <c r="K251" i="19"/>
  <c r="L251" i="19"/>
  <c r="M251" i="19"/>
  <c r="N251" i="19"/>
  <c r="P251" i="19"/>
  <c r="Q251" i="19"/>
  <c r="S251" i="19"/>
  <c r="V251" i="19"/>
  <c r="W251" i="19"/>
  <c r="X251" i="19"/>
  <c r="Z251" i="19"/>
  <c r="D249" i="32" s="1"/>
  <c r="AA251" i="19"/>
  <c r="D249" i="33" s="1"/>
  <c r="A252" i="19"/>
  <c r="B252" i="19"/>
  <c r="C252" i="19"/>
  <c r="D252" i="19"/>
  <c r="E252" i="19"/>
  <c r="F252" i="19"/>
  <c r="H252" i="19"/>
  <c r="I252" i="19"/>
  <c r="J252" i="19"/>
  <c r="K252" i="19"/>
  <c r="L252" i="19"/>
  <c r="M252" i="19"/>
  <c r="N252" i="19"/>
  <c r="P252" i="19"/>
  <c r="Q252" i="19"/>
  <c r="S252" i="19"/>
  <c r="V252" i="19"/>
  <c r="W252" i="19"/>
  <c r="X252" i="19"/>
  <c r="Z252" i="19"/>
  <c r="D250" i="32" s="1"/>
  <c r="AA252" i="19"/>
  <c r="D250" i="33" s="1"/>
  <c r="A253" i="19"/>
  <c r="B253" i="19"/>
  <c r="C253" i="19"/>
  <c r="D253" i="19"/>
  <c r="E253" i="19"/>
  <c r="F253" i="19"/>
  <c r="H253" i="19"/>
  <c r="I253" i="19"/>
  <c r="J253" i="19"/>
  <c r="K253" i="19"/>
  <c r="L253" i="19"/>
  <c r="M253" i="19"/>
  <c r="N253" i="19"/>
  <c r="P253" i="19"/>
  <c r="Q253" i="19"/>
  <c r="S253" i="19"/>
  <c r="V253" i="19"/>
  <c r="W253" i="19"/>
  <c r="X253" i="19"/>
  <c r="Z253" i="19"/>
  <c r="D251" i="32" s="1"/>
  <c r="AA253" i="19"/>
  <c r="D251" i="33" s="1"/>
  <c r="A254" i="19"/>
  <c r="B254" i="19"/>
  <c r="C254" i="19"/>
  <c r="D254" i="19"/>
  <c r="E254" i="19"/>
  <c r="F254" i="19"/>
  <c r="H254" i="19"/>
  <c r="I254" i="19"/>
  <c r="J254" i="19"/>
  <c r="K254" i="19"/>
  <c r="L254" i="19"/>
  <c r="M254" i="19"/>
  <c r="N254" i="19"/>
  <c r="P254" i="19"/>
  <c r="Q254" i="19"/>
  <c r="S254" i="19"/>
  <c r="V254" i="19"/>
  <c r="W254" i="19"/>
  <c r="X254" i="19"/>
  <c r="Z254" i="19"/>
  <c r="D252" i="32" s="1"/>
  <c r="AA254" i="19"/>
  <c r="D252" i="33" s="1"/>
  <c r="A255" i="19"/>
  <c r="B255" i="19"/>
  <c r="C255" i="19"/>
  <c r="D255" i="19"/>
  <c r="E255" i="19"/>
  <c r="F255" i="19"/>
  <c r="H255" i="19"/>
  <c r="I255" i="19"/>
  <c r="J255" i="19"/>
  <c r="K255" i="19"/>
  <c r="L255" i="19"/>
  <c r="M255" i="19"/>
  <c r="N255" i="19"/>
  <c r="P255" i="19"/>
  <c r="Q255" i="19"/>
  <c r="S255" i="19"/>
  <c r="V255" i="19"/>
  <c r="W255" i="19"/>
  <c r="X255" i="19"/>
  <c r="Z255" i="19"/>
  <c r="D253" i="32" s="1"/>
  <c r="AA255" i="19"/>
  <c r="D253" i="33" s="1"/>
  <c r="A256" i="19"/>
  <c r="B256" i="19"/>
  <c r="C256" i="19"/>
  <c r="D256" i="19"/>
  <c r="E256" i="19"/>
  <c r="F256" i="19"/>
  <c r="H256" i="19"/>
  <c r="I256" i="19"/>
  <c r="J256" i="19"/>
  <c r="K256" i="19"/>
  <c r="L256" i="19"/>
  <c r="M256" i="19"/>
  <c r="N256" i="19"/>
  <c r="P256" i="19"/>
  <c r="Q256" i="19"/>
  <c r="S256" i="19"/>
  <c r="V256" i="19"/>
  <c r="W256" i="19"/>
  <c r="X256" i="19"/>
  <c r="Z256" i="19"/>
  <c r="D254" i="32" s="1"/>
  <c r="AA256" i="19"/>
  <c r="D254" i="33" s="1"/>
  <c r="A257" i="19"/>
  <c r="B257" i="19"/>
  <c r="C257" i="19"/>
  <c r="D257" i="19"/>
  <c r="E257" i="19"/>
  <c r="F257" i="19"/>
  <c r="H257" i="19"/>
  <c r="I257" i="19"/>
  <c r="J257" i="19"/>
  <c r="K257" i="19"/>
  <c r="L257" i="19"/>
  <c r="M257" i="19"/>
  <c r="N257" i="19"/>
  <c r="P257" i="19"/>
  <c r="Q257" i="19"/>
  <c r="S257" i="19"/>
  <c r="V257" i="19"/>
  <c r="W257" i="19"/>
  <c r="X257" i="19"/>
  <c r="Z257" i="19"/>
  <c r="D255" i="32" s="1"/>
  <c r="AA257" i="19"/>
  <c r="D255" i="33" s="1"/>
  <c r="A258" i="19"/>
  <c r="B258" i="19"/>
  <c r="C258" i="19"/>
  <c r="D258" i="19"/>
  <c r="E258" i="19"/>
  <c r="F258" i="19"/>
  <c r="H258" i="19"/>
  <c r="I258" i="19"/>
  <c r="J258" i="19"/>
  <c r="K258" i="19"/>
  <c r="L258" i="19"/>
  <c r="M258" i="19"/>
  <c r="N258" i="19"/>
  <c r="P258" i="19"/>
  <c r="Q258" i="19"/>
  <c r="S258" i="19"/>
  <c r="V258" i="19"/>
  <c r="W258" i="19"/>
  <c r="X258" i="19"/>
  <c r="Z258" i="19"/>
  <c r="D256" i="32" s="1"/>
  <c r="AA258" i="19"/>
  <c r="D256" i="33" s="1"/>
  <c r="A259" i="19"/>
  <c r="B259" i="19"/>
  <c r="C259" i="19"/>
  <c r="D259" i="19"/>
  <c r="E259" i="19"/>
  <c r="F259" i="19"/>
  <c r="H259" i="19"/>
  <c r="I259" i="19"/>
  <c r="J259" i="19"/>
  <c r="K259" i="19"/>
  <c r="L259" i="19"/>
  <c r="M259" i="19"/>
  <c r="N259" i="19"/>
  <c r="P259" i="19"/>
  <c r="Q259" i="19"/>
  <c r="S259" i="19"/>
  <c r="V259" i="19"/>
  <c r="W259" i="19"/>
  <c r="X259" i="19"/>
  <c r="Z259" i="19"/>
  <c r="D257" i="32" s="1"/>
  <c r="AA259" i="19"/>
  <c r="D257" i="33" s="1"/>
  <c r="A260" i="19"/>
  <c r="B260" i="19"/>
  <c r="C260" i="19"/>
  <c r="D260" i="19"/>
  <c r="E260" i="19"/>
  <c r="F260" i="19"/>
  <c r="H260" i="19"/>
  <c r="I260" i="19"/>
  <c r="J260" i="19"/>
  <c r="K260" i="19"/>
  <c r="L260" i="19"/>
  <c r="M260" i="19"/>
  <c r="N260" i="19"/>
  <c r="P260" i="19"/>
  <c r="Q260" i="19"/>
  <c r="S260" i="19"/>
  <c r="V260" i="19"/>
  <c r="W260" i="19"/>
  <c r="X260" i="19"/>
  <c r="Z260" i="19"/>
  <c r="D258" i="32" s="1"/>
  <c r="AA260" i="19"/>
  <c r="D258" i="33" s="1"/>
  <c r="A261" i="19"/>
  <c r="B261" i="19"/>
  <c r="C261" i="19"/>
  <c r="D261" i="19"/>
  <c r="E261" i="19"/>
  <c r="F261" i="19"/>
  <c r="H261" i="19"/>
  <c r="I261" i="19"/>
  <c r="J261" i="19"/>
  <c r="K261" i="19"/>
  <c r="L261" i="19"/>
  <c r="M261" i="19"/>
  <c r="N261" i="19"/>
  <c r="P261" i="19"/>
  <c r="Q261" i="19"/>
  <c r="S261" i="19"/>
  <c r="V261" i="19"/>
  <c r="W261" i="19"/>
  <c r="X261" i="19"/>
  <c r="Z261" i="19"/>
  <c r="D259" i="32" s="1"/>
  <c r="AA261" i="19"/>
  <c r="D259" i="33" s="1"/>
  <c r="A262" i="19"/>
  <c r="B262" i="19"/>
  <c r="C262" i="19"/>
  <c r="D262" i="19"/>
  <c r="E262" i="19"/>
  <c r="F262" i="19"/>
  <c r="H262" i="19"/>
  <c r="I262" i="19"/>
  <c r="J262" i="19"/>
  <c r="K262" i="19"/>
  <c r="L262" i="19"/>
  <c r="M262" i="19"/>
  <c r="N262" i="19"/>
  <c r="P262" i="19"/>
  <c r="Q262" i="19"/>
  <c r="S262" i="19"/>
  <c r="V262" i="19"/>
  <c r="W262" i="19"/>
  <c r="X262" i="19"/>
  <c r="Z262" i="19"/>
  <c r="D260" i="32" s="1"/>
  <c r="AA262" i="19"/>
  <c r="D260" i="33" s="1"/>
  <c r="A263" i="19"/>
  <c r="B263" i="19"/>
  <c r="C263" i="19"/>
  <c r="D263" i="19"/>
  <c r="E263" i="19"/>
  <c r="F263" i="19"/>
  <c r="H263" i="19"/>
  <c r="I263" i="19"/>
  <c r="J263" i="19"/>
  <c r="K263" i="19"/>
  <c r="L263" i="19"/>
  <c r="M263" i="19"/>
  <c r="N263" i="19"/>
  <c r="P263" i="19"/>
  <c r="Q263" i="19"/>
  <c r="S263" i="19"/>
  <c r="V263" i="19"/>
  <c r="W263" i="19"/>
  <c r="X263" i="19"/>
  <c r="Z263" i="19"/>
  <c r="D261" i="32" s="1"/>
  <c r="AA263" i="19"/>
  <c r="D261" i="33" s="1"/>
  <c r="A264" i="19"/>
  <c r="B264" i="19"/>
  <c r="C264" i="19"/>
  <c r="D264" i="19"/>
  <c r="E264" i="19"/>
  <c r="F264" i="19"/>
  <c r="H264" i="19"/>
  <c r="I264" i="19"/>
  <c r="J264" i="19"/>
  <c r="K264" i="19"/>
  <c r="L264" i="19"/>
  <c r="M264" i="19"/>
  <c r="N264" i="19"/>
  <c r="P264" i="19"/>
  <c r="Q264" i="19"/>
  <c r="S264" i="19"/>
  <c r="V264" i="19"/>
  <c r="W264" i="19"/>
  <c r="X264" i="19"/>
  <c r="Z264" i="19"/>
  <c r="D262" i="32" s="1"/>
  <c r="AA264" i="19"/>
  <c r="D262" i="33" s="1"/>
  <c r="A265" i="19"/>
  <c r="B265" i="19"/>
  <c r="C265" i="19"/>
  <c r="D265" i="19"/>
  <c r="E265" i="19"/>
  <c r="F265" i="19"/>
  <c r="H265" i="19"/>
  <c r="I265" i="19"/>
  <c r="J265" i="19"/>
  <c r="K265" i="19"/>
  <c r="L265" i="19"/>
  <c r="M265" i="19"/>
  <c r="N265" i="19"/>
  <c r="P265" i="19"/>
  <c r="Q265" i="19"/>
  <c r="S265" i="19"/>
  <c r="V265" i="19"/>
  <c r="W265" i="19"/>
  <c r="X265" i="19"/>
  <c r="Z265" i="19"/>
  <c r="D263" i="32" s="1"/>
  <c r="AA265" i="19"/>
  <c r="D263" i="33" s="1"/>
  <c r="A266" i="19"/>
  <c r="B266" i="19"/>
  <c r="C266" i="19"/>
  <c r="D266" i="19"/>
  <c r="E266" i="19"/>
  <c r="F266" i="19"/>
  <c r="H266" i="19"/>
  <c r="I266" i="19"/>
  <c r="J266" i="19"/>
  <c r="K266" i="19"/>
  <c r="L266" i="19"/>
  <c r="M266" i="19"/>
  <c r="N266" i="19"/>
  <c r="P266" i="19"/>
  <c r="Q266" i="19"/>
  <c r="S266" i="19"/>
  <c r="V266" i="19"/>
  <c r="W266" i="19"/>
  <c r="X266" i="19"/>
  <c r="Z266" i="19"/>
  <c r="D264" i="32" s="1"/>
  <c r="AA266" i="19"/>
  <c r="D264" i="33" s="1"/>
  <c r="A267" i="19"/>
  <c r="B267" i="19"/>
  <c r="C267" i="19"/>
  <c r="D267" i="19"/>
  <c r="E267" i="19"/>
  <c r="F267" i="19"/>
  <c r="H267" i="19"/>
  <c r="I267" i="19"/>
  <c r="J267" i="19"/>
  <c r="K267" i="19"/>
  <c r="L267" i="19"/>
  <c r="M267" i="19"/>
  <c r="N267" i="19"/>
  <c r="P267" i="19"/>
  <c r="Q267" i="19"/>
  <c r="S267" i="19"/>
  <c r="V267" i="19"/>
  <c r="W267" i="19"/>
  <c r="X267" i="19"/>
  <c r="Z267" i="19"/>
  <c r="D265" i="32" s="1"/>
  <c r="AA267" i="19"/>
  <c r="D265" i="33" s="1"/>
  <c r="A268" i="19"/>
  <c r="B268" i="19"/>
  <c r="C268" i="19"/>
  <c r="D268" i="19"/>
  <c r="E268" i="19"/>
  <c r="F268" i="19"/>
  <c r="H268" i="19"/>
  <c r="I268" i="19"/>
  <c r="J268" i="19"/>
  <c r="K268" i="19"/>
  <c r="L268" i="19"/>
  <c r="M268" i="19"/>
  <c r="N268" i="19"/>
  <c r="P268" i="19"/>
  <c r="Q268" i="19"/>
  <c r="S268" i="19"/>
  <c r="V268" i="19"/>
  <c r="W268" i="19"/>
  <c r="X268" i="19"/>
  <c r="Z268" i="19"/>
  <c r="D266" i="32" s="1"/>
  <c r="AA268" i="19"/>
  <c r="D266" i="33" s="1"/>
  <c r="A269" i="19"/>
  <c r="B269" i="19"/>
  <c r="C269" i="19"/>
  <c r="D269" i="19"/>
  <c r="E269" i="19"/>
  <c r="F269" i="19"/>
  <c r="H269" i="19"/>
  <c r="I269" i="19"/>
  <c r="J269" i="19"/>
  <c r="K269" i="19"/>
  <c r="L269" i="19"/>
  <c r="M269" i="19"/>
  <c r="N269" i="19"/>
  <c r="P269" i="19"/>
  <c r="Q269" i="19"/>
  <c r="S269" i="19"/>
  <c r="V269" i="19"/>
  <c r="W269" i="19"/>
  <c r="X269" i="19"/>
  <c r="Z269" i="19"/>
  <c r="D267" i="32" s="1"/>
  <c r="AA269" i="19"/>
  <c r="D267" i="33" s="1"/>
  <c r="A270" i="19"/>
  <c r="B270" i="19"/>
  <c r="C270" i="19"/>
  <c r="D270" i="19"/>
  <c r="E270" i="19"/>
  <c r="F270" i="19"/>
  <c r="H270" i="19"/>
  <c r="I270" i="19"/>
  <c r="J270" i="19"/>
  <c r="K270" i="19"/>
  <c r="L270" i="19"/>
  <c r="M270" i="19"/>
  <c r="N270" i="19"/>
  <c r="P270" i="19"/>
  <c r="Q270" i="19"/>
  <c r="S270" i="19"/>
  <c r="V270" i="19"/>
  <c r="W270" i="19"/>
  <c r="X270" i="19"/>
  <c r="Z270" i="19"/>
  <c r="D268" i="32" s="1"/>
  <c r="AA270" i="19"/>
  <c r="D268" i="33" s="1"/>
  <c r="A271" i="19"/>
  <c r="B271" i="19"/>
  <c r="C271" i="19"/>
  <c r="D271" i="19"/>
  <c r="E271" i="19"/>
  <c r="F271" i="19"/>
  <c r="H271" i="19"/>
  <c r="I271" i="19"/>
  <c r="J271" i="19"/>
  <c r="K271" i="19"/>
  <c r="L271" i="19"/>
  <c r="M271" i="19"/>
  <c r="N271" i="19"/>
  <c r="P271" i="19"/>
  <c r="Q271" i="19"/>
  <c r="S271" i="19"/>
  <c r="V271" i="19"/>
  <c r="W271" i="19"/>
  <c r="X271" i="19"/>
  <c r="Z271" i="19"/>
  <c r="D269" i="32" s="1"/>
  <c r="AA271" i="19"/>
  <c r="D269" i="33" s="1"/>
  <c r="A272" i="19"/>
  <c r="B272" i="19"/>
  <c r="C272" i="19"/>
  <c r="D272" i="19"/>
  <c r="E272" i="19"/>
  <c r="F272" i="19"/>
  <c r="H272" i="19"/>
  <c r="I272" i="19"/>
  <c r="J272" i="19"/>
  <c r="K272" i="19"/>
  <c r="L272" i="19"/>
  <c r="M272" i="19"/>
  <c r="N272" i="19"/>
  <c r="P272" i="19"/>
  <c r="Q272" i="19"/>
  <c r="S272" i="19"/>
  <c r="V272" i="19"/>
  <c r="W272" i="19"/>
  <c r="X272" i="19"/>
  <c r="Z272" i="19"/>
  <c r="D270" i="32" s="1"/>
  <c r="AA272" i="19"/>
  <c r="D270" i="33" s="1"/>
  <c r="A273" i="19"/>
  <c r="B273" i="19"/>
  <c r="C273" i="19"/>
  <c r="D273" i="19"/>
  <c r="E273" i="19"/>
  <c r="F273" i="19"/>
  <c r="H273" i="19"/>
  <c r="I273" i="19"/>
  <c r="J273" i="19"/>
  <c r="K273" i="19"/>
  <c r="L273" i="19"/>
  <c r="M273" i="19"/>
  <c r="N273" i="19"/>
  <c r="P273" i="19"/>
  <c r="Q273" i="19"/>
  <c r="S273" i="19"/>
  <c r="V273" i="19"/>
  <c r="W273" i="19"/>
  <c r="X273" i="19"/>
  <c r="Z273" i="19"/>
  <c r="D271" i="32" s="1"/>
  <c r="AA273" i="19"/>
  <c r="D271" i="33" s="1"/>
  <c r="A274" i="19"/>
  <c r="B274" i="19"/>
  <c r="C274" i="19"/>
  <c r="D274" i="19"/>
  <c r="E274" i="19"/>
  <c r="F274" i="19"/>
  <c r="H274" i="19"/>
  <c r="I274" i="19"/>
  <c r="J274" i="19"/>
  <c r="K274" i="19"/>
  <c r="L274" i="19"/>
  <c r="M274" i="19"/>
  <c r="N274" i="19"/>
  <c r="P274" i="19"/>
  <c r="Q274" i="19"/>
  <c r="S274" i="19"/>
  <c r="V274" i="19"/>
  <c r="W274" i="19"/>
  <c r="X274" i="19"/>
  <c r="Z274" i="19"/>
  <c r="D272" i="32" s="1"/>
  <c r="AA274" i="19"/>
  <c r="D272" i="33" s="1"/>
  <c r="A275" i="19"/>
  <c r="B275" i="19"/>
  <c r="C275" i="19"/>
  <c r="D275" i="19"/>
  <c r="E275" i="19"/>
  <c r="F275" i="19"/>
  <c r="H275" i="19"/>
  <c r="I275" i="19"/>
  <c r="J275" i="19"/>
  <c r="K275" i="19"/>
  <c r="L275" i="19"/>
  <c r="M275" i="19"/>
  <c r="N275" i="19"/>
  <c r="P275" i="19"/>
  <c r="Q275" i="19"/>
  <c r="S275" i="19"/>
  <c r="V275" i="19"/>
  <c r="W275" i="19"/>
  <c r="X275" i="19"/>
  <c r="Z275" i="19"/>
  <c r="D273" i="32" s="1"/>
  <c r="AA275" i="19"/>
  <c r="D273" i="33" s="1"/>
  <c r="A276" i="19"/>
  <c r="B276" i="19"/>
  <c r="C276" i="19"/>
  <c r="D276" i="19"/>
  <c r="E276" i="19"/>
  <c r="F276" i="19"/>
  <c r="H276" i="19"/>
  <c r="I276" i="19"/>
  <c r="J276" i="19"/>
  <c r="K276" i="19"/>
  <c r="L276" i="19"/>
  <c r="M276" i="19"/>
  <c r="N276" i="19"/>
  <c r="P276" i="19"/>
  <c r="Q276" i="19"/>
  <c r="S276" i="19"/>
  <c r="V276" i="19"/>
  <c r="W276" i="19"/>
  <c r="X276" i="19"/>
  <c r="Z276" i="19"/>
  <c r="D274" i="32" s="1"/>
  <c r="AA276" i="19"/>
  <c r="D274" i="33" s="1"/>
  <c r="A277" i="19"/>
  <c r="B277" i="19"/>
  <c r="C277" i="19"/>
  <c r="D277" i="19"/>
  <c r="E277" i="19"/>
  <c r="F277" i="19"/>
  <c r="H277" i="19"/>
  <c r="I277" i="19"/>
  <c r="J277" i="19"/>
  <c r="K277" i="19"/>
  <c r="L277" i="19"/>
  <c r="M277" i="19"/>
  <c r="N277" i="19"/>
  <c r="P277" i="19"/>
  <c r="Q277" i="19"/>
  <c r="S277" i="19"/>
  <c r="V277" i="19"/>
  <c r="W277" i="19"/>
  <c r="X277" i="19"/>
  <c r="Z277" i="19"/>
  <c r="D275" i="32" s="1"/>
  <c r="AA277" i="19"/>
  <c r="D275" i="33" s="1"/>
  <c r="A278" i="19"/>
  <c r="B278" i="19"/>
  <c r="C278" i="19"/>
  <c r="D278" i="19"/>
  <c r="E278" i="19"/>
  <c r="F278" i="19"/>
  <c r="H278" i="19"/>
  <c r="I278" i="19"/>
  <c r="J278" i="19"/>
  <c r="K278" i="19"/>
  <c r="L278" i="19"/>
  <c r="M278" i="19"/>
  <c r="N278" i="19"/>
  <c r="P278" i="19"/>
  <c r="Q278" i="19"/>
  <c r="S278" i="19"/>
  <c r="V278" i="19"/>
  <c r="W278" i="19"/>
  <c r="X278" i="19"/>
  <c r="Z278" i="19"/>
  <c r="D276" i="32" s="1"/>
  <c r="AA278" i="19"/>
  <c r="D276" i="33" s="1"/>
  <c r="A279" i="19"/>
  <c r="B279" i="19"/>
  <c r="C279" i="19"/>
  <c r="D279" i="19"/>
  <c r="E279" i="19"/>
  <c r="F279" i="19"/>
  <c r="H279" i="19"/>
  <c r="I279" i="19"/>
  <c r="J279" i="19"/>
  <c r="K279" i="19"/>
  <c r="L279" i="19"/>
  <c r="M279" i="19"/>
  <c r="N279" i="19"/>
  <c r="P279" i="19"/>
  <c r="Q279" i="19"/>
  <c r="S279" i="19"/>
  <c r="V279" i="19"/>
  <c r="W279" i="19"/>
  <c r="X279" i="19"/>
  <c r="Z279" i="19"/>
  <c r="D277" i="32" s="1"/>
  <c r="AA279" i="19"/>
  <c r="D277" i="33" s="1"/>
  <c r="A280" i="19"/>
  <c r="B280" i="19"/>
  <c r="C280" i="19"/>
  <c r="D280" i="19"/>
  <c r="E280" i="19"/>
  <c r="F280" i="19"/>
  <c r="H280" i="19"/>
  <c r="I280" i="19"/>
  <c r="J280" i="19"/>
  <c r="K280" i="19"/>
  <c r="L280" i="19"/>
  <c r="M280" i="19"/>
  <c r="N280" i="19"/>
  <c r="P280" i="19"/>
  <c r="Q280" i="19"/>
  <c r="S280" i="19"/>
  <c r="V280" i="19"/>
  <c r="W280" i="19"/>
  <c r="X280" i="19"/>
  <c r="Z280" i="19"/>
  <c r="D278" i="32" s="1"/>
  <c r="AA280" i="19"/>
  <c r="D278" i="33" s="1"/>
  <c r="A281" i="19"/>
  <c r="B281" i="19"/>
  <c r="C281" i="19"/>
  <c r="D281" i="19"/>
  <c r="E281" i="19"/>
  <c r="F281" i="19"/>
  <c r="H281" i="19"/>
  <c r="I281" i="19"/>
  <c r="J281" i="19"/>
  <c r="K281" i="19"/>
  <c r="L281" i="19"/>
  <c r="M281" i="19"/>
  <c r="N281" i="19"/>
  <c r="P281" i="19"/>
  <c r="Q281" i="19"/>
  <c r="S281" i="19"/>
  <c r="V281" i="19"/>
  <c r="W281" i="19"/>
  <c r="X281" i="19"/>
  <c r="Z281" i="19"/>
  <c r="D279" i="32" s="1"/>
  <c r="AA281" i="19"/>
  <c r="D279" i="33" s="1"/>
  <c r="A282" i="19"/>
  <c r="B282" i="19"/>
  <c r="C282" i="19"/>
  <c r="D282" i="19"/>
  <c r="E282" i="19"/>
  <c r="F282" i="19"/>
  <c r="H282" i="19"/>
  <c r="I282" i="19"/>
  <c r="J282" i="19"/>
  <c r="K282" i="19"/>
  <c r="L282" i="19"/>
  <c r="M282" i="19"/>
  <c r="N282" i="19"/>
  <c r="P282" i="19"/>
  <c r="Q282" i="19"/>
  <c r="S282" i="19"/>
  <c r="V282" i="19"/>
  <c r="W282" i="19"/>
  <c r="X282" i="19"/>
  <c r="Z282" i="19"/>
  <c r="D280" i="32" s="1"/>
  <c r="AA282" i="19"/>
  <c r="D280" i="33" s="1"/>
  <c r="A283" i="19"/>
  <c r="B283" i="19"/>
  <c r="C283" i="19"/>
  <c r="D283" i="19"/>
  <c r="E283" i="19"/>
  <c r="F283" i="19"/>
  <c r="H283" i="19"/>
  <c r="I283" i="19"/>
  <c r="J283" i="19"/>
  <c r="K283" i="19"/>
  <c r="L283" i="19"/>
  <c r="M283" i="19"/>
  <c r="N283" i="19"/>
  <c r="P283" i="19"/>
  <c r="Q283" i="19"/>
  <c r="S283" i="19"/>
  <c r="V283" i="19"/>
  <c r="W283" i="19"/>
  <c r="X283" i="19"/>
  <c r="Z283" i="19"/>
  <c r="D281" i="32" s="1"/>
  <c r="AA283" i="19"/>
  <c r="D281" i="33" s="1"/>
  <c r="A284" i="19"/>
  <c r="B284" i="19"/>
  <c r="C284" i="19"/>
  <c r="D284" i="19"/>
  <c r="E284" i="19"/>
  <c r="F284" i="19"/>
  <c r="H284" i="19"/>
  <c r="I284" i="19"/>
  <c r="J284" i="19"/>
  <c r="K284" i="19"/>
  <c r="L284" i="19"/>
  <c r="M284" i="19"/>
  <c r="N284" i="19"/>
  <c r="P284" i="19"/>
  <c r="Q284" i="19"/>
  <c r="S284" i="19"/>
  <c r="V284" i="19"/>
  <c r="W284" i="19"/>
  <c r="X284" i="19"/>
  <c r="Z284" i="19"/>
  <c r="D282" i="32" s="1"/>
  <c r="AA284" i="19"/>
  <c r="D282" i="33" s="1"/>
  <c r="A285" i="19"/>
  <c r="B285" i="19"/>
  <c r="C285" i="19"/>
  <c r="D285" i="19"/>
  <c r="E285" i="19"/>
  <c r="F285" i="19"/>
  <c r="H285" i="19"/>
  <c r="I285" i="19"/>
  <c r="J285" i="19"/>
  <c r="K285" i="19"/>
  <c r="L285" i="19"/>
  <c r="M285" i="19"/>
  <c r="N285" i="19"/>
  <c r="P285" i="19"/>
  <c r="Q285" i="19"/>
  <c r="S285" i="19"/>
  <c r="V285" i="19"/>
  <c r="W285" i="19"/>
  <c r="X285" i="19"/>
  <c r="Z285" i="19"/>
  <c r="D283" i="32" s="1"/>
  <c r="AA285" i="19"/>
  <c r="D283" i="33" s="1"/>
  <c r="A286" i="19"/>
  <c r="B286" i="19"/>
  <c r="C286" i="19"/>
  <c r="D286" i="19"/>
  <c r="E286" i="19"/>
  <c r="F286" i="19"/>
  <c r="H286" i="19"/>
  <c r="I286" i="19"/>
  <c r="J286" i="19"/>
  <c r="K286" i="19"/>
  <c r="L286" i="19"/>
  <c r="M286" i="19"/>
  <c r="N286" i="19"/>
  <c r="P286" i="19"/>
  <c r="Q286" i="19"/>
  <c r="S286" i="19"/>
  <c r="V286" i="19"/>
  <c r="W286" i="19"/>
  <c r="X286" i="19"/>
  <c r="Z286" i="19"/>
  <c r="D284" i="32" s="1"/>
  <c r="AA286" i="19"/>
  <c r="D284" i="33" s="1"/>
  <c r="A287" i="19"/>
  <c r="B287" i="19"/>
  <c r="C287" i="19"/>
  <c r="D287" i="19"/>
  <c r="E287" i="19"/>
  <c r="F287" i="19"/>
  <c r="H287" i="19"/>
  <c r="I287" i="19"/>
  <c r="J287" i="19"/>
  <c r="K287" i="19"/>
  <c r="L287" i="19"/>
  <c r="M287" i="19"/>
  <c r="N287" i="19"/>
  <c r="P287" i="19"/>
  <c r="Q287" i="19"/>
  <c r="S287" i="19"/>
  <c r="V287" i="19"/>
  <c r="W287" i="19"/>
  <c r="X287" i="19"/>
  <c r="Z287" i="19"/>
  <c r="D285" i="32" s="1"/>
  <c r="AA287" i="19"/>
  <c r="D285" i="33" s="1"/>
  <c r="A288" i="19"/>
  <c r="B288" i="19"/>
  <c r="C288" i="19"/>
  <c r="D288" i="19"/>
  <c r="E288" i="19"/>
  <c r="F288" i="19"/>
  <c r="H288" i="19"/>
  <c r="I288" i="19"/>
  <c r="J288" i="19"/>
  <c r="K288" i="19"/>
  <c r="L288" i="19"/>
  <c r="M288" i="19"/>
  <c r="N288" i="19"/>
  <c r="P288" i="19"/>
  <c r="Q288" i="19"/>
  <c r="S288" i="19"/>
  <c r="V288" i="19"/>
  <c r="W288" i="19"/>
  <c r="X288" i="19"/>
  <c r="Z288" i="19"/>
  <c r="D286" i="32" s="1"/>
  <c r="AA288" i="19"/>
  <c r="D286" i="33" s="1"/>
  <c r="A289" i="19"/>
  <c r="B289" i="19"/>
  <c r="C289" i="19"/>
  <c r="D289" i="19"/>
  <c r="E289" i="19"/>
  <c r="F289" i="19"/>
  <c r="H289" i="19"/>
  <c r="I289" i="19"/>
  <c r="J289" i="19"/>
  <c r="K289" i="19"/>
  <c r="L289" i="19"/>
  <c r="M289" i="19"/>
  <c r="N289" i="19"/>
  <c r="P289" i="19"/>
  <c r="Q289" i="19"/>
  <c r="S289" i="19"/>
  <c r="V289" i="19"/>
  <c r="W289" i="19"/>
  <c r="X289" i="19"/>
  <c r="Z289" i="19"/>
  <c r="D287" i="32" s="1"/>
  <c r="AA289" i="19"/>
  <c r="D287" i="33" s="1"/>
  <c r="A290" i="19"/>
  <c r="B290" i="19"/>
  <c r="C290" i="19"/>
  <c r="D290" i="19"/>
  <c r="E290" i="19"/>
  <c r="F290" i="19"/>
  <c r="H290" i="19"/>
  <c r="I290" i="19"/>
  <c r="J290" i="19"/>
  <c r="K290" i="19"/>
  <c r="L290" i="19"/>
  <c r="M290" i="19"/>
  <c r="N290" i="19"/>
  <c r="P290" i="19"/>
  <c r="Q290" i="19"/>
  <c r="S290" i="19"/>
  <c r="V290" i="19"/>
  <c r="W290" i="19"/>
  <c r="X290" i="19"/>
  <c r="Z290" i="19"/>
  <c r="D288" i="32" s="1"/>
  <c r="AA290" i="19"/>
  <c r="D288" i="33" s="1"/>
  <c r="A291" i="19"/>
  <c r="B291" i="19"/>
  <c r="C291" i="19"/>
  <c r="D291" i="19"/>
  <c r="E291" i="19"/>
  <c r="F291" i="19"/>
  <c r="H291" i="19"/>
  <c r="I291" i="19"/>
  <c r="J291" i="19"/>
  <c r="K291" i="19"/>
  <c r="L291" i="19"/>
  <c r="M291" i="19"/>
  <c r="N291" i="19"/>
  <c r="P291" i="19"/>
  <c r="Q291" i="19"/>
  <c r="S291" i="19"/>
  <c r="V291" i="19"/>
  <c r="W291" i="19"/>
  <c r="X291" i="19"/>
  <c r="Z291" i="19"/>
  <c r="D289" i="32" s="1"/>
  <c r="AA291" i="19"/>
  <c r="D289" i="33" s="1"/>
  <c r="A292" i="19"/>
  <c r="B292" i="19"/>
  <c r="C292" i="19"/>
  <c r="D292" i="19"/>
  <c r="E292" i="19"/>
  <c r="F292" i="19"/>
  <c r="H292" i="19"/>
  <c r="I292" i="19"/>
  <c r="J292" i="19"/>
  <c r="K292" i="19"/>
  <c r="L292" i="19"/>
  <c r="M292" i="19"/>
  <c r="N292" i="19"/>
  <c r="P292" i="19"/>
  <c r="Q292" i="19"/>
  <c r="S292" i="19"/>
  <c r="V292" i="19"/>
  <c r="W292" i="19"/>
  <c r="X292" i="19"/>
  <c r="Z292" i="19"/>
  <c r="D290" i="32" s="1"/>
  <c r="AA292" i="19"/>
  <c r="D290" i="33" s="1"/>
  <c r="A293" i="19"/>
  <c r="B293" i="19"/>
  <c r="C293" i="19"/>
  <c r="D293" i="19"/>
  <c r="E293" i="19"/>
  <c r="F293" i="19"/>
  <c r="H293" i="19"/>
  <c r="I293" i="19"/>
  <c r="J293" i="19"/>
  <c r="K293" i="19"/>
  <c r="L293" i="19"/>
  <c r="M293" i="19"/>
  <c r="N293" i="19"/>
  <c r="P293" i="19"/>
  <c r="Q293" i="19"/>
  <c r="S293" i="19"/>
  <c r="V293" i="19"/>
  <c r="W293" i="19"/>
  <c r="X293" i="19"/>
  <c r="Z293" i="19"/>
  <c r="D291" i="32" s="1"/>
  <c r="AA293" i="19"/>
  <c r="D291" i="33" s="1"/>
  <c r="A294" i="19"/>
  <c r="B294" i="19"/>
  <c r="C294" i="19"/>
  <c r="D294" i="19"/>
  <c r="E294" i="19"/>
  <c r="F294" i="19"/>
  <c r="H294" i="19"/>
  <c r="I294" i="19"/>
  <c r="J294" i="19"/>
  <c r="K294" i="19"/>
  <c r="L294" i="19"/>
  <c r="M294" i="19"/>
  <c r="N294" i="19"/>
  <c r="P294" i="19"/>
  <c r="Q294" i="19"/>
  <c r="S294" i="19"/>
  <c r="V294" i="19"/>
  <c r="W294" i="19"/>
  <c r="X294" i="19"/>
  <c r="Z294" i="19"/>
  <c r="D292" i="32" s="1"/>
  <c r="AA294" i="19"/>
  <c r="D292" i="33" s="1"/>
  <c r="A295" i="19"/>
  <c r="B295" i="19"/>
  <c r="C295" i="19"/>
  <c r="D295" i="19"/>
  <c r="E295" i="19"/>
  <c r="F295" i="19"/>
  <c r="H295" i="19"/>
  <c r="I295" i="19"/>
  <c r="J295" i="19"/>
  <c r="K295" i="19"/>
  <c r="L295" i="19"/>
  <c r="M295" i="19"/>
  <c r="N295" i="19"/>
  <c r="P295" i="19"/>
  <c r="Q295" i="19"/>
  <c r="S295" i="19"/>
  <c r="V295" i="19"/>
  <c r="W295" i="19"/>
  <c r="X295" i="19"/>
  <c r="Z295" i="19"/>
  <c r="D293" i="32" s="1"/>
  <c r="AA295" i="19"/>
  <c r="D293" i="33" s="1"/>
  <c r="A296" i="19"/>
  <c r="B296" i="19"/>
  <c r="C296" i="19"/>
  <c r="D296" i="19"/>
  <c r="E296" i="19"/>
  <c r="F296" i="19"/>
  <c r="H296" i="19"/>
  <c r="I296" i="19"/>
  <c r="J296" i="19"/>
  <c r="K296" i="19"/>
  <c r="L296" i="19"/>
  <c r="M296" i="19"/>
  <c r="N296" i="19"/>
  <c r="P296" i="19"/>
  <c r="Q296" i="19"/>
  <c r="S296" i="19"/>
  <c r="V296" i="19"/>
  <c r="W296" i="19"/>
  <c r="X296" i="19"/>
  <c r="Z296" i="19"/>
  <c r="D294" i="32" s="1"/>
  <c r="AA296" i="19"/>
  <c r="D294" i="33" s="1"/>
  <c r="A297" i="19"/>
  <c r="B297" i="19"/>
  <c r="C297" i="19"/>
  <c r="D297" i="19"/>
  <c r="E297" i="19"/>
  <c r="F297" i="19"/>
  <c r="H297" i="19"/>
  <c r="I297" i="19"/>
  <c r="J297" i="19"/>
  <c r="K297" i="19"/>
  <c r="L297" i="19"/>
  <c r="M297" i="19"/>
  <c r="N297" i="19"/>
  <c r="P297" i="19"/>
  <c r="Q297" i="19"/>
  <c r="S297" i="19"/>
  <c r="V297" i="19"/>
  <c r="W297" i="19"/>
  <c r="X297" i="19"/>
  <c r="Z297" i="19"/>
  <c r="D295" i="32" s="1"/>
  <c r="AA297" i="19"/>
  <c r="D295" i="33" s="1"/>
  <c r="A298" i="19"/>
  <c r="B298" i="19"/>
  <c r="C298" i="19"/>
  <c r="D298" i="19"/>
  <c r="E298" i="19"/>
  <c r="F298" i="19"/>
  <c r="H298" i="19"/>
  <c r="I298" i="19"/>
  <c r="J298" i="19"/>
  <c r="K298" i="19"/>
  <c r="L298" i="19"/>
  <c r="M298" i="19"/>
  <c r="N298" i="19"/>
  <c r="P298" i="19"/>
  <c r="Q298" i="19"/>
  <c r="S298" i="19"/>
  <c r="V298" i="19"/>
  <c r="W298" i="19"/>
  <c r="X298" i="19"/>
  <c r="Z298" i="19"/>
  <c r="D296" i="32" s="1"/>
  <c r="AA298" i="19"/>
  <c r="D296" i="33" s="1"/>
  <c r="A299" i="19"/>
  <c r="B299" i="19"/>
  <c r="C299" i="19"/>
  <c r="D299" i="19"/>
  <c r="E299" i="19"/>
  <c r="F299" i="19"/>
  <c r="H299" i="19"/>
  <c r="I299" i="19"/>
  <c r="J299" i="19"/>
  <c r="K299" i="19"/>
  <c r="L299" i="19"/>
  <c r="M299" i="19"/>
  <c r="N299" i="19"/>
  <c r="P299" i="19"/>
  <c r="Q299" i="19"/>
  <c r="S299" i="19"/>
  <c r="V299" i="19"/>
  <c r="W299" i="19"/>
  <c r="X299" i="19"/>
  <c r="Z299" i="19"/>
  <c r="D297" i="32" s="1"/>
  <c r="AA299" i="19"/>
  <c r="D297" i="33" s="1"/>
  <c r="A300" i="19"/>
  <c r="B300" i="19"/>
  <c r="C300" i="19"/>
  <c r="D300" i="19"/>
  <c r="E300" i="19"/>
  <c r="F300" i="19"/>
  <c r="H300" i="19"/>
  <c r="I300" i="19"/>
  <c r="J300" i="19"/>
  <c r="K300" i="19"/>
  <c r="L300" i="19"/>
  <c r="M300" i="19"/>
  <c r="N300" i="19"/>
  <c r="P300" i="19"/>
  <c r="Q300" i="19"/>
  <c r="S300" i="19"/>
  <c r="V300" i="19"/>
  <c r="W300" i="19"/>
  <c r="X300" i="19"/>
  <c r="Z300" i="19"/>
  <c r="D298" i="32" s="1"/>
  <c r="AA300" i="19"/>
  <c r="D298" i="33" s="1"/>
  <c r="A301" i="19"/>
  <c r="B301" i="19"/>
  <c r="C301" i="19"/>
  <c r="D301" i="19"/>
  <c r="E301" i="19"/>
  <c r="F301" i="19"/>
  <c r="H301" i="19"/>
  <c r="I301" i="19"/>
  <c r="J301" i="19"/>
  <c r="K301" i="19"/>
  <c r="L301" i="19"/>
  <c r="M301" i="19"/>
  <c r="N301" i="19"/>
  <c r="P301" i="19"/>
  <c r="Q301" i="19"/>
  <c r="S301" i="19"/>
  <c r="V301" i="19"/>
  <c r="W301" i="19"/>
  <c r="X301" i="19"/>
  <c r="Z301" i="19"/>
  <c r="D299" i="32" s="1"/>
  <c r="AA301" i="19"/>
  <c r="D299" i="33" s="1"/>
  <c r="A302" i="19"/>
  <c r="B302" i="19"/>
  <c r="C302" i="19"/>
  <c r="D302" i="19"/>
  <c r="E302" i="19"/>
  <c r="F302" i="19"/>
  <c r="H302" i="19"/>
  <c r="I302" i="19"/>
  <c r="J302" i="19"/>
  <c r="K302" i="19"/>
  <c r="L302" i="19"/>
  <c r="M302" i="19"/>
  <c r="N302" i="19"/>
  <c r="P302" i="19"/>
  <c r="Q302" i="19"/>
  <c r="S302" i="19"/>
  <c r="V302" i="19"/>
  <c r="W302" i="19"/>
  <c r="X302" i="19"/>
  <c r="Z302" i="19"/>
  <c r="D300" i="32" s="1"/>
  <c r="AA302" i="19"/>
  <c r="D300" i="33" s="1"/>
  <c r="A303" i="19"/>
  <c r="B303" i="19"/>
  <c r="C303" i="19"/>
  <c r="D303" i="19"/>
  <c r="E303" i="19"/>
  <c r="F303" i="19"/>
  <c r="H303" i="19"/>
  <c r="I303" i="19"/>
  <c r="J303" i="19"/>
  <c r="K303" i="19"/>
  <c r="L303" i="19"/>
  <c r="M303" i="19"/>
  <c r="N303" i="19"/>
  <c r="P303" i="19"/>
  <c r="Q303" i="19"/>
  <c r="S303" i="19"/>
  <c r="V303" i="19"/>
  <c r="W303" i="19"/>
  <c r="X303" i="19"/>
  <c r="Z303" i="19"/>
  <c r="D301" i="32" s="1"/>
  <c r="AA303" i="19"/>
  <c r="D301" i="33" s="1"/>
  <c r="A304" i="19"/>
  <c r="B304" i="19"/>
  <c r="C304" i="19"/>
  <c r="D304" i="19"/>
  <c r="E304" i="19"/>
  <c r="F304" i="19"/>
  <c r="H304" i="19"/>
  <c r="I304" i="19"/>
  <c r="J304" i="19"/>
  <c r="K304" i="19"/>
  <c r="L304" i="19"/>
  <c r="M304" i="19"/>
  <c r="N304" i="19"/>
  <c r="P304" i="19"/>
  <c r="Q304" i="19"/>
  <c r="S304" i="19"/>
  <c r="V304" i="19"/>
  <c r="W304" i="19"/>
  <c r="X304" i="19"/>
  <c r="Z304" i="19"/>
  <c r="D302" i="32" s="1"/>
  <c r="AA304" i="19"/>
  <c r="D302" i="33" s="1"/>
  <c r="A305" i="19"/>
  <c r="B305" i="19"/>
  <c r="C305" i="19"/>
  <c r="D305" i="19"/>
  <c r="E305" i="19"/>
  <c r="F305" i="19"/>
  <c r="H305" i="19"/>
  <c r="I305" i="19"/>
  <c r="J305" i="19"/>
  <c r="K305" i="19"/>
  <c r="L305" i="19"/>
  <c r="M305" i="19"/>
  <c r="N305" i="19"/>
  <c r="P305" i="19"/>
  <c r="Q305" i="19"/>
  <c r="S305" i="19"/>
  <c r="V305" i="19"/>
  <c r="W305" i="19"/>
  <c r="X305" i="19"/>
  <c r="Z305" i="19"/>
  <c r="D303" i="32" s="1"/>
  <c r="AA305" i="19"/>
  <c r="D303" i="33" s="1"/>
  <c r="A306" i="19"/>
  <c r="B306" i="19"/>
  <c r="C306" i="19"/>
  <c r="D306" i="19"/>
  <c r="E306" i="19"/>
  <c r="F306" i="19"/>
  <c r="H306" i="19"/>
  <c r="I306" i="19"/>
  <c r="J306" i="19"/>
  <c r="K306" i="19"/>
  <c r="L306" i="19"/>
  <c r="M306" i="19"/>
  <c r="N306" i="19"/>
  <c r="P306" i="19"/>
  <c r="Q306" i="19"/>
  <c r="S306" i="19"/>
  <c r="V306" i="19"/>
  <c r="W306" i="19"/>
  <c r="X306" i="19"/>
  <c r="Z306" i="19"/>
  <c r="D304" i="32" s="1"/>
  <c r="AA306" i="19"/>
  <c r="D304" i="33" s="1"/>
  <c r="A307" i="19"/>
  <c r="B307" i="19"/>
  <c r="C307" i="19"/>
  <c r="D307" i="19"/>
  <c r="E307" i="19"/>
  <c r="F307" i="19"/>
  <c r="H307" i="19"/>
  <c r="I307" i="19"/>
  <c r="J307" i="19"/>
  <c r="K307" i="19"/>
  <c r="L307" i="19"/>
  <c r="M307" i="19"/>
  <c r="N307" i="19"/>
  <c r="P307" i="19"/>
  <c r="Q307" i="19"/>
  <c r="S307" i="19"/>
  <c r="V307" i="19"/>
  <c r="W307" i="19"/>
  <c r="X307" i="19"/>
  <c r="Z307" i="19"/>
  <c r="D305" i="32" s="1"/>
  <c r="AA307" i="19"/>
  <c r="D305" i="33" s="1"/>
  <c r="A308" i="19"/>
  <c r="B308" i="19"/>
  <c r="C308" i="19"/>
  <c r="D308" i="19"/>
  <c r="E308" i="19"/>
  <c r="F308" i="19"/>
  <c r="H308" i="19"/>
  <c r="I308" i="19"/>
  <c r="J308" i="19"/>
  <c r="K308" i="19"/>
  <c r="L308" i="19"/>
  <c r="M308" i="19"/>
  <c r="N308" i="19"/>
  <c r="P308" i="19"/>
  <c r="Q308" i="19"/>
  <c r="S308" i="19"/>
  <c r="V308" i="19"/>
  <c r="W308" i="19"/>
  <c r="X308" i="19"/>
  <c r="Z308" i="19"/>
  <c r="D306" i="32" s="1"/>
  <c r="AA308" i="19"/>
  <c r="D306" i="33" s="1"/>
  <c r="A309" i="19"/>
  <c r="B309" i="19"/>
  <c r="C309" i="19"/>
  <c r="D309" i="19"/>
  <c r="E309" i="19"/>
  <c r="F309" i="19"/>
  <c r="H309" i="19"/>
  <c r="I309" i="19"/>
  <c r="J309" i="19"/>
  <c r="K309" i="19"/>
  <c r="L309" i="19"/>
  <c r="M309" i="19"/>
  <c r="N309" i="19"/>
  <c r="P309" i="19"/>
  <c r="Q309" i="19"/>
  <c r="S309" i="19"/>
  <c r="V309" i="19"/>
  <c r="W309" i="19"/>
  <c r="X309" i="19"/>
  <c r="Z309" i="19"/>
  <c r="D307" i="32" s="1"/>
  <c r="AA309" i="19"/>
  <c r="D307" i="33" s="1"/>
  <c r="A310" i="19"/>
  <c r="B310" i="19"/>
  <c r="C310" i="19"/>
  <c r="D310" i="19"/>
  <c r="E310" i="19"/>
  <c r="F310" i="19"/>
  <c r="H310" i="19"/>
  <c r="I310" i="19"/>
  <c r="J310" i="19"/>
  <c r="K310" i="19"/>
  <c r="L310" i="19"/>
  <c r="M310" i="19"/>
  <c r="N310" i="19"/>
  <c r="P310" i="19"/>
  <c r="Q310" i="19"/>
  <c r="S310" i="19"/>
  <c r="V310" i="19"/>
  <c r="W310" i="19"/>
  <c r="X310" i="19"/>
  <c r="Z310" i="19"/>
  <c r="D308" i="32" s="1"/>
  <c r="AA310" i="19"/>
  <c r="D308" i="33" s="1"/>
  <c r="A311" i="19"/>
  <c r="B311" i="19"/>
  <c r="C311" i="19"/>
  <c r="D311" i="19"/>
  <c r="E311" i="19"/>
  <c r="F311" i="19"/>
  <c r="H311" i="19"/>
  <c r="I311" i="19"/>
  <c r="J311" i="19"/>
  <c r="K311" i="19"/>
  <c r="L311" i="19"/>
  <c r="M311" i="19"/>
  <c r="N311" i="19"/>
  <c r="P311" i="19"/>
  <c r="Q311" i="19"/>
  <c r="S311" i="19"/>
  <c r="V311" i="19"/>
  <c r="W311" i="19"/>
  <c r="X311" i="19"/>
  <c r="Z311" i="19"/>
  <c r="D309" i="32" s="1"/>
  <c r="AA311" i="19"/>
  <c r="D309" i="33" s="1"/>
  <c r="A312" i="19"/>
  <c r="B312" i="19"/>
  <c r="C312" i="19"/>
  <c r="D312" i="19"/>
  <c r="E312" i="19"/>
  <c r="F312" i="19"/>
  <c r="H312" i="19"/>
  <c r="I312" i="19"/>
  <c r="J312" i="19"/>
  <c r="K312" i="19"/>
  <c r="L312" i="19"/>
  <c r="M312" i="19"/>
  <c r="N312" i="19"/>
  <c r="P312" i="19"/>
  <c r="Q312" i="19"/>
  <c r="S312" i="19"/>
  <c r="V312" i="19"/>
  <c r="W312" i="19"/>
  <c r="X312" i="19"/>
  <c r="Z312" i="19"/>
  <c r="D310" i="32" s="1"/>
  <c r="AA312" i="19"/>
  <c r="D310" i="33" s="1"/>
  <c r="A313" i="19"/>
  <c r="B313" i="19"/>
  <c r="C313" i="19"/>
  <c r="D313" i="19"/>
  <c r="E313" i="19"/>
  <c r="F313" i="19"/>
  <c r="H313" i="19"/>
  <c r="I313" i="19"/>
  <c r="J313" i="19"/>
  <c r="K313" i="19"/>
  <c r="L313" i="19"/>
  <c r="M313" i="19"/>
  <c r="N313" i="19"/>
  <c r="P313" i="19"/>
  <c r="Q313" i="19"/>
  <c r="S313" i="19"/>
  <c r="V313" i="19"/>
  <c r="W313" i="19"/>
  <c r="X313" i="19"/>
  <c r="Z313" i="19"/>
  <c r="D311" i="32" s="1"/>
  <c r="AA313" i="19"/>
  <c r="D311" i="33" s="1"/>
  <c r="A314" i="19"/>
  <c r="B314" i="19"/>
  <c r="C314" i="19"/>
  <c r="D314" i="19"/>
  <c r="E314" i="19"/>
  <c r="F314" i="19"/>
  <c r="H314" i="19"/>
  <c r="I314" i="19"/>
  <c r="J314" i="19"/>
  <c r="K314" i="19"/>
  <c r="L314" i="19"/>
  <c r="M314" i="19"/>
  <c r="N314" i="19"/>
  <c r="P314" i="19"/>
  <c r="Q314" i="19"/>
  <c r="S314" i="19"/>
  <c r="V314" i="19"/>
  <c r="W314" i="19"/>
  <c r="X314" i="19"/>
  <c r="Z314" i="19"/>
  <c r="D312" i="32" s="1"/>
  <c r="AA314" i="19"/>
  <c r="D312" i="33" s="1"/>
  <c r="O302" i="19" l="1"/>
  <c r="O270" i="19"/>
  <c r="O146" i="19"/>
  <c r="O16" i="19"/>
  <c r="O307" i="19"/>
  <c r="O283" i="19"/>
  <c r="O203" i="19"/>
  <c r="O195" i="19"/>
  <c r="O187" i="19"/>
  <c r="O183" i="19"/>
  <c r="O291" i="19"/>
  <c r="Y169" i="19"/>
  <c r="C167" i="32" s="1"/>
  <c r="Y161" i="19"/>
  <c r="C159" i="32" s="1"/>
  <c r="Y13" i="19"/>
  <c r="C11" i="32" s="1"/>
  <c r="Y204" i="19"/>
  <c r="C202" i="32" s="1"/>
  <c r="Y144" i="19"/>
  <c r="C142" i="32" s="1"/>
  <c r="Y89" i="19"/>
  <c r="C87" i="32" s="1"/>
  <c r="Y87" i="19"/>
  <c r="C85" i="32" s="1"/>
  <c r="E85" i="32" s="1"/>
  <c r="Y16" i="19"/>
  <c r="C14" i="32" s="1"/>
  <c r="Y139" i="19"/>
  <c r="C137" i="32" s="1"/>
  <c r="Y46" i="19"/>
  <c r="C44" i="32" s="1"/>
  <c r="O59" i="19"/>
  <c r="O43" i="19"/>
  <c r="O8" i="19"/>
  <c r="R8" i="19" s="1"/>
  <c r="U8" i="19" s="1"/>
  <c r="O143" i="19"/>
  <c r="O103" i="19"/>
  <c r="O90" i="19"/>
  <c r="O165" i="19"/>
  <c r="O161" i="19"/>
  <c r="G158" i="19"/>
  <c r="T158" i="19" s="1"/>
  <c r="O157" i="19"/>
  <c r="O153" i="19"/>
  <c r="G150" i="19"/>
  <c r="O149" i="19"/>
  <c r="O142" i="19"/>
  <c r="O138" i="19"/>
  <c r="O130" i="19"/>
  <c r="O122" i="19"/>
  <c r="O45" i="19"/>
  <c r="O30" i="19"/>
  <c r="O135" i="19"/>
  <c r="O107" i="19"/>
  <c r="G93" i="19"/>
  <c r="O12" i="19"/>
  <c r="Y300" i="19"/>
  <c r="C298" i="32" s="1"/>
  <c r="Y196" i="19"/>
  <c r="C194" i="32" s="1"/>
  <c r="Y162" i="19"/>
  <c r="C160" i="32" s="1"/>
  <c r="Y31" i="19"/>
  <c r="C29" i="32" s="1"/>
  <c r="E29" i="32" s="1"/>
  <c r="O44" i="19"/>
  <c r="O170" i="19"/>
  <c r="O269" i="19"/>
  <c r="Y86" i="19"/>
  <c r="C84" i="32" s="1"/>
  <c r="E84" i="32" s="1"/>
  <c r="Y148" i="19"/>
  <c r="C146" i="32" s="1"/>
  <c r="G140" i="19"/>
  <c r="O22" i="19"/>
  <c r="O238" i="19"/>
  <c r="Y231" i="19"/>
  <c r="C229" i="32" s="1"/>
  <c r="O206" i="19"/>
  <c r="Y205" i="19"/>
  <c r="C203" i="32" s="1"/>
  <c r="E203" i="32" s="1"/>
  <c r="O179" i="19"/>
  <c r="O80" i="19"/>
  <c r="O56" i="19"/>
  <c r="O233" i="19"/>
  <c r="O303" i="19"/>
  <c r="Y280" i="19"/>
  <c r="C278" i="32" s="1"/>
  <c r="E278" i="32" s="1"/>
  <c r="O263" i="19"/>
  <c r="O199" i="19"/>
  <c r="O65" i="19"/>
  <c r="O49" i="19"/>
  <c r="O41" i="19"/>
  <c r="Y34" i="19"/>
  <c r="C32" i="32" s="1"/>
  <c r="Y27" i="19"/>
  <c r="C25" i="32" s="1"/>
  <c r="E25" i="32" s="1"/>
  <c r="O26" i="19"/>
  <c r="G25" i="19"/>
  <c r="Y19" i="19"/>
  <c r="C17" i="32" s="1"/>
  <c r="E17" i="32" s="1"/>
  <c r="O274" i="19"/>
  <c r="O258" i="19"/>
  <c r="Y251" i="19"/>
  <c r="C249" i="32" s="1"/>
  <c r="O250" i="19"/>
  <c r="O242" i="19"/>
  <c r="R242" i="19" s="1"/>
  <c r="U242" i="19" s="1"/>
  <c r="O234" i="19"/>
  <c r="O226" i="19"/>
  <c r="O218" i="19"/>
  <c r="O210" i="19"/>
  <c r="O186" i="19"/>
  <c r="Y176" i="19"/>
  <c r="C174" i="32" s="1"/>
  <c r="O175" i="19"/>
  <c r="O162" i="19"/>
  <c r="O76" i="19"/>
  <c r="Y69" i="19"/>
  <c r="C67" i="32" s="1"/>
  <c r="Y61" i="19"/>
  <c r="C59" i="32" s="1"/>
  <c r="E59" i="32" s="1"/>
  <c r="O60" i="19"/>
  <c r="G59" i="19"/>
  <c r="T59" i="19" s="1"/>
  <c r="Y53" i="19"/>
  <c r="C51" i="32" s="1"/>
  <c r="E51" i="32" s="1"/>
  <c r="O281" i="19"/>
  <c r="Y312" i="19"/>
  <c r="C310" i="32" s="1"/>
  <c r="E310" i="32" s="1"/>
  <c r="O308" i="19"/>
  <c r="O300" i="19"/>
  <c r="O246" i="19"/>
  <c r="O227" i="19"/>
  <c r="O219" i="19"/>
  <c r="Y193" i="19"/>
  <c r="C191" i="32" s="1"/>
  <c r="O173" i="19"/>
  <c r="Y172" i="19"/>
  <c r="C170" i="32" s="1"/>
  <c r="E170" i="32" s="1"/>
  <c r="O159" i="19"/>
  <c r="O154" i="19"/>
  <c r="O140" i="19"/>
  <c r="Y128" i="19"/>
  <c r="C126" i="32" s="1"/>
  <c r="O127" i="19"/>
  <c r="Y117" i="19"/>
  <c r="C115" i="32" s="1"/>
  <c r="E115" i="32" s="1"/>
  <c r="Y112" i="19"/>
  <c r="C110" i="32" s="1"/>
  <c r="O111" i="19"/>
  <c r="R111" i="19" s="1"/>
  <c r="U111" i="19" s="1"/>
  <c r="G102" i="19"/>
  <c r="O92" i="19"/>
  <c r="O87" i="19"/>
  <c r="O51" i="19"/>
  <c r="O20" i="19"/>
  <c r="G202" i="19"/>
  <c r="T202" i="19" s="1"/>
  <c r="O190" i="19"/>
  <c r="G183" i="19"/>
  <c r="T183" i="19" s="1"/>
  <c r="Y164" i="19"/>
  <c r="C162" i="32" s="1"/>
  <c r="Y80" i="19"/>
  <c r="C78" i="32" s="1"/>
  <c r="O79" i="19"/>
  <c r="E14" i="32"/>
  <c r="O260" i="19"/>
  <c r="O252" i="19"/>
  <c r="O244" i="19"/>
  <c r="Y237" i="19"/>
  <c r="C235" i="32" s="1"/>
  <c r="E235" i="32" s="1"/>
  <c r="O236" i="19"/>
  <c r="G235" i="19"/>
  <c r="O228" i="19"/>
  <c r="O220" i="19"/>
  <c r="O212" i="19"/>
  <c r="G187" i="19"/>
  <c r="T187" i="19" s="1"/>
  <c r="Y184" i="19"/>
  <c r="C182" i="32" s="1"/>
  <c r="O160" i="19"/>
  <c r="Y153" i="19"/>
  <c r="C151" i="32" s="1"/>
  <c r="O82" i="19"/>
  <c r="Y78" i="19"/>
  <c r="C76" i="32" s="1"/>
  <c r="E76" i="32" s="1"/>
  <c r="Y37" i="19"/>
  <c r="C35" i="32" s="1"/>
  <c r="E35" i="32" s="1"/>
  <c r="G35" i="19"/>
  <c r="G31" i="19"/>
  <c r="Y30" i="19"/>
  <c r="C28" i="32" s="1"/>
  <c r="O10" i="19"/>
  <c r="O271" i="19"/>
  <c r="Y297" i="19"/>
  <c r="C295" i="32" s="1"/>
  <c r="Y289" i="19"/>
  <c r="C287" i="32" s="1"/>
  <c r="Y278" i="19"/>
  <c r="C276" i="32" s="1"/>
  <c r="O266" i="19"/>
  <c r="G262" i="19"/>
  <c r="Y256" i="19"/>
  <c r="C254" i="32" s="1"/>
  <c r="E254" i="32" s="1"/>
  <c r="O255" i="19"/>
  <c r="O247" i="19"/>
  <c r="Y240" i="19"/>
  <c r="C238" i="32" s="1"/>
  <c r="E238" i="32" s="1"/>
  <c r="O239" i="19"/>
  <c r="Y232" i="19"/>
  <c r="C230" i="32" s="1"/>
  <c r="O231" i="19"/>
  <c r="O166" i="19"/>
  <c r="O155" i="19"/>
  <c r="O150" i="19"/>
  <c r="R150" i="19" s="1"/>
  <c r="U150" i="19" s="1"/>
  <c r="O147" i="19"/>
  <c r="O136" i="19"/>
  <c r="Y129" i="19"/>
  <c r="C127" i="32" s="1"/>
  <c r="O128" i="19"/>
  <c r="O112" i="19"/>
  <c r="O91" i="19"/>
  <c r="O88" i="19"/>
  <c r="O47" i="19"/>
  <c r="R47" i="19" s="1"/>
  <c r="U47" i="19" s="1"/>
  <c r="O39" i="19"/>
  <c r="O24" i="19"/>
  <c r="G314" i="19"/>
  <c r="E298" i="32"/>
  <c r="G290" i="19"/>
  <c r="T290" i="19" s="1"/>
  <c r="Y254" i="19"/>
  <c r="C252" i="32" s="1"/>
  <c r="E252" i="32" s="1"/>
  <c r="G252" i="19"/>
  <c r="T252" i="19" s="1"/>
  <c r="E249" i="32"/>
  <c r="Y206" i="19"/>
  <c r="C204" i="32" s="1"/>
  <c r="G166" i="19"/>
  <c r="T166" i="19" s="1"/>
  <c r="O83" i="19"/>
  <c r="O310" i="19"/>
  <c r="O278" i="19"/>
  <c r="O267" i="19"/>
  <c r="Y252" i="19"/>
  <c r="C250" i="32" s="1"/>
  <c r="E250" i="32" s="1"/>
  <c r="O248" i="19"/>
  <c r="O208" i="19"/>
  <c r="O189" i="19"/>
  <c r="O167" i="19"/>
  <c r="O129" i="19"/>
  <c r="Y122" i="19"/>
  <c r="C120" i="32" s="1"/>
  <c r="G120" i="19"/>
  <c r="T120" i="19" s="1"/>
  <c r="O86" i="19"/>
  <c r="O78" i="19"/>
  <c r="O70" i="19"/>
  <c r="O67" i="19"/>
  <c r="G47" i="19"/>
  <c r="G32" i="19"/>
  <c r="O17" i="19"/>
  <c r="R59" i="19"/>
  <c r="U59" i="19" s="1"/>
  <c r="C57" i="39" s="1"/>
  <c r="O306" i="19"/>
  <c r="Y313" i="19"/>
  <c r="C311" i="32" s="1"/>
  <c r="E311" i="32" s="1"/>
  <c r="O312" i="19"/>
  <c r="Y305" i="19"/>
  <c r="C303" i="32" s="1"/>
  <c r="G295" i="19"/>
  <c r="T295" i="19" s="1"/>
  <c r="Y292" i="19"/>
  <c r="C290" i="32" s="1"/>
  <c r="Y284" i="19"/>
  <c r="C282" i="32" s="1"/>
  <c r="Y281" i="19"/>
  <c r="C279" i="32" s="1"/>
  <c r="E279" i="32" s="1"/>
  <c r="Y272" i="19"/>
  <c r="C270" i="32" s="1"/>
  <c r="E270" i="32" s="1"/>
  <c r="G270" i="19"/>
  <c r="T270" i="19" s="1"/>
  <c r="G268" i="19"/>
  <c r="Y264" i="19"/>
  <c r="C262" i="32" s="1"/>
  <c r="E262" i="32" s="1"/>
  <c r="Y253" i="19"/>
  <c r="C251" i="32" s="1"/>
  <c r="E251" i="32" s="1"/>
  <c r="Y248" i="19"/>
  <c r="C246" i="32" s="1"/>
  <c r="E246" i="32" s="1"/>
  <c r="G246" i="19"/>
  <c r="G243" i="19"/>
  <c r="T243" i="19" s="1"/>
  <c r="G237" i="19"/>
  <c r="T237" i="19" s="1"/>
  <c r="Y225" i="19"/>
  <c r="C223" i="32" s="1"/>
  <c r="E223" i="32" s="1"/>
  <c r="Y217" i="19"/>
  <c r="C215" i="32" s="1"/>
  <c r="Y212" i="19"/>
  <c r="C210" i="32" s="1"/>
  <c r="Y190" i="19"/>
  <c r="C188" i="32" s="1"/>
  <c r="E188" i="32" s="1"/>
  <c r="G176" i="19"/>
  <c r="G174" i="19"/>
  <c r="T174" i="19" s="1"/>
  <c r="Y170" i="19"/>
  <c r="C168" i="32" s="1"/>
  <c r="E168" i="32" s="1"/>
  <c r="Y156" i="19"/>
  <c r="C154" i="32" s="1"/>
  <c r="G153" i="19"/>
  <c r="T153" i="19" s="1"/>
  <c r="Y152" i="19"/>
  <c r="C150" i="32" s="1"/>
  <c r="Y136" i="19"/>
  <c r="C134" i="32" s="1"/>
  <c r="Y113" i="19"/>
  <c r="C111" i="32" s="1"/>
  <c r="E111" i="32" s="1"/>
  <c r="G103" i="19"/>
  <c r="T103" i="19" s="1"/>
  <c r="Y102" i="19"/>
  <c r="C100" i="32" s="1"/>
  <c r="Y81" i="19"/>
  <c r="C79" i="32" s="1"/>
  <c r="E79" i="32" s="1"/>
  <c r="G75" i="19"/>
  <c r="T75" i="19" s="1"/>
  <c r="G67" i="19"/>
  <c r="T67" i="19" s="1"/>
  <c r="Y66" i="19"/>
  <c r="C64" i="32" s="1"/>
  <c r="G64" i="19"/>
  <c r="Y57" i="19"/>
  <c r="C55" i="32" s="1"/>
  <c r="G260" i="19"/>
  <c r="T260" i="19" s="1"/>
  <c r="G254" i="19"/>
  <c r="G249" i="19"/>
  <c r="T249" i="19" s="1"/>
  <c r="G238" i="19"/>
  <c r="T238" i="19" s="1"/>
  <c r="O230" i="19"/>
  <c r="O222" i="19"/>
  <c r="O214" i="19"/>
  <c r="G210" i="19"/>
  <c r="R210" i="19" s="1"/>
  <c r="U210" i="19" s="1"/>
  <c r="G182" i="19"/>
  <c r="T182" i="19" s="1"/>
  <c r="G151" i="19"/>
  <c r="G142" i="19"/>
  <c r="T142" i="19" s="1"/>
  <c r="G137" i="19"/>
  <c r="G134" i="19"/>
  <c r="T134" i="19" s="1"/>
  <c r="E120" i="32"/>
  <c r="O118" i="19"/>
  <c r="O115" i="19"/>
  <c r="O104" i="19"/>
  <c r="O99" i="19"/>
  <c r="Y97" i="19"/>
  <c r="C95" i="32" s="1"/>
  <c r="E95" i="32" s="1"/>
  <c r="O96" i="19"/>
  <c r="O85" i="19"/>
  <c r="G84" i="19"/>
  <c r="G73" i="19"/>
  <c r="Y72" i="19"/>
  <c r="C70" i="32" s="1"/>
  <c r="O71" i="19"/>
  <c r="O68" i="19"/>
  <c r="G17" i="19"/>
  <c r="R17" i="19" s="1"/>
  <c r="U17" i="19" s="1"/>
  <c r="Y11" i="19"/>
  <c r="C9" i="32" s="1"/>
  <c r="E9" i="32" s="1"/>
  <c r="G296" i="19"/>
  <c r="T296" i="19" s="1"/>
  <c r="Y287" i="19"/>
  <c r="C285" i="32" s="1"/>
  <c r="Y265" i="19"/>
  <c r="C263" i="32" s="1"/>
  <c r="O261" i="19"/>
  <c r="G247" i="19"/>
  <c r="T247" i="19" s="1"/>
  <c r="G244" i="19"/>
  <c r="T244" i="19" s="1"/>
  <c r="Y229" i="19"/>
  <c r="C227" i="32" s="1"/>
  <c r="G224" i="19"/>
  <c r="T224" i="19" s="1"/>
  <c r="Y221" i="19"/>
  <c r="C219" i="32" s="1"/>
  <c r="E219" i="32" s="1"/>
  <c r="G216" i="19"/>
  <c r="O198" i="19"/>
  <c r="G186" i="19"/>
  <c r="T186" i="19" s="1"/>
  <c r="O178" i="19"/>
  <c r="O158" i="19"/>
  <c r="O152" i="19"/>
  <c r="O133" i="19"/>
  <c r="R133" i="19" s="1"/>
  <c r="U133" i="19" s="1"/>
  <c r="Y132" i="19"/>
  <c r="C130" i="32" s="1"/>
  <c r="G129" i="19"/>
  <c r="G126" i="19"/>
  <c r="G110" i="19"/>
  <c r="O77" i="19"/>
  <c r="G76" i="19"/>
  <c r="T76" i="19" s="1"/>
  <c r="G68" i="19"/>
  <c r="Y67" i="19"/>
  <c r="C65" i="32" s="1"/>
  <c r="E65" i="32" s="1"/>
  <c r="O57" i="19"/>
  <c r="Y47" i="19"/>
  <c r="C45" i="32" s="1"/>
  <c r="E45" i="32" s="1"/>
  <c r="G44" i="19"/>
  <c r="R44" i="19" s="1"/>
  <c r="U44" i="19" s="1"/>
  <c r="F42" i="32" s="1"/>
  <c r="O32" i="19"/>
  <c r="R32" i="19" s="1"/>
  <c r="U32" i="19" s="1"/>
  <c r="Y257" i="19"/>
  <c r="C255" i="32" s="1"/>
  <c r="G230" i="19"/>
  <c r="R230" i="19" s="1"/>
  <c r="U230" i="19" s="1"/>
  <c r="G222" i="19"/>
  <c r="G214" i="19"/>
  <c r="T214" i="19" s="1"/>
  <c r="Y213" i="19"/>
  <c r="C211" i="32" s="1"/>
  <c r="G192" i="19"/>
  <c r="G175" i="19"/>
  <c r="T175" i="19" s="1"/>
  <c r="G169" i="19"/>
  <c r="T169" i="19" s="1"/>
  <c r="Y168" i="19"/>
  <c r="C166" i="32" s="1"/>
  <c r="Y154" i="19"/>
  <c r="C152" i="32" s="1"/>
  <c r="E152" i="32" s="1"/>
  <c r="G135" i="19"/>
  <c r="E110" i="32"/>
  <c r="Y93" i="19"/>
  <c r="C91" i="32" s="1"/>
  <c r="G91" i="19"/>
  <c r="T91" i="19" s="1"/>
  <c r="Y79" i="19"/>
  <c r="C77" i="32" s="1"/>
  <c r="E77" i="32" s="1"/>
  <c r="Y59" i="19"/>
  <c r="C57" i="32" s="1"/>
  <c r="E57" i="32" s="1"/>
  <c r="Y50" i="19"/>
  <c r="C48" i="32" s="1"/>
  <c r="G299" i="19"/>
  <c r="O292" i="19"/>
  <c r="R292" i="19" s="1"/>
  <c r="U292" i="19" s="1"/>
  <c r="O284" i="19"/>
  <c r="Y277" i="19"/>
  <c r="C275" i="32" s="1"/>
  <c r="E275" i="32" s="1"/>
  <c r="Y274" i="19"/>
  <c r="C272" i="32" s="1"/>
  <c r="E272" i="32" s="1"/>
  <c r="O259" i="19"/>
  <c r="G250" i="19"/>
  <c r="G236" i="19"/>
  <c r="T236" i="19" s="1"/>
  <c r="Y224" i="19"/>
  <c r="C222" i="32" s="1"/>
  <c r="O223" i="19"/>
  <c r="Y216" i="19"/>
  <c r="C214" i="32" s="1"/>
  <c r="O215" i="19"/>
  <c r="G209" i="19"/>
  <c r="Y208" i="19"/>
  <c r="C206" i="32" s="1"/>
  <c r="O207" i="19"/>
  <c r="G203" i="19"/>
  <c r="R203" i="19" s="1"/>
  <c r="U203" i="19" s="1"/>
  <c r="Y197" i="19"/>
  <c r="C195" i="32" s="1"/>
  <c r="G195" i="19"/>
  <c r="R195" i="19" s="1"/>
  <c r="U195" i="19" s="1"/>
  <c r="O188" i="19"/>
  <c r="Y177" i="19"/>
  <c r="C175" i="32" s="1"/>
  <c r="E175" i="32" s="1"/>
  <c r="G167" i="19"/>
  <c r="G138" i="19"/>
  <c r="O134" i="19"/>
  <c r="O131" i="19"/>
  <c r="R131" i="19" s="1"/>
  <c r="U131" i="19" s="1"/>
  <c r="O125" i="19"/>
  <c r="Y124" i="19"/>
  <c r="C122" i="32" s="1"/>
  <c r="E122" i="32" s="1"/>
  <c r="G121" i="19"/>
  <c r="G99" i="19"/>
  <c r="T99" i="19" s="1"/>
  <c r="O95" i="19"/>
  <c r="Y85" i="19"/>
  <c r="C83" i="32" s="1"/>
  <c r="O84" i="19"/>
  <c r="O75" i="19"/>
  <c r="G74" i="19"/>
  <c r="G60" i="19"/>
  <c r="T60" i="19" s="1"/>
  <c r="O55" i="19"/>
  <c r="O52" i="19"/>
  <c r="G51" i="19"/>
  <c r="G45" i="19"/>
  <c r="Y41" i="19"/>
  <c r="C39" i="32" s="1"/>
  <c r="E39" i="32" s="1"/>
  <c r="O40" i="19"/>
  <c r="G29" i="19"/>
  <c r="Y23" i="19"/>
  <c r="C21" i="32" s="1"/>
  <c r="E21" i="32" s="1"/>
  <c r="O295" i="19"/>
  <c r="G264" i="19"/>
  <c r="T264" i="19" s="1"/>
  <c r="O262" i="19"/>
  <c r="O254" i="19"/>
  <c r="R254" i="19" s="1"/>
  <c r="U254" i="19" s="1"/>
  <c r="G245" i="19"/>
  <c r="Y211" i="19"/>
  <c r="C209" i="32" s="1"/>
  <c r="E209" i="32" s="1"/>
  <c r="Y200" i="19"/>
  <c r="C198" i="32" s="1"/>
  <c r="Y192" i="19"/>
  <c r="C190" i="32" s="1"/>
  <c r="E190" i="32" s="1"/>
  <c r="Y180" i="19"/>
  <c r="C178" i="32" s="1"/>
  <c r="G161" i="19"/>
  <c r="R161" i="19" s="1"/>
  <c r="U161" i="19" s="1"/>
  <c r="Y160" i="19"/>
  <c r="C158" i="32" s="1"/>
  <c r="Y146" i="19"/>
  <c r="C144" i="32" s="1"/>
  <c r="G141" i="19"/>
  <c r="G127" i="19"/>
  <c r="Y107" i="19"/>
  <c r="C105" i="32" s="1"/>
  <c r="G83" i="19"/>
  <c r="T83" i="19" s="1"/>
  <c r="Y68" i="19"/>
  <c r="C66" i="32" s="1"/>
  <c r="E66" i="32" s="1"/>
  <c r="G42" i="19"/>
  <c r="Y18" i="19"/>
  <c r="C16" i="32" s="1"/>
  <c r="Y310" i="19"/>
  <c r="C308" i="32" s="1"/>
  <c r="E308" i="32" s="1"/>
  <c r="G306" i="19"/>
  <c r="T306" i="19" s="1"/>
  <c r="O298" i="19"/>
  <c r="Y294" i="19"/>
  <c r="C292" i="32" s="1"/>
  <c r="O290" i="19"/>
  <c r="R290" i="19" s="1"/>
  <c r="U290" i="19" s="1"/>
  <c r="C288" i="39" s="1"/>
  <c r="O282" i="19"/>
  <c r="O268" i="19"/>
  <c r="G256" i="19"/>
  <c r="O241" i="19"/>
  <c r="Y239" i="19"/>
  <c r="C237" i="32" s="1"/>
  <c r="O229" i="19"/>
  <c r="G228" i="19"/>
  <c r="T228" i="19" s="1"/>
  <c r="Y222" i="19"/>
  <c r="C220" i="32" s="1"/>
  <c r="O221" i="19"/>
  <c r="G220" i="19"/>
  <c r="T220" i="19" s="1"/>
  <c r="Y214" i="19"/>
  <c r="C212" i="32" s="1"/>
  <c r="G212" i="19"/>
  <c r="T212" i="19" s="1"/>
  <c r="G207" i="19"/>
  <c r="T207" i="19" s="1"/>
  <c r="O202" i="19"/>
  <c r="R202" i="19" s="1"/>
  <c r="U202" i="19" s="1"/>
  <c r="O194" i="19"/>
  <c r="G188" i="19"/>
  <c r="T188" i="19" s="1"/>
  <c r="O182" i="19"/>
  <c r="O174" i="19"/>
  <c r="O168" i="19"/>
  <c r="G159" i="19"/>
  <c r="O151" i="19"/>
  <c r="R151" i="19" s="1"/>
  <c r="U151" i="19" s="1"/>
  <c r="O137" i="19"/>
  <c r="R137" i="19" s="1"/>
  <c r="U137" i="19" s="1"/>
  <c r="Y130" i="19"/>
  <c r="C128" i="32" s="1"/>
  <c r="O126" i="19"/>
  <c r="R126" i="19" s="1"/>
  <c r="U126" i="19" s="1"/>
  <c r="O123" i="19"/>
  <c r="O120" i="19"/>
  <c r="Y110" i="19"/>
  <c r="C108" i="32" s="1"/>
  <c r="O109" i="19"/>
  <c r="G92" i="19"/>
  <c r="T92" i="19" s="1"/>
  <c r="Y77" i="19"/>
  <c r="C75" i="32" s="1"/>
  <c r="O73" i="19"/>
  <c r="O62" i="19"/>
  <c r="Y60" i="19"/>
  <c r="C58" i="32" s="1"/>
  <c r="O50" i="19"/>
  <c r="Y49" i="19"/>
  <c r="C47" i="32" s="1"/>
  <c r="G46" i="19"/>
  <c r="O38" i="19"/>
  <c r="Y36" i="19"/>
  <c r="C34" i="32" s="1"/>
  <c r="E34" i="32" s="1"/>
  <c r="O35" i="19"/>
  <c r="R35" i="19" s="1"/>
  <c r="U35" i="19" s="1"/>
  <c r="O28" i="19"/>
  <c r="Y12" i="19"/>
  <c r="C10" i="32" s="1"/>
  <c r="Y38" i="19"/>
  <c r="C36" i="32" s="1"/>
  <c r="E36" i="32" s="1"/>
  <c r="Y35" i="19"/>
  <c r="C33" i="32" s="1"/>
  <c r="E33" i="32" s="1"/>
  <c r="O34" i="19"/>
  <c r="Y33" i="19"/>
  <c r="C31" i="32" s="1"/>
  <c r="E31" i="32" s="1"/>
  <c r="Y28" i="19"/>
  <c r="C26" i="32" s="1"/>
  <c r="E26" i="32" s="1"/>
  <c r="G23" i="19"/>
  <c r="O21" i="19"/>
  <c r="O19" i="19"/>
  <c r="G18" i="19"/>
  <c r="T18" i="19" s="1"/>
  <c r="Y17" i="19"/>
  <c r="C15" i="32" s="1"/>
  <c r="E15" i="32" s="1"/>
  <c r="O15" i="19"/>
  <c r="Y14" i="19"/>
  <c r="C12" i="32" s="1"/>
  <c r="E12" i="32" s="1"/>
  <c r="G14" i="19"/>
  <c r="G12" i="19"/>
  <c r="G11" i="19"/>
  <c r="T11" i="19" s="1"/>
  <c r="Y10" i="19"/>
  <c r="C8" i="32" s="1"/>
  <c r="O9" i="19"/>
  <c r="G8" i="19"/>
  <c r="G40" i="19"/>
  <c r="G28" i="19"/>
  <c r="G27" i="19"/>
  <c r="R27" i="19" s="1"/>
  <c r="U27" i="19" s="1"/>
  <c r="Y26" i="19"/>
  <c r="C24" i="32" s="1"/>
  <c r="O25" i="19"/>
  <c r="R25" i="19" s="1"/>
  <c r="U25" i="19" s="1"/>
  <c r="G24" i="19"/>
  <c r="G9" i="19"/>
  <c r="E295" i="32"/>
  <c r="E287" i="32"/>
  <c r="E276" i="32"/>
  <c r="E142" i="32"/>
  <c r="E227" i="32"/>
  <c r="T126" i="19"/>
  <c r="R68" i="19"/>
  <c r="U68" i="19" s="1"/>
  <c r="T68" i="19"/>
  <c r="E166" i="32"/>
  <c r="T135" i="19"/>
  <c r="E91" i="32"/>
  <c r="R167" i="19"/>
  <c r="U167" i="19" s="1"/>
  <c r="E83" i="32"/>
  <c r="E204" i="32"/>
  <c r="E158" i="32"/>
  <c r="T150" i="19"/>
  <c r="E292" i="32"/>
  <c r="E212" i="32"/>
  <c r="E75" i="32"/>
  <c r="E303" i="32"/>
  <c r="E150" i="32"/>
  <c r="E134" i="32"/>
  <c r="Y291" i="19"/>
  <c r="C289" i="32" s="1"/>
  <c r="E289" i="32" s="1"/>
  <c r="O311" i="19"/>
  <c r="Y309" i="19"/>
  <c r="C307" i="32" s="1"/>
  <c r="E307" i="32" s="1"/>
  <c r="Y306" i="19"/>
  <c r="C304" i="32" s="1"/>
  <c r="E304" i="32" s="1"/>
  <c r="O304" i="19"/>
  <c r="O301" i="19"/>
  <c r="Y245" i="19"/>
  <c r="C243" i="32" s="1"/>
  <c r="G310" i="19"/>
  <c r="G307" i="19"/>
  <c r="R307" i="19" s="1"/>
  <c r="U307" i="19" s="1"/>
  <c r="G303" i="19"/>
  <c r="G300" i="19"/>
  <c r="G297" i="19"/>
  <c r="O294" i="19"/>
  <c r="G289" i="19"/>
  <c r="T289" i="19" s="1"/>
  <c r="O287" i="19"/>
  <c r="G286" i="19"/>
  <c r="G276" i="19"/>
  <c r="G261" i="19"/>
  <c r="T261" i="19" s="1"/>
  <c r="O251" i="19"/>
  <c r="Y249" i="19"/>
  <c r="C247" i="32" s="1"/>
  <c r="Y246" i="19"/>
  <c r="C244" i="32" s="1"/>
  <c r="Y242" i="19"/>
  <c r="C240" i="32" s="1"/>
  <c r="E240" i="32" s="1"/>
  <c r="Y234" i="19"/>
  <c r="C232" i="32" s="1"/>
  <c r="E232" i="32" s="1"/>
  <c r="G227" i="19"/>
  <c r="O225" i="19"/>
  <c r="Y223" i="19"/>
  <c r="C221" i="32" s="1"/>
  <c r="G219" i="19"/>
  <c r="O217" i="19"/>
  <c r="Y215" i="19"/>
  <c r="C213" i="32" s="1"/>
  <c r="O213" i="19"/>
  <c r="G208" i="19"/>
  <c r="O180" i="19"/>
  <c r="G172" i="19"/>
  <c r="T172" i="19" s="1"/>
  <c r="Y171" i="19"/>
  <c r="C169" i="32" s="1"/>
  <c r="G168" i="19"/>
  <c r="G164" i="19"/>
  <c r="T164" i="19" s="1"/>
  <c r="Y163" i="19"/>
  <c r="C161" i="32" s="1"/>
  <c r="G160" i="19"/>
  <c r="G156" i="19"/>
  <c r="Y155" i="19"/>
  <c r="C153" i="32" s="1"/>
  <c r="E153" i="32" s="1"/>
  <c r="G152" i="19"/>
  <c r="G148" i="19"/>
  <c r="Y147" i="19"/>
  <c r="C145" i="32" s="1"/>
  <c r="G145" i="19"/>
  <c r="T145" i="19" s="1"/>
  <c r="O139" i="19"/>
  <c r="Y137" i="19"/>
  <c r="C135" i="32" s="1"/>
  <c r="E135" i="32" s="1"/>
  <c r="G133" i="19"/>
  <c r="G130" i="19"/>
  <c r="G122" i="19"/>
  <c r="G108" i="19"/>
  <c r="G107" i="19"/>
  <c r="Y104" i="19"/>
  <c r="C102" i="32" s="1"/>
  <c r="E102" i="32" s="1"/>
  <c r="Y101" i="19"/>
  <c r="C99" i="32" s="1"/>
  <c r="G87" i="19"/>
  <c r="T87" i="19" s="1"/>
  <c r="G82" i="19"/>
  <c r="G79" i="19"/>
  <c r="O72" i="19"/>
  <c r="G71" i="19"/>
  <c r="R71" i="19" s="1"/>
  <c r="U71" i="19" s="1"/>
  <c r="O69" i="19"/>
  <c r="G66" i="19"/>
  <c r="T66" i="19" s="1"/>
  <c r="G56" i="19"/>
  <c r="E44" i="32"/>
  <c r="G43" i="19"/>
  <c r="E32" i="32"/>
  <c r="E263" i="32"/>
  <c r="E255" i="32"/>
  <c r="E230" i="32"/>
  <c r="E195" i="32"/>
  <c r="E162" i="32"/>
  <c r="E146" i="32"/>
  <c r="E128" i="32"/>
  <c r="E58" i="32"/>
  <c r="E48" i="32"/>
  <c r="E28" i="32"/>
  <c r="O299" i="19"/>
  <c r="R299" i="19" s="1"/>
  <c r="U299" i="19" s="1"/>
  <c r="Y286" i="19"/>
  <c r="C284" i="32" s="1"/>
  <c r="O285" i="19"/>
  <c r="E282" i="32"/>
  <c r="G284" i="19"/>
  <c r="R284" i="19" s="1"/>
  <c r="U284" i="19" s="1"/>
  <c r="Y283" i="19"/>
  <c r="C281" i="32" s="1"/>
  <c r="E281" i="32" s="1"/>
  <c r="Y276" i="19"/>
  <c r="C274" i="32" s="1"/>
  <c r="E274" i="32" s="1"/>
  <c r="Y269" i="19"/>
  <c r="C267" i="32" s="1"/>
  <c r="E267" i="32" s="1"/>
  <c r="Y262" i="19"/>
  <c r="C260" i="32" s="1"/>
  <c r="Y261" i="19"/>
  <c r="C259" i="32" s="1"/>
  <c r="E259" i="32" s="1"/>
  <c r="G258" i="19"/>
  <c r="T258" i="19" s="1"/>
  <c r="O256" i="19"/>
  <c r="G255" i="19"/>
  <c r="Y250" i="19"/>
  <c r="C248" i="32" s="1"/>
  <c r="E248" i="32" s="1"/>
  <c r="O245" i="19"/>
  <c r="R245" i="19" s="1"/>
  <c r="U245" i="19" s="1"/>
  <c r="G240" i="19"/>
  <c r="T240" i="19" s="1"/>
  <c r="O237" i="19"/>
  <c r="G232" i="19"/>
  <c r="R232" i="19" s="1"/>
  <c r="U232" i="19" s="1"/>
  <c r="Y228" i="19"/>
  <c r="C226" i="32" s="1"/>
  <c r="Y227" i="19"/>
  <c r="C225" i="32" s="1"/>
  <c r="G225" i="19"/>
  <c r="Y220" i="19"/>
  <c r="C218" i="32" s="1"/>
  <c r="Y219" i="19"/>
  <c r="C217" i="32" s="1"/>
  <c r="E215" i="32"/>
  <c r="G217" i="19"/>
  <c r="R217" i="19" s="1"/>
  <c r="U217" i="19" s="1"/>
  <c r="G205" i="19"/>
  <c r="T205" i="19" s="1"/>
  <c r="G198" i="19"/>
  <c r="O196" i="19"/>
  <c r="G194" i="19"/>
  <c r="G191" i="19"/>
  <c r="T191" i="19" s="1"/>
  <c r="Y188" i="19"/>
  <c r="C186" i="32" s="1"/>
  <c r="E186" i="32" s="1"/>
  <c r="O181" i="19"/>
  <c r="Y138" i="19"/>
  <c r="C136" i="32" s="1"/>
  <c r="E136" i="32" s="1"/>
  <c r="Y133" i="19"/>
  <c r="C131" i="32" s="1"/>
  <c r="E131" i="32" s="1"/>
  <c r="O132" i="19"/>
  <c r="G131" i="19"/>
  <c r="Y126" i="19"/>
  <c r="C124" i="32" s="1"/>
  <c r="Y125" i="19"/>
  <c r="C123" i="32" s="1"/>
  <c r="O124" i="19"/>
  <c r="R124" i="19" s="1"/>
  <c r="U124" i="19" s="1"/>
  <c r="G123" i="19"/>
  <c r="O121" i="19"/>
  <c r="R121" i="19" s="1"/>
  <c r="U121" i="19" s="1"/>
  <c r="G117" i="19"/>
  <c r="G111" i="19"/>
  <c r="O100" i="19"/>
  <c r="G98" i="19"/>
  <c r="E67" i="32"/>
  <c r="G61" i="19"/>
  <c r="R51" i="19"/>
  <c r="U51" i="19" s="1"/>
  <c r="G311" i="19"/>
  <c r="T311" i="19" s="1"/>
  <c r="Y307" i="19"/>
  <c r="C305" i="32" s="1"/>
  <c r="E305" i="32" s="1"/>
  <c r="G304" i="19"/>
  <c r="Y314" i="19"/>
  <c r="C312" i="32" s="1"/>
  <c r="E312" i="32" s="1"/>
  <c r="G308" i="19"/>
  <c r="G302" i="19"/>
  <c r="O296" i="19"/>
  <c r="Y293" i="19"/>
  <c r="C291" i="32" s="1"/>
  <c r="E291" i="32" s="1"/>
  <c r="Y290" i="19"/>
  <c r="C288" i="32" s="1"/>
  <c r="E288" i="32" s="1"/>
  <c r="Y270" i="19"/>
  <c r="C268" i="32" s="1"/>
  <c r="Y266" i="19"/>
  <c r="C264" i="32" s="1"/>
  <c r="E264" i="32" s="1"/>
  <c r="G263" i="19"/>
  <c r="Y258" i="19"/>
  <c r="C256" i="32" s="1"/>
  <c r="E256" i="32" s="1"/>
  <c r="G251" i="19"/>
  <c r="O249" i="19"/>
  <c r="Y247" i="19"/>
  <c r="C245" i="32" s="1"/>
  <c r="Y244" i="19"/>
  <c r="C242" i="32" s="1"/>
  <c r="E242" i="32" s="1"/>
  <c r="Y243" i="19"/>
  <c r="C241" i="32" s="1"/>
  <c r="G241" i="19"/>
  <c r="Y236" i="19"/>
  <c r="C234" i="32" s="1"/>
  <c r="Y235" i="19"/>
  <c r="C233" i="32" s="1"/>
  <c r="G233" i="19"/>
  <c r="G213" i="19"/>
  <c r="Y201" i="19"/>
  <c r="C199" i="32" s="1"/>
  <c r="Y198" i="19"/>
  <c r="C196" i="32" s="1"/>
  <c r="O171" i="19"/>
  <c r="O163" i="19"/>
  <c r="Y145" i="19"/>
  <c r="C143" i="32" s="1"/>
  <c r="E143" i="32" s="1"/>
  <c r="Y141" i="19"/>
  <c r="C139" i="32" s="1"/>
  <c r="G139" i="19"/>
  <c r="Y135" i="19"/>
  <c r="C133" i="32" s="1"/>
  <c r="E133" i="32" s="1"/>
  <c r="Y134" i="19"/>
  <c r="C132" i="32" s="1"/>
  <c r="E132" i="32" s="1"/>
  <c r="Y127" i="19"/>
  <c r="C125" i="32" s="1"/>
  <c r="E125" i="32" s="1"/>
  <c r="G118" i="19"/>
  <c r="Y114" i="19"/>
  <c r="C112" i="32" s="1"/>
  <c r="Y84" i="19"/>
  <c r="C82" i="32" s="1"/>
  <c r="E78" i="32"/>
  <c r="Y76" i="19"/>
  <c r="C74" i="32" s="1"/>
  <c r="Y75" i="19"/>
  <c r="C73" i="32" s="1"/>
  <c r="E73" i="32" s="1"/>
  <c r="Y74" i="19"/>
  <c r="C72" i="32" s="1"/>
  <c r="G72" i="19"/>
  <c r="T72" i="19" s="1"/>
  <c r="G69" i="19"/>
  <c r="T69" i="19" s="1"/>
  <c r="T44" i="19"/>
  <c r="Y304" i="19"/>
  <c r="C302" i="32" s="1"/>
  <c r="E302" i="32" s="1"/>
  <c r="G298" i="19"/>
  <c r="G291" i="19"/>
  <c r="G287" i="19"/>
  <c r="R287" i="19" s="1"/>
  <c r="U287" i="19" s="1"/>
  <c r="G278" i="19"/>
  <c r="T278" i="19" s="1"/>
  <c r="O275" i="19"/>
  <c r="Y273" i="19"/>
  <c r="C271" i="32" s="1"/>
  <c r="O313" i="19"/>
  <c r="G312" i="19"/>
  <c r="R312" i="19" s="1"/>
  <c r="U312" i="19" s="1"/>
  <c r="Y311" i="19"/>
  <c r="C309" i="32" s="1"/>
  <c r="Y308" i="19"/>
  <c r="C306" i="32" s="1"/>
  <c r="E306" i="32" s="1"/>
  <c r="G305" i="19"/>
  <c r="T305" i="19" s="1"/>
  <c r="Y301" i="19"/>
  <c r="C299" i="32" s="1"/>
  <c r="E299" i="32" s="1"/>
  <c r="Y298" i="19"/>
  <c r="C296" i="32" s="1"/>
  <c r="E296" i="32" s="1"/>
  <c r="G294" i="19"/>
  <c r="T294" i="19" s="1"/>
  <c r="O286" i="19"/>
  <c r="G282" i="19"/>
  <c r="O279" i="19"/>
  <c r="G277" i="19"/>
  <c r="T277" i="19" s="1"/>
  <c r="G274" i="19"/>
  <c r="T274" i="19" s="1"/>
  <c r="G271" i="19"/>
  <c r="G267" i="19"/>
  <c r="R267" i="19" s="1"/>
  <c r="U267" i="19" s="1"/>
  <c r="O265" i="19"/>
  <c r="Y263" i="19"/>
  <c r="C261" i="32" s="1"/>
  <c r="G259" i="19"/>
  <c r="O257" i="19"/>
  <c r="Y255" i="19"/>
  <c r="C253" i="32" s="1"/>
  <c r="O253" i="19"/>
  <c r="R253" i="19" s="1"/>
  <c r="U253" i="19" s="1"/>
  <c r="G248" i="19"/>
  <c r="G229" i="19"/>
  <c r="T229" i="19" s="1"/>
  <c r="G221" i="19"/>
  <c r="O211" i="19"/>
  <c r="Y209" i="19"/>
  <c r="C207" i="32" s="1"/>
  <c r="G206" i="19"/>
  <c r="T206" i="19" s="1"/>
  <c r="O204" i="19"/>
  <c r="Y202" i="19"/>
  <c r="C200" i="32" s="1"/>
  <c r="O200" i="19"/>
  <c r="G199" i="19"/>
  <c r="R199" i="19" s="1"/>
  <c r="U199" i="19" s="1"/>
  <c r="O197" i="19"/>
  <c r="G196" i="19"/>
  <c r="Y191" i="19"/>
  <c r="C189" i="32" s="1"/>
  <c r="G170" i="19"/>
  <c r="R170" i="19" s="1"/>
  <c r="U170" i="19" s="1"/>
  <c r="G165" i="19"/>
  <c r="R165" i="19" s="1"/>
  <c r="U165" i="19" s="1"/>
  <c r="G162" i="19"/>
  <c r="R162" i="19" s="1"/>
  <c r="U162" i="19" s="1"/>
  <c r="G157" i="19"/>
  <c r="R157" i="19" s="1"/>
  <c r="U157" i="19" s="1"/>
  <c r="G154" i="19"/>
  <c r="R154" i="19" s="1"/>
  <c r="U154" i="19" s="1"/>
  <c r="G149" i="19"/>
  <c r="G146" i="19"/>
  <c r="O144" i="19"/>
  <c r="G143" i="19"/>
  <c r="R143" i="19" s="1"/>
  <c r="U143" i="19" s="1"/>
  <c r="Y142" i="19"/>
  <c r="C140" i="32" s="1"/>
  <c r="E140" i="32" s="1"/>
  <c r="G136" i="19"/>
  <c r="T136" i="19" s="1"/>
  <c r="G132" i="19"/>
  <c r="Y131" i="19"/>
  <c r="C129" i="32" s="1"/>
  <c r="E129" i="32" s="1"/>
  <c r="G128" i="19"/>
  <c r="R128" i="19" s="1"/>
  <c r="U128" i="19" s="1"/>
  <c r="G124" i="19"/>
  <c r="Y123" i="19"/>
  <c r="C121" i="32" s="1"/>
  <c r="Y120" i="19"/>
  <c r="C118" i="32" s="1"/>
  <c r="E118" i="32" s="1"/>
  <c r="O119" i="19"/>
  <c r="G100" i="19"/>
  <c r="T100" i="19" s="1"/>
  <c r="G89" i="19"/>
  <c r="T89" i="19" s="1"/>
  <c r="G86" i="19"/>
  <c r="T86" i="19" s="1"/>
  <c r="G85" i="19"/>
  <c r="G81" i="19"/>
  <c r="G78" i="19"/>
  <c r="G77" i="19"/>
  <c r="T77" i="19" s="1"/>
  <c r="G70" i="19"/>
  <c r="R70" i="19" s="1"/>
  <c r="U70" i="19" s="1"/>
  <c r="G65" i="19"/>
  <c r="R65" i="19" s="1"/>
  <c r="U65" i="19" s="1"/>
  <c r="Y64" i="19"/>
  <c r="C62" i="32" s="1"/>
  <c r="E62" i="32" s="1"/>
  <c r="O63" i="19"/>
  <c r="Y54" i="19"/>
  <c r="C52" i="32" s="1"/>
  <c r="E52" i="32" s="1"/>
  <c r="G52" i="19"/>
  <c r="Y51" i="19"/>
  <c r="C49" i="32" s="1"/>
  <c r="E49" i="32" s="1"/>
  <c r="G49" i="19"/>
  <c r="T49" i="19" s="1"/>
  <c r="Y48" i="19"/>
  <c r="C46" i="32" s="1"/>
  <c r="E46" i="32" s="1"/>
  <c r="E24" i="32"/>
  <c r="E11" i="32"/>
  <c r="E221" i="32"/>
  <c r="E213" i="32"/>
  <c r="E211" i="32"/>
  <c r="E130" i="32"/>
  <c r="E127" i="32"/>
  <c r="E100" i="32"/>
  <c r="E70" i="32"/>
  <c r="G55" i="19"/>
  <c r="R55" i="19" s="1"/>
  <c r="U55" i="19" s="1"/>
  <c r="Y45" i="19"/>
  <c r="C43" i="32" s="1"/>
  <c r="E8" i="32"/>
  <c r="E290" i="32"/>
  <c r="G292" i="19"/>
  <c r="T292" i="19" s="1"/>
  <c r="G288" i="19"/>
  <c r="T288" i="19" s="1"/>
  <c r="G279" i="19"/>
  <c r="T279" i="19" s="1"/>
  <c r="O276" i="19"/>
  <c r="O273" i="19"/>
  <c r="Y271" i="19"/>
  <c r="C269" i="32" s="1"/>
  <c r="Y268" i="19"/>
  <c r="C266" i="32" s="1"/>
  <c r="E266" i="32" s="1"/>
  <c r="Y267" i="19"/>
  <c r="C265" i="32" s="1"/>
  <c r="E265" i="32" s="1"/>
  <c r="Y260" i="19"/>
  <c r="C258" i="32" s="1"/>
  <c r="E258" i="32" s="1"/>
  <c r="Y259" i="19"/>
  <c r="C257" i="32" s="1"/>
  <c r="E257" i="32" s="1"/>
  <c r="G257" i="19"/>
  <c r="T257" i="19" s="1"/>
  <c r="G253" i="19"/>
  <c r="O243" i="19"/>
  <c r="R243" i="19" s="1"/>
  <c r="U243" i="19" s="1"/>
  <c r="Y241" i="19"/>
  <c r="C239" i="32" s="1"/>
  <c r="Y238" i="19"/>
  <c r="C236" i="32" s="1"/>
  <c r="O235" i="19"/>
  <c r="R235" i="19" s="1"/>
  <c r="U235" i="19" s="1"/>
  <c r="Y233" i="19"/>
  <c r="C231" i="32" s="1"/>
  <c r="E231" i="32" s="1"/>
  <c r="Y230" i="19"/>
  <c r="C228" i="32" s="1"/>
  <c r="G226" i="19"/>
  <c r="R226" i="19" s="1"/>
  <c r="U226" i="19" s="1"/>
  <c r="O224" i="19"/>
  <c r="G223" i="19"/>
  <c r="T223" i="19" s="1"/>
  <c r="G218" i="19"/>
  <c r="O216" i="19"/>
  <c r="R216" i="19" s="1"/>
  <c r="U216" i="19" s="1"/>
  <c r="G215" i="19"/>
  <c r="T215" i="19" s="1"/>
  <c r="Y210" i="19"/>
  <c r="C208" i="32" s="1"/>
  <c r="Y203" i="19"/>
  <c r="C201" i="32" s="1"/>
  <c r="O201" i="19"/>
  <c r="Y199" i="19"/>
  <c r="C197" i="32" s="1"/>
  <c r="E191" i="32"/>
  <c r="G193" i="19"/>
  <c r="T193" i="19" s="1"/>
  <c r="Y189" i="19"/>
  <c r="C187" i="32" s="1"/>
  <c r="G178" i="19"/>
  <c r="T178" i="19" s="1"/>
  <c r="Y173" i="19"/>
  <c r="C171" i="32" s="1"/>
  <c r="O172" i="19"/>
  <c r="G171" i="19"/>
  <c r="T171" i="19" s="1"/>
  <c r="Y166" i="19"/>
  <c r="C164" i="32" s="1"/>
  <c r="Y165" i="19"/>
  <c r="C163" i="32" s="1"/>
  <c r="E163" i="32" s="1"/>
  <c r="O164" i="19"/>
  <c r="G163" i="19"/>
  <c r="Y158" i="19"/>
  <c r="C156" i="32" s="1"/>
  <c r="E156" i="32" s="1"/>
  <c r="Y157" i="19"/>
  <c r="C155" i="32" s="1"/>
  <c r="O156" i="19"/>
  <c r="G155" i="19"/>
  <c r="R155" i="19" s="1"/>
  <c r="U155" i="19" s="1"/>
  <c r="Y150" i="19"/>
  <c r="C148" i="32" s="1"/>
  <c r="Y149" i="19"/>
  <c r="C147" i="32" s="1"/>
  <c r="E147" i="32" s="1"/>
  <c r="O148" i="19"/>
  <c r="G147" i="19"/>
  <c r="O145" i="19"/>
  <c r="Y143" i="19"/>
  <c r="C141" i="32" s="1"/>
  <c r="E141" i="32" s="1"/>
  <c r="O141" i="19"/>
  <c r="Y140" i="19"/>
  <c r="C138" i="32" s="1"/>
  <c r="Y118" i="19"/>
  <c r="C116" i="32" s="1"/>
  <c r="Y115" i="19"/>
  <c r="C113" i="32" s="1"/>
  <c r="O114" i="19"/>
  <c r="G113" i="19"/>
  <c r="Y109" i="19"/>
  <c r="C107" i="32" s="1"/>
  <c r="E107" i="32" s="1"/>
  <c r="O108" i="19"/>
  <c r="G104" i="19"/>
  <c r="Y62" i="19"/>
  <c r="C60" i="32" s="1"/>
  <c r="E60" i="32" s="1"/>
  <c r="G58" i="19"/>
  <c r="T58" i="19" s="1"/>
  <c r="E285" i="32"/>
  <c r="O314" i="19"/>
  <c r="G313" i="19"/>
  <c r="R313" i="19" s="1"/>
  <c r="U313" i="19" s="1"/>
  <c r="O293" i="19"/>
  <c r="Y302" i="19"/>
  <c r="C300" i="32" s="1"/>
  <c r="Y299" i="19"/>
  <c r="C297" i="32" s="1"/>
  <c r="E297" i="32" s="1"/>
  <c r="Y296" i="19"/>
  <c r="C294" i="32" s="1"/>
  <c r="E294" i="32" s="1"/>
  <c r="Y288" i="19"/>
  <c r="C286" i="32" s="1"/>
  <c r="E286" i="32" s="1"/>
  <c r="Y285" i="19"/>
  <c r="C283" i="32" s="1"/>
  <c r="E283" i="32" s="1"/>
  <c r="G283" i="19"/>
  <c r="O280" i="19"/>
  <c r="G242" i="19"/>
  <c r="T242" i="19" s="1"/>
  <c r="O240" i="19"/>
  <c r="G239" i="19"/>
  <c r="G234" i="19"/>
  <c r="T234" i="19" s="1"/>
  <c r="O232" i="19"/>
  <c r="G231" i="19"/>
  <c r="R231" i="19" s="1"/>
  <c r="U231" i="19" s="1"/>
  <c r="Y226" i="19"/>
  <c r="C224" i="32" s="1"/>
  <c r="Y218" i="19"/>
  <c r="C216" i="32" s="1"/>
  <c r="G211" i="19"/>
  <c r="O209" i="19"/>
  <c r="R209" i="19" s="1"/>
  <c r="U209" i="19" s="1"/>
  <c r="Y207" i="19"/>
  <c r="C205" i="32" s="1"/>
  <c r="G204" i="19"/>
  <c r="R204" i="19" s="1"/>
  <c r="U204" i="19" s="1"/>
  <c r="G200" i="19"/>
  <c r="O191" i="19"/>
  <c r="G190" i="19"/>
  <c r="T190" i="19" s="1"/>
  <c r="Y185" i="19"/>
  <c r="C183" i="32" s="1"/>
  <c r="Y181" i="19"/>
  <c r="C179" i="32" s="1"/>
  <c r="Y178" i="19"/>
  <c r="C176" i="32" s="1"/>
  <c r="E176" i="32" s="1"/>
  <c r="Y167" i="19"/>
  <c r="C165" i="32" s="1"/>
  <c r="Y159" i="19"/>
  <c r="C157" i="32" s="1"/>
  <c r="E157" i="32" s="1"/>
  <c r="Y151" i="19"/>
  <c r="C149" i="32" s="1"/>
  <c r="G144" i="19"/>
  <c r="T144" i="19" s="1"/>
  <c r="G125" i="19"/>
  <c r="Y121" i="19"/>
  <c r="C119" i="32" s="1"/>
  <c r="G119" i="19"/>
  <c r="G116" i="19"/>
  <c r="T116" i="19" s="1"/>
  <c r="Y70" i="19"/>
  <c r="C68" i="32" s="1"/>
  <c r="E68" i="32" s="1"/>
  <c r="O64" i="19"/>
  <c r="G63" i="19"/>
  <c r="O61" i="19"/>
  <c r="R61" i="19" s="1"/>
  <c r="U61" i="19" s="1"/>
  <c r="O54" i="19"/>
  <c r="Y52" i="19"/>
  <c r="C50" i="32" s="1"/>
  <c r="Y119" i="19"/>
  <c r="C117" i="32" s="1"/>
  <c r="E117" i="32" s="1"/>
  <c r="Y106" i="19"/>
  <c r="C104" i="32" s="1"/>
  <c r="E104" i="32" s="1"/>
  <c r="O105" i="19"/>
  <c r="O98" i="19"/>
  <c r="O74" i="19"/>
  <c r="R74" i="19" s="1"/>
  <c r="U74" i="19" s="1"/>
  <c r="Y73" i="19"/>
  <c r="C71" i="32" s="1"/>
  <c r="O66" i="19"/>
  <c r="Y65" i="19"/>
  <c r="C63" i="32" s="1"/>
  <c r="G54" i="19"/>
  <c r="R54" i="19" s="1"/>
  <c r="U54" i="19" s="1"/>
  <c r="G50" i="19"/>
  <c r="O48" i="19"/>
  <c r="O36" i="19"/>
  <c r="Y20" i="19"/>
  <c r="C18" i="32" s="1"/>
  <c r="E18" i="32" s="1"/>
  <c r="O18" i="19"/>
  <c r="G16" i="19"/>
  <c r="R16" i="19" s="1"/>
  <c r="U16" i="19" s="1"/>
  <c r="O11" i="19"/>
  <c r="G10" i="19"/>
  <c r="T10" i="19" s="1"/>
  <c r="Y9" i="19"/>
  <c r="C7" i="32" s="1"/>
  <c r="G21" i="19"/>
  <c r="G48" i="19"/>
  <c r="G39" i="19"/>
  <c r="T39" i="19" s="1"/>
  <c r="O37" i="19"/>
  <c r="G36" i="19"/>
  <c r="O33" i="19"/>
  <c r="Y32" i="19"/>
  <c r="C30" i="32" s="1"/>
  <c r="E30" i="32" s="1"/>
  <c r="Y24" i="19"/>
  <c r="C22" i="32" s="1"/>
  <c r="E22" i="32" s="1"/>
  <c r="Y21" i="19"/>
  <c r="C19" i="32" s="1"/>
  <c r="E19" i="32" s="1"/>
  <c r="O116" i="19"/>
  <c r="G115" i="19"/>
  <c r="T115" i="19" s="1"/>
  <c r="O113" i="19"/>
  <c r="G112" i="19"/>
  <c r="R112" i="19" s="1"/>
  <c r="U112" i="19" s="1"/>
  <c r="O110" i="19"/>
  <c r="Y105" i="19"/>
  <c r="C103" i="32" s="1"/>
  <c r="Y98" i="19"/>
  <c r="C96" i="32" s="1"/>
  <c r="E96" i="32" s="1"/>
  <c r="G95" i="19"/>
  <c r="Y90" i="19"/>
  <c r="C88" i="32" s="1"/>
  <c r="O89" i="19"/>
  <c r="R89" i="19" s="1"/>
  <c r="U89" i="19" s="1"/>
  <c r="G88" i="19"/>
  <c r="T88" i="19" s="1"/>
  <c r="Y83" i="19"/>
  <c r="C81" i="32" s="1"/>
  <c r="E81" i="32" s="1"/>
  <c r="Y82" i="19"/>
  <c r="C80" i="32" s="1"/>
  <c r="O81" i="19"/>
  <c r="G80" i="19"/>
  <c r="R80" i="19" s="1"/>
  <c r="U80" i="19" s="1"/>
  <c r="Y71" i="19"/>
  <c r="C69" i="32" s="1"/>
  <c r="E69" i="32" s="1"/>
  <c r="Y63" i="19"/>
  <c r="C61" i="32" s="1"/>
  <c r="E61" i="32" s="1"/>
  <c r="Y58" i="19"/>
  <c r="C56" i="32" s="1"/>
  <c r="Y55" i="19"/>
  <c r="C53" i="32" s="1"/>
  <c r="E53" i="32" s="1"/>
  <c r="O53" i="19"/>
  <c r="R53" i="19" s="1"/>
  <c r="U53" i="19" s="1"/>
  <c r="O46" i="19"/>
  <c r="Y44" i="19"/>
  <c r="C42" i="32" s="1"/>
  <c r="Y43" i="19"/>
  <c r="C41" i="32" s="1"/>
  <c r="E41" i="32" s="1"/>
  <c r="Y42" i="19"/>
  <c r="C40" i="32" s="1"/>
  <c r="Y39" i="19"/>
  <c r="C37" i="32" s="1"/>
  <c r="E37" i="32" s="1"/>
  <c r="O31" i="19"/>
  <c r="Y29" i="19"/>
  <c r="C27" i="32" s="1"/>
  <c r="E27" i="32" s="1"/>
  <c r="O27" i="19"/>
  <c r="G26" i="19"/>
  <c r="Y25" i="19"/>
  <c r="C23" i="32" s="1"/>
  <c r="O23" i="19"/>
  <c r="Y22" i="19"/>
  <c r="C20" i="32" s="1"/>
  <c r="E20" i="32" s="1"/>
  <c r="G22" i="19"/>
  <c r="G20" i="19"/>
  <c r="T20" i="19" s="1"/>
  <c r="G19" i="19"/>
  <c r="R19" i="19" s="1"/>
  <c r="U19" i="19" s="1"/>
  <c r="O13" i="19"/>
  <c r="G33" i="19"/>
  <c r="T33" i="19" s="1"/>
  <c r="G30" i="19"/>
  <c r="T30" i="19" s="1"/>
  <c r="G15" i="19"/>
  <c r="G37" i="19"/>
  <c r="E10" i="32"/>
  <c r="G62" i="19"/>
  <c r="R62" i="19" s="1"/>
  <c r="U62" i="19" s="1"/>
  <c r="O58" i="19"/>
  <c r="G57" i="19"/>
  <c r="T57" i="19" s="1"/>
  <c r="Y56" i="19"/>
  <c r="C54" i="32" s="1"/>
  <c r="E54" i="32" s="1"/>
  <c r="G53" i="19"/>
  <c r="O42" i="19"/>
  <c r="R42" i="19" s="1"/>
  <c r="U42" i="19" s="1"/>
  <c r="G41" i="19"/>
  <c r="T41" i="19" s="1"/>
  <c r="Y40" i="19"/>
  <c r="C38" i="32" s="1"/>
  <c r="E38" i="32" s="1"/>
  <c r="G38" i="19"/>
  <c r="T38" i="19" s="1"/>
  <c r="G34" i="19"/>
  <c r="T34" i="19" s="1"/>
  <c r="O29" i="19"/>
  <c r="R29" i="19" s="1"/>
  <c r="U29" i="19" s="1"/>
  <c r="Y15" i="19"/>
  <c r="C13" i="32" s="1"/>
  <c r="E13" i="32" s="1"/>
  <c r="O14" i="19"/>
  <c r="G13" i="19"/>
  <c r="T13" i="19" s="1"/>
  <c r="Y8" i="19"/>
  <c r="C6" i="32" s="1"/>
  <c r="E6" i="32" s="1"/>
  <c r="E233" i="32"/>
  <c r="E151" i="32"/>
  <c r="E137" i="32"/>
  <c r="E165" i="32"/>
  <c r="E243" i="32"/>
  <c r="E226" i="32"/>
  <c r="E225" i="32"/>
  <c r="E218" i="32"/>
  <c r="E217" i="32"/>
  <c r="E210" i="32"/>
  <c r="E202" i="32"/>
  <c r="E201" i="32"/>
  <c r="E194" i="32"/>
  <c r="E174" i="32"/>
  <c r="E161" i="32"/>
  <c r="E178" i="32"/>
  <c r="E139" i="32"/>
  <c r="E167" i="32"/>
  <c r="E126" i="32"/>
  <c r="E229" i="32"/>
  <c r="E222" i="32"/>
  <c r="E214" i="32"/>
  <c r="E206" i="32"/>
  <c r="E205" i="32"/>
  <c r="E198" i="32"/>
  <c r="E189" i="32"/>
  <c r="E182" i="32"/>
  <c r="E159" i="32"/>
  <c r="E145" i="32"/>
  <c r="E164" i="32"/>
  <c r="E160" i="32"/>
  <c r="E148" i="32"/>
  <c r="E144" i="32"/>
  <c r="E108" i="32"/>
  <c r="E124" i="32"/>
  <c r="E121" i="32"/>
  <c r="E112" i="32"/>
  <c r="E105" i="32"/>
  <c r="E88" i="32"/>
  <c r="E80" i="32"/>
  <c r="E72" i="32"/>
  <c r="E64" i="32"/>
  <c r="E87" i="32"/>
  <c r="E71" i="32"/>
  <c r="E47" i="32"/>
  <c r="T303" i="19"/>
  <c r="R308" i="19"/>
  <c r="U308" i="19" s="1"/>
  <c r="T308" i="19"/>
  <c r="T302" i="19"/>
  <c r="R302" i="19"/>
  <c r="U302" i="19" s="1"/>
  <c r="T298" i="19"/>
  <c r="T291" i="19"/>
  <c r="R278" i="19"/>
  <c r="U278" i="19" s="1"/>
  <c r="T307" i="19"/>
  <c r="T312" i="19"/>
  <c r="T282" i="19"/>
  <c r="R271" i="19"/>
  <c r="U271" i="19" s="1"/>
  <c r="T271" i="19"/>
  <c r="T299" i="19"/>
  <c r="R283" i="19"/>
  <c r="U283" i="19" s="1"/>
  <c r="T283" i="19"/>
  <c r="T276" i="19"/>
  <c r="R300" i="19"/>
  <c r="U300" i="19" s="1"/>
  <c r="T300" i="19"/>
  <c r="R314" i="19"/>
  <c r="U314" i="19" s="1"/>
  <c r="T314" i="19"/>
  <c r="T310" i="19"/>
  <c r="R310" i="19"/>
  <c r="U310" i="19" s="1"/>
  <c r="T286" i="19"/>
  <c r="R286" i="19"/>
  <c r="U286" i="19" s="1"/>
  <c r="T304" i="19"/>
  <c r="G309" i="19"/>
  <c r="Y303" i="19"/>
  <c r="C301" i="32" s="1"/>
  <c r="G293" i="19"/>
  <c r="G285" i="19"/>
  <c r="O272" i="19"/>
  <c r="R251" i="19"/>
  <c r="U251" i="19" s="1"/>
  <c r="T251" i="19"/>
  <c r="T241" i="19"/>
  <c r="R241" i="19"/>
  <c r="U241" i="19" s="1"/>
  <c r="T233" i="19"/>
  <c r="R259" i="19"/>
  <c r="U259" i="19" s="1"/>
  <c r="T259" i="19"/>
  <c r="T248" i="19"/>
  <c r="T221" i="19"/>
  <c r="R206" i="19"/>
  <c r="U206" i="19" s="1"/>
  <c r="R196" i="19"/>
  <c r="U196" i="19" s="1"/>
  <c r="T196" i="19"/>
  <c r="Y282" i="19"/>
  <c r="C280" i="32" s="1"/>
  <c r="G269" i="19"/>
  <c r="R256" i="19"/>
  <c r="U256" i="19" s="1"/>
  <c r="T256" i="19"/>
  <c r="T245" i="19"/>
  <c r="R237" i="19"/>
  <c r="U237" i="19" s="1"/>
  <c r="T297" i="19"/>
  <c r="Y295" i="19"/>
  <c r="C293" i="32" s="1"/>
  <c r="O289" i="19"/>
  <c r="O288" i="19"/>
  <c r="R288" i="19" s="1"/>
  <c r="U288" i="19" s="1"/>
  <c r="G281" i="19"/>
  <c r="Y279" i="19"/>
  <c r="C277" i="32" s="1"/>
  <c r="O277" i="19"/>
  <c r="G273" i="19"/>
  <c r="G272" i="19"/>
  <c r="G265" i="19"/>
  <c r="R257" i="19"/>
  <c r="U257" i="19" s="1"/>
  <c r="T253" i="19"/>
  <c r="T218" i="19"/>
  <c r="O305" i="19"/>
  <c r="R305" i="19" s="1"/>
  <c r="U305" i="19" s="1"/>
  <c r="O309" i="19"/>
  <c r="G301" i="19"/>
  <c r="G280" i="19"/>
  <c r="R239" i="19"/>
  <c r="U239" i="19" s="1"/>
  <c r="T239" i="19"/>
  <c r="R211" i="19"/>
  <c r="U211" i="19" s="1"/>
  <c r="T211" i="19"/>
  <c r="T200" i="19"/>
  <c r="R261" i="19"/>
  <c r="U261" i="19" s="1"/>
  <c r="R227" i="19"/>
  <c r="U227" i="19" s="1"/>
  <c r="T227" i="19"/>
  <c r="T219" i="19"/>
  <c r="R208" i="19"/>
  <c r="U208" i="19" s="1"/>
  <c r="T208" i="19"/>
  <c r="R274" i="19"/>
  <c r="U274" i="19" s="1"/>
  <c r="T268" i="19"/>
  <c r="R268" i="19"/>
  <c r="U268" i="19" s="1"/>
  <c r="T250" i="19"/>
  <c r="T235" i="19"/>
  <c r="T216" i="19"/>
  <c r="T209" i="19"/>
  <c r="R188" i="19"/>
  <c r="U188" i="19" s="1"/>
  <c r="O297" i="19"/>
  <c r="Y275" i="19"/>
  <c r="C273" i="32" s="1"/>
  <c r="E273" i="32" s="1"/>
  <c r="G275" i="19"/>
  <c r="G266" i="19"/>
  <c r="O264" i="19"/>
  <c r="T255" i="19"/>
  <c r="T225" i="19"/>
  <c r="R225" i="19"/>
  <c r="U225" i="19" s="1"/>
  <c r="T217" i="19"/>
  <c r="T198" i="19"/>
  <c r="T194" i="19"/>
  <c r="R260" i="19"/>
  <c r="U260" i="19" s="1"/>
  <c r="T254" i="19"/>
  <c r="T246" i="19"/>
  <c r="T230" i="19"/>
  <c r="R228" i="19"/>
  <c r="U228" i="19" s="1"/>
  <c r="T222" i="19"/>
  <c r="R212" i="19"/>
  <c r="U212" i="19" s="1"/>
  <c r="Y194" i="19"/>
  <c r="C192" i="32" s="1"/>
  <c r="R187" i="19"/>
  <c r="U187" i="19" s="1"/>
  <c r="R182" i="19"/>
  <c r="U182" i="19" s="1"/>
  <c r="G177" i="19"/>
  <c r="Y175" i="19"/>
  <c r="C173" i="32" s="1"/>
  <c r="Y174" i="19"/>
  <c r="C172" i="32" s="1"/>
  <c r="G173" i="19"/>
  <c r="T139" i="19"/>
  <c r="T107" i="19"/>
  <c r="R107" i="19"/>
  <c r="U107" i="19" s="1"/>
  <c r="T165" i="19"/>
  <c r="T149" i="19"/>
  <c r="R146" i="19"/>
  <c r="U146" i="19" s="1"/>
  <c r="T146" i="19"/>
  <c r="R136" i="19"/>
  <c r="U136" i="19" s="1"/>
  <c r="T132" i="19"/>
  <c r="R132" i="19"/>
  <c r="U132" i="19" s="1"/>
  <c r="T124" i="19"/>
  <c r="T111" i="19"/>
  <c r="R174" i="19"/>
  <c r="U174" i="19" s="1"/>
  <c r="T140" i="19"/>
  <c r="T137" i="19"/>
  <c r="T129" i="19"/>
  <c r="T121" i="19"/>
  <c r="T118" i="19"/>
  <c r="R118" i="19"/>
  <c r="U118" i="19" s="1"/>
  <c r="G179" i="19"/>
  <c r="T176" i="19"/>
  <c r="R171" i="19"/>
  <c r="U171" i="19" s="1"/>
  <c r="T163" i="19"/>
  <c r="R147" i="19"/>
  <c r="U147" i="19" s="1"/>
  <c r="T147" i="19"/>
  <c r="R115" i="19"/>
  <c r="U115" i="19" s="1"/>
  <c r="T112" i="19"/>
  <c r="R95" i="19"/>
  <c r="U95" i="19" s="1"/>
  <c r="T95" i="19"/>
  <c r="T192" i="19"/>
  <c r="G189" i="19"/>
  <c r="O185" i="19"/>
  <c r="O184" i="19"/>
  <c r="G180" i="19"/>
  <c r="Y179" i="19"/>
  <c r="C177" i="32" s="1"/>
  <c r="O169" i="19"/>
  <c r="R125" i="19"/>
  <c r="U125" i="19" s="1"/>
  <c r="T125" i="19"/>
  <c r="T110" i="19"/>
  <c r="R110" i="19"/>
  <c r="U110" i="19" s="1"/>
  <c r="R100" i="19"/>
  <c r="U100" i="19" s="1"/>
  <c r="Y187" i="19"/>
  <c r="C185" i="32" s="1"/>
  <c r="R175" i="19"/>
  <c r="U175" i="19" s="1"/>
  <c r="T168" i="19"/>
  <c r="R164" i="19"/>
  <c r="U164" i="19" s="1"/>
  <c r="T156" i="19"/>
  <c r="R156" i="19"/>
  <c r="U156" i="19" s="1"/>
  <c r="T152" i="19"/>
  <c r="T148" i="19"/>
  <c r="T133" i="19"/>
  <c r="R130" i="19"/>
  <c r="U130" i="19" s="1"/>
  <c r="T130" i="19"/>
  <c r="T122" i="19"/>
  <c r="T113" i="19"/>
  <c r="O205" i="19"/>
  <c r="G197" i="19"/>
  <c r="Y186" i="19"/>
  <c r="C184" i="32" s="1"/>
  <c r="G185" i="19"/>
  <c r="Y183" i="19"/>
  <c r="C181" i="32" s="1"/>
  <c r="Y182" i="19"/>
  <c r="C180" i="32" s="1"/>
  <c r="G181" i="19"/>
  <c r="O177" i="19"/>
  <c r="O176" i="19"/>
  <c r="R176" i="19" s="1"/>
  <c r="U176" i="19" s="1"/>
  <c r="R141" i="19"/>
  <c r="U141" i="19" s="1"/>
  <c r="T141" i="19"/>
  <c r="T138" i="19"/>
  <c r="T119" i="19"/>
  <c r="T104" i="19"/>
  <c r="G201" i="19"/>
  <c r="Y195" i="19"/>
  <c r="C193" i="32" s="1"/>
  <c r="O193" i="19"/>
  <c r="R193" i="19" s="1"/>
  <c r="U193" i="19" s="1"/>
  <c r="O192" i="19"/>
  <c r="R192" i="19" s="1"/>
  <c r="U192" i="19" s="1"/>
  <c r="G184" i="19"/>
  <c r="T131" i="19"/>
  <c r="T123" i="19"/>
  <c r="Y116" i="19"/>
  <c r="C114" i="32" s="1"/>
  <c r="Y92" i="19"/>
  <c r="C90" i="32" s="1"/>
  <c r="Y91" i="19"/>
  <c r="C89" i="32" s="1"/>
  <c r="E89" i="32" s="1"/>
  <c r="G90" i="19"/>
  <c r="T82" i="19"/>
  <c r="R79" i="19"/>
  <c r="U79" i="19" s="1"/>
  <c r="T79" i="19"/>
  <c r="T42" i="19"/>
  <c r="T32" i="19"/>
  <c r="T29" i="19"/>
  <c r="T24" i="19"/>
  <c r="R12" i="19"/>
  <c r="U12" i="19" s="1"/>
  <c r="T12" i="19"/>
  <c r="R11" i="19"/>
  <c r="U11" i="19" s="1"/>
  <c r="T117" i="19"/>
  <c r="O97" i="19"/>
  <c r="Y95" i="19"/>
  <c r="C93" i="32" s="1"/>
  <c r="E93" i="32" s="1"/>
  <c r="T74" i="19"/>
  <c r="R66" i="19"/>
  <c r="U66" i="19" s="1"/>
  <c r="T63" i="19"/>
  <c r="R52" i="19"/>
  <c r="U52" i="19" s="1"/>
  <c r="T52" i="19"/>
  <c r="R48" i="19"/>
  <c r="U48" i="19" s="1"/>
  <c r="T48" i="19"/>
  <c r="R39" i="19"/>
  <c r="U39" i="19" s="1"/>
  <c r="T36" i="19"/>
  <c r="Y108" i="19"/>
  <c r="C106" i="32" s="1"/>
  <c r="O106" i="19"/>
  <c r="Y96" i="19"/>
  <c r="C94" i="32" s="1"/>
  <c r="G96" i="19"/>
  <c r="T93" i="19"/>
  <c r="R88" i="19"/>
  <c r="U88" i="19" s="1"/>
  <c r="T26" i="19"/>
  <c r="T22" i="19"/>
  <c r="G114" i="19"/>
  <c r="G109" i="19"/>
  <c r="O102" i="19"/>
  <c r="R102" i="19" s="1"/>
  <c r="U102" i="19" s="1"/>
  <c r="O101" i="19"/>
  <c r="G97" i="19"/>
  <c r="Y88" i="19"/>
  <c r="C86" i="32" s="1"/>
  <c r="R64" i="19"/>
  <c r="U64" i="19" s="1"/>
  <c r="T64" i="19"/>
  <c r="R49" i="19"/>
  <c r="U49" i="19" s="1"/>
  <c r="R45" i="19"/>
  <c r="U45" i="19" s="1"/>
  <c r="T45" i="19"/>
  <c r="T40" i="19"/>
  <c r="T15" i="19"/>
  <c r="T167" i="19"/>
  <c r="T159" i="19"/>
  <c r="T151" i="19"/>
  <c r="T102" i="19"/>
  <c r="T85" i="19"/>
  <c r="T81" i="19"/>
  <c r="T78" i="19"/>
  <c r="T61" i="19"/>
  <c r="T37" i="19"/>
  <c r="T31" i="19"/>
  <c r="T8" i="19"/>
  <c r="O117" i="19"/>
  <c r="R117" i="19" s="1"/>
  <c r="U117" i="19" s="1"/>
  <c r="G106" i="19"/>
  <c r="G105" i="19"/>
  <c r="Y103" i="19"/>
  <c r="C101" i="32" s="1"/>
  <c r="Y100" i="19"/>
  <c r="C98" i="32" s="1"/>
  <c r="Y99" i="19"/>
  <c r="C97" i="32" s="1"/>
  <c r="E97" i="32" s="1"/>
  <c r="O94" i="19"/>
  <c r="O93" i="19"/>
  <c r="R93" i="19" s="1"/>
  <c r="U93" i="19" s="1"/>
  <c r="T70" i="19"/>
  <c r="T65" i="19"/>
  <c r="T62" i="19"/>
  <c r="T53" i="19"/>
  <c r="R13" i="19"/>
  <c r="U13" i="19" s="1"/>
  <c r="Y111" i="19"/>
  <c r="C109" i="32" s="1"/>
  <c r="E109" i="32" s="1"/>
  <c r="G101" i="19"/>
  <c r="G94" i="19"/>
  <c r="R50" i="19"/>
  <c r="U50" i="19" s="1"/>
  <c r="T50" i="19"/>
  <c r="T51" i="19"/>
  <c r="T35" i="19"/>
  <c r="T28" i="19"/>
  <c r="T25" i="19"/>
  <c r="T17" i="19"/>
  <c r="T9" i="19"/>
  <c r="T47" i="19"/>
  <c r="T84" i="19"/>
  <c r="R244" i="19" l="1"/>
  <c r="U244" i="19" s="1"/>
  <c r="R224" i="19"/>
  <c r="U224" i="19" s="1"/>
  <c r="R56" i="19"/>
  <c r="U56" i="19" s="1"/>
  <c r="R213" i="19"/>
  <c r="U213" i="19" s="1"/>
  <c r="T195" i="19"/>
  <c r="R270" i="19"/>
  <c r="U270" i="19" s="1"/>
  <c r="T213" i="19"/>
  <c r="F57" i="32"/>
  <c r="G57" i="32" s="1"/>
  <c r="R60" i="19"/>
  <c r="U60" i="19" s="1"/>
  <c r="R28" i="19"/>
  <c r="U28" i="19" s="1"/>
  <c r="R153" i="19"/>
  <c r="U153" i="19" s="1"/>
  <c r="T155" i="19"/>
  <c r="T232" i="19"/>
  <c r="T226" i="19"/>
  <c r="T287" i="19"/>
  <c r="R31" i="19"/>
  <c r="U31" i="19" s="1"/>
  <c r="C29" i="39" s="1"/>
  <c r="R240" i="19"/>
  <c r="U240" i="19" s="1"/>
  <c r="C57" i="33"/>
  <c r="R298" i="19"/>
  <c r="U298" i="19" s="1"/>
  <c r="R303" i="19"/>
  <c r="U303" i="19" s="1"/>
  <c r="R144" i="19"/>
  <c r="U144" i="19" s="1"/>
  <c r="R249" i="19"/>
  <c r="U249" i="19" s="1"/>
  <c r="R145" i="19"/>
  <c r="U145" i="19" s="1"/>
  <c r="C57" i="12"/>
  <c r="R122" i="19"/>
  <c r="U122" i="19" s="1"/>
  <c r="R83" i="19"/>
  <c r="U83" i="19" s="1"/>
  <c r="R38" i="19"/>
  <c r="U38" i="19" s="1"/>
  <c r="T27" i="19"/>
  <c r="T162" i="19"/>
  <c r="R297" i="19"/>
  <c r="U297" i="19" s="1"/>
  <c r="R21" i="19"/>
  <c r="U21" i="19" s="1"/>
  <c r="T55" i="19"/>
  <c r="T54" i="19"/>
  <c r="R86" i="19"/>
  <c r="U86" i="19" s="1"/>
  <c r="R229" i="19"/>
  <c r="U229" i="19" s="1"/>
  <c r="R20" i="19"/>
  <c r="U20" i="19" s="1"/>
  <c r="R67" i="19"/>
  <c r="U67" i="19" s="1"/>
  <c r="C42" i="33"/>
  <c r="T157" i="19"/>
  <c r="C288" i="33"/>
  <c r="C299" i="34" s="1"/>
  <c r="R140" i="19"/>
  <c r="U140" i="19" s="1"/>
  <c r="C138" i="39" s="1"/>
  <c r="R37" i="19"/>
  <c r="U37" i="19" s="1"/>
  <c r="F35" i="32" s="1"/>
  <c r="G35" i="32" s="1"/>
  <c r="R63" i="19"/>
  <c r="U63" i="19" s="1"/>
  <c r="C61" i="39" s="1"/>
  <c r="R279" i="19"/>
  <c r="U279" i="19" s="1"/>
  <c r="F277" i="32" s="1"/>
  <c r="R123" i="19"/>
  <c r="U123" i="19" s="1"/>
  <c r="C121" i="33" s="1"/>
  <c r="R282" i="19"/>
  <c r="U282" i="19" s="1"/>
  <c r="C280" i="39" s="1"/>
  <c r="R40" i="19"/>
  <c r="U40" i="19" s="1"/>
  <c r="C38" i="12" s="1"/>
  <c r="R24" i="19"/>
  <c r="U24" i="19" s="1"/>
  <c r="F22" i="32" s="1"/>
  <c r="G22" i="32" s="1"/>
  <c r="R91" i="19"/>
  <c r="U91" i="19" s="1"/>
  <c r="C89" i="12" s="1"/>
  <c r="R10" i="19"/>
  <c r="U10" i="19" s="1"/>
  <c r="C8" i="12" s="1"/>
  <c r="R220" i="19"/>
  <c r="U220" i="19" s="1"/>
  <c r="C218" i="33" s="1"/>
  <c r="R218" i="19"/>
  <c r="U218" i="19" s="1"/>
  <c r="F216" i="32" s="1"/>
  <c r="R250" i="19"/>
  <c r="U250" i="19" s="1"/>
  <c r="C248" i="39" s="1"/>
  <c r="R233" i="19"/>
  <c r="U233" i="19" s="1"/>
  <c r="F231" i="32" s="1"/>
  <c r="G231" i="32" s="1"/>
  <c r="R22" i="19"/>
  <c r="U22" i="19" s="1"/>
  <c r="F20" i="32" s="1"/>
  <c r="G20" i="32" s="1"/>
  <c r="R135" i="19"/>
  <c r="U135" i="19" s="1"/>
  <c r="C133" i="12" s="1"/>
  <c r="R103" i="19"/>
  <c r="U103" i="19" s="1"/>
  <c r="F101" i="32" s="1"/>
  <c r="R291" i="19"/>
  <c r="U291" i="19" s="1"/>
  <c r="C289" i="33" s="1"/>
  <c r="R72" i="19"/>
  <c r="U72" i="19" s="1"/>
  <c r="C70" i="12" s="1"/>
  <c r="R139" i="19"/>
  <c r="U139" i="19" s="1"/>
  <c r="C137" i="33" s="1"/>
  <c r="R304" i="19"/>
  <c r="U304" i="19" s="1"/>
  <c r="C302" i="12" s="1"/>
  <c r="R215" i="19"/>
  <c r="U215" i="19" s="1"/>
  <c r="C213" i="12" s="1"/>
  <c r="R58" i="19"/>
  <c r="U58" i="19" s="1"/>
  <c r="C56" i="12" s="1"/>
  <c r="R276" i="19"/>
  <c r="U276" i="19" s="1"/>
  <c r="C274" i="12" s="1"/>
  <c r="T143" i="19"/>
  <c r="T170" i="19"/>
  <c r="R190" i="19"/>
  <c r="U190" i="19" s="1"/>
  <c r="F188" i="32" s="1"/>
  <c r="G188" i="32" s="1"/>
  <c r="R41" i="19"/>
  <c r="U41" i="19" s="1"/>
  <c r="F39" i="32" s="1"/>
  <c r="G39" i="32" s="1"/>
  <c r="R57" i="19"/>
  <c r="U57" i="19" s="1"/>
  <c r="C55" i="12" s="1"/>
  <c r="R77" i="19"/>
  <c r="U77" i="19" s="1"/>
  <c r="C75" i="33" s="1"/>
  <c r="T56" i="19"/>
  <c r="T19" i="19"/>
  <c r="R205" i="19"/>
  <c r="U205" i="19" s="1"/>
  <c r="C203" i="12" s="1"/>
  <c r="R172" i="19"/>
  <c r="U172" i="19" s="1"/>
  <c r="F170" i="32" s="1"/>
  <c r="G170" i="32" s="1"/>
  <c r="T154" i="19"/>
  <c r="R236" i="19"/>
  <c r="U236" i="19" s="1"/>
  <c r="C234" i="33" s="1"/>
  <c r="T199" i="19"/>
  <c r="T313" i="19"/>
  <c r="R222" i="19"/>
  <c r="U222" i="19" s="1"/>
  <c r="C220" i="39" s="1"/>
  <c r="R246" i="19"/>
  <c r="U246" i="19" s="1"/>
  <c r="F244" i="32" s="1"/>
  <c r="R252" i="19"/>
  <c r="U252" i="19" s="1"/>
  <c r="F250" i="32" s="1"/>
  <c r="G250" i="32" s="1"/>
  <c r="R18" i="19"/>
  <c r="U18" i="19" s="1"/>
  <c r="C16" i="33" s="1"/>
  <c r="R116" i="19"/>
  <c r="U116" i="19" s="1"/>
  <c r="C114" i="33" s="1"/>
  <c r="R306" i="19"/>
  <c r="U306" i="19" s="1"/>
  <c r="C304" i="39" s="1"/>
  <c r="R207" i="19"/>
  <c r="U207" i="19" s="1"/>
  <c r="C205" i="12" s="1"/>
  <c r="T267" i="19"/>
  <c r="R149" i="19"/>
  <c r="U149" i="19" s="1"/>
  <c r="C147" i="33" s="1"/>
  <c r="R221" i="19"/>
  <c r="U221" i="19" s="1"/>
  <c r="C219" i="12" s="1"/>
  <c r="R87" i="19"/>
  <c r="U87" i="19" s="1"/>
  <c r="C85" i="12" s="1"/>
  <c r="R160" i="19"/>
  <c r="U160" i="19" s="1"/>
  <c r="C158" i="33" s="1"/>
  <c r="R75" i="19"/>
  <c r="U75" i="19" s="1"/>
  <c r="C73" i="39" s="1"/>
  <c r="F288" i="32"/>
  <c r="G288" i="32" s="1"/>
  <c r="R113" i="19"/>
  <c r="U113" i="19" s="1"/>
  <c r="C111" i="39" s="1"/>
  <c r="R36" i="19"/>
  <c r="U36" i="19" s="1"/>
  <c r="F34" i="32" s="1"/>
  <c r="R134" i="19"/>
  <c r="U134" i="19" s="1"/>
  <c r="R200" i="19"/>
  <c r="U200" i="19" s="1"/>
  <c r="C198" i="39" s="1"/>
  <c r="R163" i="19"/>
  <c r="U163" i="19" s="1"/>
  <c r="F161" i="32" s="1"/>
  <c r="G161" i="32" s="1"/>
  <c r="R15" i="19"/>
  <c r="U15" i="19" s="1"/>
  <c r="C13" i="39" s="1"/>
  <c r="R168" i="19"/>
  <c r="U168" i="19" s="1"/>
  <c r="C166" i="33" s="1"/>
  <c r="R194" i="19"/>
  <c r="U194" i="19" s="1"/>
  <c r="F192" i="32" s="1"/>
  <c r="R223" i="19"/>
  <c r="U223" i="19" s="1"/>
  <c r="C221" i="33" s="1"/>
  <c r="R152" i="19"/>
  <c r="U152" i="19" s="1"/>
  <c r="F150" i="32" s="1"/>
  <c r="R198" i="19"/>
  <c r="U198" i="19" s="1"/>
  <c r="C196" i="12" s="1"/>
  <c r="R85" i="19"/>
  <c r="U85" i="19" s="1"/>
  <c r="C83" i="12" s="1"/>
  <c r="R104" i="19"/>
  <c r="U104" i="19" s="1"/>
  <c r="C102" i="39" s="1"/>
  <c r="R78" i="19"/>
  <c r="U78" i="19" s="1"/>
  <c r="C76" i="39" s="1"/>
  <c r="R129" i="19"/>
  <c r="U129" i="19" s="1"/>
  <c r="C127" i="12" s="1"/>
  <c r="R248" i="19"/>
  <c r="U248" i="19" s="1"/>
  <c r="C246" i="12" s="1"/>
  <c r="R255" i="19"/>
  <c r="U255" i="19" s="1"/>
  <c r="C253" i="39" s="1"/>
  <c r="R82" i="19"/>
  <c r="U82" i="19" s="1"/>
  <c r="C80" i="12" s="1"/>
  <c r="R219" i="19"/>
  <c r="U219" i="19" s="1"/>
  <c r="C217" i="12" s="1"/>
  <c r="R76" i="19"/>
  <c r="U76" i="19" s="1"/>
  <c r="C74" i="12" s="1"/>
  <c r="R186" i="19"/>
  <c r="U186" i="19" s="1"/>
  <c r="C184" i="12" s="1"/>
  <c r="R234" i="19"/>
  <c r="U234" i="19" s="1"/>
  <c r="C232" i="12" s="1"/>
  <c r="R258" i="19"/>
  <c r="U258" i="19" s="1"/>
  <c r="C256" i="33" s="1"/>
  <c r="R26" i="19"/>
  <c r="U26" i="19" s="1"/>
  <c r="C24" i="39" s="1"/>
  <c r="R30" i="19"/>
  <c r="U30" i="19" s="1"/>
  <c r="C28" i="12" s="1"/>
  <c r="R138" i="19"/>
  <c r="U138" i="19" s="1"/>
  <c r="C136" i="33" s="1"/>
  <c r="R119" i="19"/>
  <c r="U119" i="19" s="1"/>
  <c r="F117" i="32" s="1"/>
  <c r="G117" i="32" s="1"/>
  <c r="R108" i="19"/>
  <c r="U108" i="19" s="1"/>
  <c r="F106" i="32" s="1"/>
  <c r="R311" i="19"/>
  <c r="U311" i="19" s="1"/>
  <c r="F309" i="32" s="1"/>
  <c r="E237" i="32"/>
  <c r="E154" i="32"/>
  <c r="E234" i="32"/>
  <c r="E55" i="32"/>
  <c r="E113" i="32"/>
  <c r="E149" i="32"/>
  <c r="E155" i="32"/>
  <c r="E220" i="32"/>
  <c r="E63" i="32"/>
  <c r="E197" i="32"/>
  <c r="C42" i="12"/>
  <c r="C42" i="39"/>
  <c r="R127" i="19"/>
  <c r="U127" i="19" s="1"/>
  <c r="C125" i="12" s="1"/>
  <c r="R159" i="19"/>
  <c r="U159" i="19" s="1"/>
  <c r="F157" i="32" s="1"/>
  <c r="R81" i="19"/>
  <c r="U81" i="19" s="1"/>
  <c r="C79" i="12" s="1"/>
  <c r="R191" i="19"/>
  <c r="U191" i="19" s="1"/>
  <c r="C189" i="33" s="1"/>
  <c r="R148" i="19"/>
  <c r="U148" i="19" s="1"/>
  <c r="C146" i="12" s="1"/>
  <c r="R14" i="19"/>
  <c r="U14" i="19" s="1"/>
  <c r="C12" i="12" s="1"/>
  <c r="R23" i="19"/>
  <c r="U23" i="19" s="1"/>
  <c r="F21" i="32" s="1"/>
  <c r="G21" i="32" s="1"/>
  <c r="R46" i="19"/>
  <c r="U46" i="19" s="1"/>
  <c r="F44" i="32" s="1"/>
  <c r="G44" i="32" s="1"/>
  <c r="R296" i="19"/>
  <c r="U296" i="19" s="1"/>
  <c r="C294" i="39" s="1"/>
  <c r="R73" i="19"/>
  <c r="U73" i="19" s="1"/>
  <c r="C71" i="39" s="1"/>
  <c r="R120" i="19"/>
  <c r="U120" i="19" s="1"/>
  <c r="C118" i="33" s="1"/>
  <c r="R262" i="19"/>
  <c r="U262" i="19" s="1"/>
  <c r="C260" i="33" s="1"/>
  <c r="R158" i="19"/>
  <c r="U158" i="19" s="1"/>
  <c r="F156" i="32" s="1"/>
  <c r="G156" i="32" s="1"/>
  <c r="R33" i="19"/>
  <c r="U33" i="19" s="1"/>
  <c r="C31" i="39" s="1"/>
  <c r="T160" i="19"/>
  <c r="T231" i="19"/>
  <c r="T203" i="19"/>
  <c r="R166" i="19"/>
  <c r="U166" i="19" s="1"/>
  <c r="C164" i="12" s="1"/>
  <c r="R142" i="19"/>
  <c r="U142" i="19" s="1"/>
  <c r="C140" i="12" s="1"/>
  <c r="R238" i="19"/>
  <c r="U238" i="19" s="1"/>
  <c r="C236" i="33" s="1"/>
  <c r="T16" i="19"/>
  <c r="T80" i="19"/>
  <c r="R264" i="19"/>
  <c r="U264" i="19" s="1"/>
  <c r="C262" i="33" s="1"/>
  <c r="T204" i="19"/>
  <c r="T210" i="19"/>
  <c r="R34" i="19"/>
  <c r="U34" i="19" s="1"/>
  <c r="C32" i="33" s="1"/>
  <c r="T73" i="19"/>
  <c r="T23" i="19"/>
  <c r="T46" i="19"/>
  <c r="R69" i="19"/>
  <c r="U69" i="19" s="1"/>
  <c r="F67" i="32" s="1"/>
  <c r="T71" i="19"/>
  <c r="T14" i="19"/>
  <c r="T21" i="19"/>
  <c r="T161" i="19"/>
  <c r="R183" i="19"/>
  <c r="U183" i="19" s="1"/>
  <c r="C181" i="39" s="1"/>
  <c r="T128" i="19"/>
  <c r="T108" i="19"/>
  <c r="R214" i="19"/>
  <c r="U214" i="19" s="1"/>
  <c r="C212" i="39" s="1"/>
  <c r="R247" i="19"/>
  <c r="U247" i="19" s="1"/>
  <c r="C245" i="33" s="1"/>
  <c r="R178" i="19"/>
  <c r="U178" i="19" s="1"/>
  <c r="C176" i="39" s="1"/>
  <c r="R277" i="19"/>
  <c r="U277" i="19" s="1"/>
  <c r="C275" i="33" s="1"/>
  <c r="R289" i="19"/>
  <c r="U289" i="19" s="1"/>
  <c r="C287" i="12" s="1"/>
  <c r="T284" i="19"/>
  <c r="R294" i="19"/>
  <c r="U294" i="19" s="1"/>
  <c r="C292" i="39" s="1"/>
  <c r="R295" i="19"/>
  <c r="U295" i="19" s="1"/>
  <c r="C293" i="39" s="1"/>
  <c r="C288" i="12"/>
  <c r="T127" i="19"/>
  <c r="R92" i="19"/>
  <c r="U92" i="19" s="1"/>
  <c r="C90" i="12" s="1"/>
  <c r="R99" i="19"/>
  <c r="U99" i="19" s="1"/>
  <c r="C97" i="33" s="1"/>
  <c r="R169" i="19"/>
  <c r="U169" i="19" s="1"/>
  <c r="C167" i="12" s="1"/>
  <c r="T262" i="19"/>
  <c r="R9" i="19"/>
  <c r="U9" i="19" s="1"/>
  <c r="E16" i="32"/>
  <c r="C23" i="12"/>
  <c r="C23" i="33"/>
  <c r="E23" i="33" s="1"/>
  <c r="D23" i="37" s="1"/>
  <c r="F23" i="32"/>
  <c r="C23" i="39"/>
  <c r="E245" i="32"/>
  <c r="R84" i="19"/>
  <c r="U84" i="19" s="1"/>
  <c r="E101" i="32"/>
  <c r="E193" i="32"/>
  <c r="C295" i="39"/>
  <c r="C295" i="12"/>
  <c r="C295" i="33"/>
  <c r="F295" i="32"/>
  <c r="G295" i="32" s="1"/>
  <c r="C174" i="39"/>
  <c r="C174" i="12"/>
  <c r="C174" i="33"/>
  <c r="F174" i="32"/>
  <c r="G174" i="32" s="1"/>
  <c r="C286" i="39"/>
  <c r="C286" i="12"/>
  <c r="F286" i="32"/>
  <c r="G286" i="32" s="1"/>
  <c r="C286" i="33"/>
  <c r="C51" i="39"/>
  <c r="C51" i="12"/>
  <c r="C51" i="33"/>
  <c r="F51" i="32"/>
  <c r="G51" i="32" s="1"/>
  <c r="C59" i="39"/>
  <c r="C59" i="12"/>
  <c r="C59" i="33"/>
  <c r="F59" i="32"/>
  <c r="G59" i="32" s="1"/>
  <c r="C52" i="39"/>
  <c r="C52" i="12"/>
  <c r="C52" i="33"/>
  <c r="F52" i="32"/>
  <c r="G52" i="32" s="1"/>
  <c r="C115" i="39"/>
  <c r="C115" i="12"/>
  <c r="F115" i="32"/>
  <c r="G115" i="32" s="1"/>
  <c r="C115" i="33"/>
  <c r="C54" i="39"/>
  <c r="C54" i="12"/>
  <c r="C54" i="33"/>
  <c r="F54" i="32"/>
  <c r="G54" i="32" s="1"/>
  <c r="E184" i="32"/>
  <c r="C113" i="39"/>
  <c r="C113" i="12"/>
  <c r="C113" i="33"/>
  <c r="F113" i="32"/>
  <c r="G113" i="32" s="1"/>
  <c r="C304" i="12"/>
  <c r="C249" i="39"/>
  <c r="C249" i="12"/>
  <c r="C249" i="33"/>
  <c r="F249" i="32"/>
  <c r="G249" i="32" s="1"/>
  <c r="C282" i="39"/>
  <c r="C282" i="12"/>
  <c r="F282" i="32"/>
  <c r="C282" i="33"/>
  <c r="C36" i="39"/>
  <c r="C36" i="12"/>
  <c r="C36" i="33"/>
  <c r="F36" i="32"/>
  <c r="G36" i="32" s="1"/>
  <c r="C60" i="39"/>
  <c r="C60" i="12"/>
  <c r="C60" i="33"/>
  <c r="F60" i="32"/>
  <c r="G60" i="32" s="1"/>
  <c r="C91" i="39"/>
  <c r="C91" i="12"/>
  <c r="C91" i="33"/>
  <c r="F91" i="32"/>
  <c r="G91" i="32" s="1"/>
  <c r="C84" i="39"/>
  <c r="C84" i="12"/>
  <c r="C84" i="33"/>
  <c r="F84" i="32"/>
  <c r="G84" i="32" s="1"/>
  <c r="C24" i="33"/>
  <c r="E94" i="32"/>
  <c r="C46" i="39"/>
  <c r="C46" i="12"/>
  <c r="C46" i="33"/>
  <c r="F46" i="32"/>
  <c r="G46" i="32" s="1"/>
  <c r="C69" i="39"/>
  <c r="C69" i="12"/>
  <c r="C69" i="33"/>
  <c r="F69" i="32"/>
  <c r="C9" i="39"/>
  <c r="C9" i="12"/>
  <c r="F9" i="32"/>
  <c r="C9" i="33"/>
  <c r="C19" i="39"/>
  <c r="C19" i="12"/>
  <c r="C19" i="33"/>
  <c r="F19" i="32"/>
  <c r="G19" i="32" s="1"/>
  <c r="C154" i="39"/>
  <c r="C154" i="12"/>
  <c r="C154" i="33"/>
  <c r="F154" i="32"/>
  <c r="C169" i="39"/>
  <c r="C169" i="12"/>
  <c r="C169" i="33"/>
  <c r="F169" i="32"/>
  <c r="C127" i="39"/>
  <c r="C109" i="39"/>
  <c r="C109" i="12"/>
  <c r="C109" i="33"/>
  <c r="F109" i="32"/>
  <c r="G109" i="32" s="1"/>
  <c r="C134" i="39"/>
  <c r="C134" i="12"/>
  <c r="C134" i="33"/>
  <c r="F134" i="32"/>
  <c r="G134" i="32" s="1"/>
  <c r="C152" i="39"/>
  <c r="C152" i="12"/>
  <c r="C152" i="33"/>
  <c r="F152" i="32"/>
  <c r="G152" i="32" s="1"/>
  <c r="C168" i="39"/>
  <c r="C168" i="12"/>
  <c r="C168" i="33"/>
  <c r="F168" i="32"/>
  <c r="G168" i="32" s="1"/>
  <c r="C185" i="39"/>
  <c r="C185" i="12"/>
  <c r="C185" i="33"/>
  <c r="F185" i="32"/>
  <c r="C226" i="39"/>
  <c r="C226" i="12"/>
  <c r="C226" i="33"/>
  <c r="F226" i="32"/>
  <c r="G226" i="32" s="1"/>
  <c r="C258" i="39"/>
  <c r="C258" i="12"/>
  <c r="F258" i="32"/>
  <c r="G258" i="32" s="1"/>
  <c r="C258" i="33"/>
  <c r="C266" i="39"/>
  <c r="C266" i="12"/>
  <c r="C266" i="33"/>
  <c r="F266" i="32"/>
  <c r="G266" i="32" s="1"/>
  <c r="C303" i="39"/>
  <c r="C303" i="12"/>
  <c r="C303" i="33"/>
  <c r="F303" i="32"/>
  <c r="G303" i="32" s="1"/>
  <c r="C235" i="39"/>
  <c r="C235" i="12"/>
  <c r="C235" i="33"/>
  <c r="F235" i="32"/>
  <c r="G235" i="32" s="1"/>
  <c r="C281" i="39"/>
  <c r="C281" i="12"/>
  <c r="F281" i="32"/>
  <c r="C281" i="33"/>
  <c r="C290" i="39"/>
  <c r="C290" i="12"/>
  <c r="F290" i="32"/>
  <c r="C290" i="33"/>
  <c r="C285" i="39"/>
  <c r="C285" i="12"/>
  <c r="F285" i="32"/>
  <c r="G285" i="32" s="1"/>
  <c r="C285" i="33"/>
  <c r="C306" i="39"/>
  <c r="C306" i="12"/>
  <c r="F306" i="32"/>
  <c r="C306" i="33"/>
  <c r="E181" i="32"/>
  <c r="C6" i="39"/>
  <c r="C6" i="12"/>
  <c r="C6" i="33"/>
  <c r="F6" i="32"/>
  <c r="C131" i="39"/>
  <c r="C131" i="12"/>
  <c r="C131" i="33"/>
  <c r="F131" i="32"/>
  <c r="G131" i="32" s="1"/>
  <c r="C230" i="39"/>
  <c r="C230" i="12"/>
  <c r="C230" i="33"/>
  <c r="F230" i="32"/>
  <c r="G230" i="32" s="1"/>
  <c r="C186" i="39"/>
  <c r="C186" i="12"/>
  <c r="C186" i="33"/>
  <c r="F186" i="32"/>
  <c r="G186" i="32" s="1"/>
  <c r="C233" i="39"/>
  <c r="C233" i="12"/>
  <c r="C233" i="33"/>
  <c r="F233" i="32"/>
  <c r="G233" i="32" s="1"/>
  <c r="E280" i="32"/>
  <c r="C211" i="39"/>
  <c r="C211" i="12"/>
  <c r="F211" i="32"/>
  <c r="G211" i="32" s="1"/>
  <c r="C211" i="33"/>
  <c r="C312" i="39"/>
  <c r="C312" i="12"/>
  <c r="C312" i="33"/>
  <c r="F312" i="32"/>
  <c r="G312" i="32" s="1"/>
  <c r="C311" i="12"/>
  <c r="C311" i="39"/>
  <c r="C311" i="33"/>
  <c r="F311" i="32"/>
  <c r="G311" i="32" s="1"/>
  <c r="E177" i="32"/>
  <c r="C123" i="39"/>
  <c r="C123" i="12"/>
  <c r="F123" i="32"/>
  <c r="C123" i="33"/>
  <c r="C122" i="39"/>
  <c r="C122" i="12"/>
  <c r="C122" i="33"/>
  <c r="F122" i="32"/>
  <c r="E192" i="32"/>
  <c r="C63" i="39"/>
  <c r="C63" i="12"/>
  <c r="C63" i="33"/>
  <c r="F63" i="32"/>
  <c r="G63" i="32" s="1"/>
  <c r="C44" i="39"/>
  <c r="C44" i="12"/>
  <c r="C87" i="39"/>
  <c r="C87" i="12"/>
  <c r="C87" i="33"/>
  <c r="F87" i="32"/>
  <c r="G87" i="32" s="1"/>
  <c r="E106" i="32"/>
  <c r="C50" i="39"/>
  <c r="C50" i="12"/>
  <c r="C50" i="33"/>
  <c r="F50" i="32"/>
  <c r="C72" i="39"/>
  <c r="C72" i="12"/>
  <c r="C72" i="33"/>
  <c r="F72" i="32"/>
  <c r="G72" i="32" s="1"/>
  <c r="C10" i="39"/>
  <c r="C10" i="12"/>
  <c r="C10" i="33"/>
  <c r="F10" i="32"/>
  <c r="C27" i="39"/>
  <c r="C27" i="12"/>
  <c r="C27" i="33"/>
  <c r="F27" i="32"/>
  <c r="G27" i="32" s="1"/>
  <c r="C77" i="39"/>
  <c r="C77" i="12"/>
  <c r="C77" i="33"/>
  <c r="F77" i="32"/>
  <c r="G77" i="32" s="1"/>
  <c r="C143" i="39"/>
  <c r="C143" i="12"/>
  <c r="C143" i="33"/>
  <c r="F143" i="32"/>
  <c r="G143" i="32" s="1"/>
  <c r="C173" i="39"/>
  <c r="C173" i="12"/>
  <c r="C173" i="33"/>
  <c r="F173" i="32"/>
  <c r="C145" i="39"/>
  <c r="C145" i="12"/>
  <c r="C145" i="33"/>
  <c r="F145" i="32"/>
  <c r="G145" i="32" s="1"/>
  <c r="C135" i="39"/>
  <c r="C135" i="12"/>
  <c r="C135" i="33"/>
  <c r="F135" i="32"/>
  <c r="C141" i="39"/>
  <c r="C141" i="12"/>
  <c r="C141" i="33"/>
  <c r="F141" i="32"/>
  <c r="G141" i="32" s="1"/>
  <c r="C155" i="39"/>
  <c r="C155" i="12"/>
  <c r="C155" i="33"/>
  <c r="F155" i="32"/>
  <c r="C105" i="39"/>
  <c r="C105" i="12"/>
  <c r="C105" i="33"/>
  <c r="F105" i="32"/>
  <c r="F234" i="32"/>
  <c r="G234" i="32" s="1"/>
  <c r="C215" i="39"/>
  <c r="C215" i="12"/>
  <c r="C215" i="33"/>
  <c r="F215" i="32"/>
  <c r="C207" i="39"/>
  <c r="C207" i="12"/>
  <c r="C207" i="33"/>
  <c r="F207" i="32"/>
  <c r="C225" i="39"/>
  <c r="C225" i="12"/>
  <c r="C225" i="33"/>
  <c r="F225" i="32"/>
  <c r="C202" i="39"/>
  <c r="C202" i="12"/>
  <c r="C202" i="33"/>
  <c r="F202" i="32"/>
  <c r="C237" i="39"/>
  <c r="C237" i="12"/>
  <c r="C237" i="33"/>
  <c r="F237" i="32"/>
  <c r="C224" i="39"/>
  <c r="C224" i="12"/>
  <c r="C224" i="33"/>
  <c r="F224" i="32"/>
  <c r="C275" i="39"/>
  <c r="C201" i="39"/>
  <c r="C201" i="12"/>
  <c r="C201" i="33"/>
  <c r="F201" i="32"/>
  <c r="C243" i="39"/>
  <c r="C243" i="12"/>
  <c r="C243" i="33"/>
  <c r="F243" i="32"/>
  <c r="C310" i="39"/>
  <c r="C310" i="12"/>
  <c r="F310" i="32"/>
  <c r="G310" i="32" s="1"/>
  <c r="C310" i="33"/>
  <c r="C301" i="39"/>
  <c r="C301" i="12"/>
  <c r="F301" i="32"/>
  <c r="C301" i="33"/>
  <c r="C62" i="39"/>
  <c r="C62" i="12"/>
  <c r="C62" i="33"/>
  <c r="F62" i="32"/>
  <c r="G62" i="32" s="1"/>
  <c r="C14" i="39"/>
  <c r="C14" i="12"/>
  <c r="C14" i="33"/>
  <c r="F14" i="32"/>
  <c r="G14" i="32" s="1"/>
  <c r="E98" i="32"/>
  <c r="C43" i="39"/>
  <c r="C43" i="12"/>
  <c r="C43" i="33"/>
  <c r="F43" i="32"/>
  <c r="C78" i="39"/>
  <c r="C78" i="12"/>
  <c r="C78" i="33"/>
  <c r="F78" i="32"/>
  <c r="G78" i="32" s="1"/>
  <c r="C129" i="39"/>
  <c r="C129" i="12"/>
  <c r="C129" i="33"/>
  <c r="F129" i="32"/>
  <c r="G129" i="32" s="1"/>
  <c r="C139" i="39"/>
  <c r="C139" i="12"/>
  <c r="C139" i="33"/>
  <c r="F139" i="32"/>
  <c r="G139" i="32" s="1"/>
  <c r="E172" i="32"/>
  <c r="C268" i="39"/>
  <c r="C268" i="12"/>
  <c r="C268" i="33"/>
  <c r="F268" i="32"/>
  <c r="C241" i="39"/>
  <c r="C241" i="12"/>
  <c r="C241" i="33"/>
  <c r="F241" i="32"/>
  <c r="C194" i="39"/>
  <c r="C194" i="12"/>
  <c r="F194" i="32"/>
  <c r="C194" i="33"/>
  <c r="C297" i="39"/>
  <c r="C297" i="12"/>
  <c r="F297" i="32"/>
  <c r="G297" i="32" s="1"/>
  <c r="C297" i="33"/>
  <c r="C70" i="39"/>
  <c r="C17" i="39"/>
  <c r="C17" i="12"/>
  <c r="C17" i="33"/>
  <c r="F17" i="32"/>
  <c r="E90" i="32"/>
  <c r="C142" i="39"/>
  <c r="C142" i="12"/>
  <c r="C142" i="33"/>
  <c r="F142" i="32"/>
  <c r="G142" i="32" s="1"/>
  <c r="C200" i="39"/>
  <c r="C200" i="12"/>
  <c r="C200" i="33"/>
  <c r="F200" i="32"/>
  <c r="C189" i="39"/>
  <c r="F189" i="32"/>
  <c r="G189" i="32" s="1"/>
  <c r="C238" i="39"/>
  <c r="C238" i="12"/>
  <c r="F238" i="32"/>
  <c r="G238" i="32" s="1"/>
  <c r="C238" i="33"/>
  <c r="C272" i="39"/>
  <c r="C272" i="12"/>
  <c r="C272" i="33"/>
  <c r="F272" i="32"/>
  <c r="G272" i="32" s="1"/>
  <c r="E277" i="32"/>
  <c r="C247" i="39"/>
  <c r="C247" i="12"/>
  <c r="C247" i="33"/>
  <c r="F247" i="32"/>
  <c r="C227" i="39"/>
  <c r="C227" i="12"/>
  <c r="C227" i="33"/>
  <c r="F227" i="32"/>
  <c r="C298" i="39"/>
  <c r="C298" i="12"/>
  <c r="C298" i="33"/>
  <c r="F298" i="32"/>
  <c r="G298" i="32" s="1"/>
  <c r="C296" i="39"/>
  <c r="C296" i="12"/>
  <c r="C296" i="33"/>
  <c r="F296" i="32"/>
  <c r="G296" i="32" s="1"/>
  <c r="C68" i="39"/>
  <c r="C68" i="12"/>
  <c r="C68" i="33"/>
  <c r="F68" i="32"/>
  <c r="G68" i="32" s="1"/>
  <c r="C47" i="39"/>
  <c r="C47" i="12"/>
  <c r="C47" i="33"/>
  <c r="F47" i="32"/>
  <c r="G47" i="32" s="1"/>
  <c r="E86" i="32"/>
  <c r="C30" i="39"/>
  <c r="C30" i="12"/>
  <c r="C30" i="33"/>
  <c r="F30" i="32"/>
  <c r="G30" i="32" s="1"/>
  <c r="C151" i="39"/>
  <c r="C151" i="12"/>
  <c r="F151" i="32"/>
  <c r="G151" i="32" s="1"/>
  <c r="C151" i="33"/>
  <c r="E180" i="32"/>
  <c r="C162" i="39"/>
  <c r="C162" i="12"/>
  <c r="C162" i="33"/>
  <c r="F162" i="32"/>
  <c r="G162" i="32" s="1"/>
  <c r="C93" i="39"/>
  <c r="C93" i="12"/>
  <c r="C93" i="33"/>
  <c r="F93" i="32"/>
  <c r="C153" i="39"/>
  <c r="C153" i="12"/>
  <c r="C153" i="33"/>
  <c r="F153" i="32"/>
  <c r="G153" i="32" s="1"/>
  <c r="C116" i="39"/>
  <c r="C116" i="12"/>
  <c r="C116" i="33"/>
  <c r="F116" i="32"/>
  <c r="C126" i="39"/>
  <c r="C126" i="12"/>
  <c r="C126" i="33"/>
  <c r="F126" i="32"/>
  <c r="G126" i="32" s="1"/>
  <c r="C144" i="39"/>
  <c r="C144" i="12"/>
  <c r="C144" i="33"/>
  <c r="F144" i="32"/>
  <c r="C160" i="39"/>
  <c r="C160" i="12"/>
  <c r="C160" i="33"/>
  <c r="F160" i="32"/>
  <c r="G160" i="32" s="1"/>
  <c r="E173" i="32"/>
  <c r="C210" i="39"/>
  <c r="C210" i="12"/>
  <c r="C210" i="33"/>
  <c r="F210" i="32"/>
  <c r="C242" i="39"/>
  <c r="C242" i="12"/>
  <c r="F242" i="32"/>
  <c r="C242" i="33"/>
  <c r="C192" i="39"/>
  <c r="C192" i="12"/>
  <c r="F220" i="32"/>
  <c r="G220" i="32" s="1"/>
  <c r="C259" i="39"/>
  <c r="C259" i="12"/>
  <c r="C259" i="33"/>
  <c r="F259" i="32"/>
  <c r="G259" i="32" s="1"/>
  <c r="C209" i="39"/>
  <c r="C209" i="12"/>
  <c r="F209" i="32"/>
  <c r="G209" i="32" s="1"/>
  <c r="C209" i="33"/>
  <c r="C240" i="39"/>
  <c r="C240" i="12"/>
  <c r="C240" i="33"/>
  <c r="F240" i="32"/>
  <c r="G240" i="32" s="1"/>
  <c r="C251" i="39"/>
  <c r="C251" i="12"/>
  <c r="C251" i="33"/>
  <c r="F251" i="32"/>
  <c r="G251" i="32" s="1"/>
  <c r="C239" i="39"/>
  <c r="C239" i="12"/>
  <c r="F239" i="32"/>
  <c r="C239" i="33"/>
  <c r="E301" i="32"/>
  <c r="C284" i="39"/>
  <c r="C284" i="12"/>
  <c r="C284" i="33"/>
  <c r="F284" i="32"/>
  <c r="C269" i="39"/>
  <c r="C269" i="12"/>
  <c r="C269" i="33"/>
  <c r="F269" i="32"/>
  <c r="C305" i="39"/>
  <c r="C305" i="12"/>
  <c r="C305" i="33"/>
  <c r="F305" i="32"/>
  <c r="G305" i="32" s="1"/>
  <c r="C11" i="39"/>
  <c r="C11" i="12"/>
  <c r="C11" i="33"/>
  <c r="F11" i="32"/>
  <c r="C86" i="39"/>
  <c r="C86" i="12"/>
  <c r="C86" i="33"/>
  <c r="F86" i="32"/>
  <c r="C130" i="39"/>
  <c r="C130" i="12"/>
  <c r="C130" i="33"/>
  <c r="F130" i="32"/>
  <c r="G130" i="32" s="1"/>
  <c r="C214" i="39"/>
  <c r="C214" i="12"/>
  <c r="C214" i="33"/>
  <c r="F214" i="32"/>
  <c r="C255" i="39"/>
  <c r="C255" i="12"/>
  <c r="F255" i="32"/>
  <c r="C255" i="33"/>
  <c r="C197" i="39"/>
  <c r="C197" i="12"/>
  <c r="C197" i="33"/>
  <c r="F197" i="32"/>
  <c r="C276" i="39"/>
  <c r="C276" i="12"/>
  <c r="F276" i="32"/>
  <c r="G276" i="32" s="1"/>
  <c r="C276" i="33"/>
  <c r="C300" i="39"/>
  <c r="C300" i="12"/>
  <c r="C300" i="33"/>
  <c r="F300" i="32"/>
  <c r="E185" i="32"/>
  <c r="C25" i="39"/>
  <c r="C25" i="12"/>
  <c r="C25" i="33"/>
  <c r="F25" i="32"/>
  <c r="C120" i="39"/>
  <c r="C120" i="12"/>
  <c r="C120" i="33"/>
  <c r="F120" i="32"/>
  <c r="G120" i="32" s="1"/>
  <c r="C98" i="39"/>
  <c r="C98" i="12"/>
  <c r="C98" i="33"/>
  <c r="F98" i="32"/>
  <c r="C110" i="39"/>
  <c r="C110" i="12"/>
  <c r="C110" i="33"/>
  <c r="F110" i="32"/>
  <c r="G110" i="32" s="1"/>
  <c r="C223" i="39"/>
  <c r="C223" i="12"/>
  <c r="C223" i="33"/>
  <c r="F223" i="32"/>
  <c r="C48" i="39"/>
  <c r="C48" i="12"/>
  <c r="C48" i="33"/>
  <c r="F48" i="32"/>
  <c r="C37" i="39"/>
  <c r="C37" i="12"/>
  <c r="C37" i="33"/>
  <c r="F37" i="32"/>
  <c r="C64" i="39"/>
  <c r="C64" i="12"/>
  <c r="C64" i="33"/>
  <c r="F64" i="32"/>
  <c r="C40" i="39"/>
  <c r="C40" i="12"/>
  <c r="C40" i="33"/>
  <c r="F40" i="32"/>
  <c r="E114" i="32"/>
  <c r="C190" i="39"/>
  <c r="C190" i="12"/>
  <c r="F190" i="32"/>
  <c r="C190" i="33"/>
  <c r="C159" i="39"/>
  <c r="C159" i="12"/>
  <c r="C159" i="33"/>
  <c r="F159" i="32"/>
  <c r="C108" i="39"/>
  <c r="C108" i="12"/>
  <c r="F108" i="32"/>
  <c r="G108" i="32" s="1"/>
  <c r="C108" i="33"/>
  <c r="C119" i="39"/>
  <c r="C119" i="12"/>
  <c r="F119" i="32"/>
  <c r="C119" i="33"/>
  <c r="C172" i="39"/>
  <c r="C172" i="12"/>
  <c r="C172" i="33"/>
  <c r="F172" i="32"/>
  <c r="C163" i="39"/>
  <c r="C163" i="12"/>
  <c r="C163" i="33"/>
  <c r="F163" i="32"/>
  <c r="C180" i="39"/>
  <c r="C180" i="12"/>
  <c r="C180" i="33"/>
  <c r="F180" i="32"/>
  <c r="C196" i="39"/>
  <c r="C206" i="39"/>
  <c r="C206" i="12"/>
  <c r="C206" i="33"/>
  <c r="F206" i="32"/>
  <c r="C229" i="39"/>
  <c r="C229" i="12"/>
  <c r="C229" i="33"/>
  <c r="F229" i="32"/>
  <c r="G229" i="32" s="1"/>
  <c r="C208" i="39"/>
  <c r="C208" i="12"/>
  <c r="F208" i="32"/>
  <c r="C208" i="33"/>
  <c r="C254" i="39"/>
  <c r="C254" i="12"/>
  <c r="F254" i="32"/>
  <c r="G254" i="32" s="1"/>
  <c r="C254" i="33"/>
  <c r="C204" i="39"/>
  <c r="C204" i="12"/>
  <c r="C204" i="33"/>
  <c r="F204" i="32"/>
  <c r="G204" i="32" s="1"/>
  <c r="C308" i="39"/>
  <c r="C308" i="12"/>
  <c r="C308" i="33"/>
  <c r="F308" i="32"/>
  <c r="C277" i="39"/>
  <c r="C277" i="12"/>
  <c r="C18" i="39"/>
  <c r="C18" i="12"/>
  <c r="C18" i="33"/>
  <c r="F18" i="32"/>
  <c r="F83" i="32"/>
  <c r="C100" i="39"/>
  <c r="C100" i="12"/>
  <c r="C100" i="33"/>
  <c r="F100" i="32"/>
  <c r="C191" i="39"/>
  <c r="C191" i="12"/>
  <c r="C191" i="33"/>
  <c r="F191" i="32"/>
  <c r="C128" i="39"/>
  <c r="C128" i="12"/>
  <c r="C128" i="33"/>
  <c r="F128" i="32"/>
  <c r="G128" i="32" s="1"/>
  <c r="C228" i="39"/>
  <c r="C228" i="12"/>
  <c r="C228" i="33"/>
  <c r="F228" i="32"/>
  <c r="C222" i="39"/>
  <c r="C222" i="12"/>
  <c r="C222" i="33"/>
  <c r="F222" i="32"/>
  <c r="E293" i="32"/>
  <c r="C257" i="39"/>
  <c r="C257" i="12"/>
  <c r="C257" i="33"/>
  <c r="F257" i="32"/>
  <c r="G257" i="32" s="1"/>
  <c r="E23" i="32"/>
  <c r="E40" i="32"/>
  <c r="E116" i="32"/>
  <c r="E187" i="32"/>
  <c r="E261" i="32"/>
  <c r="E99" i="32"/>
  <c r="E247" i="32"/>
  <c r="E284" i="32"/>
  <c r="C58" i="39"/>
  <c r="C58" i="12"/>
  <c r="C58" i="33"/>
  <c r="F58" i="32"/>
  <c r="C193" i="39"/>
  <c r="C193" i="12"/>
  <c r="C193" i="33"/>
  <c r="F193" i="32"/>
  <c r="E228" i="32"/>
  <c r="E57" i="33"/>
  <c r="D57" i="37" s="1"/>
  <c r="C68" i="34"/>
  <c r="E196" i="32"/>
  <c r="T98" i="19"/>
  <c r="R98" i="19"/>
  <c r="U98" i="19" s="1"/>
  <c r="C33" i="39"/>
  <c r="C33" i="12"/>
  <c r="C33" i="33"/>
  <c r="F33" i="32"/>
  <c r="G33" i="32" s="1"/>
  <c r="E199" i="32"/>
  <c r="C66" i="39"/>
  <c r="C66" i="12"/>
  <c r="C66" i="33"/>
  <c r="F66" i="32"/>
  <c r="C149" i="39"/>
  <c r="C149" i="12"/>
  <c r="C149" i="33"/>
  <c r="F149" i="32"/>
  <c r="E42" i="32"/>
  <c r="G42" i="32" s="1"/>
  <c r="E216" i="32"/>
  <c r="E138" i="32"/>
  <c r="E269" i="32"/>
  <c r="C53" i="34"/>
  <c r="E42" i="33"/>
  <c r="D42" i="37" s="1"/>
  <c r="E123" i="32"/>
  <c r="C65" i="39"/>
  <c r="C65" i="12"/>
  <c r="C65" i="33"/>
  <c r="F65" i="32"/>
  <c r="G65" i="32" s="1"/>
  <c r="F236" i="32"/>
  <c r="E103" i="32"/>
  <c r="E43" i="32"/>
  <c r="E200" i="32"/>
  <c r="C148" i="39"/>
  <c r="C148" i="12"/>
  <c r="C148" i="33"/>
  <c r="F148" i="32"/>
  <c r="C252" i="39"/>
  <c r="C252" i="12"/>
  <c r="C252" i="33"/>
  <c r="F252" i="32"/>
  <c r="C15" i="39"/>
  <c r="C15" i="12"/>
  <c r="C15" i="33"/>
  <c r="F15" i="32"/>
  <c r="G15" i="32" s="1"/>
  <c r="E7" i="32"/>
  <c r="E119" i="32"/>
  <c r="E171" i="32"/>
  <c r="E183" i="32"/>
  <c r="E309" i="32"/>
  <c r="E74" i="32"/>
  <c r="R263" i="19"/>
  <c r="U263" i="19" s="1"/>
  <c r="T263" i="19"/>
  <c r="E260" i="32"/>
  <c r="C124" i="39"/>
  <c r="C124" i="12"/>
  <c r="F124" i="32"/>
  <c r="C124" i="33"/>
  <c r="E224" i="32"/>
  <c r="E236" i="32"/>
  <c r="E253" i="32"/>
  <c r="E239" i="32"/>
  <c r="C49" i="39"/>
  <c r="C49" i="12"/>
  <c r="C49" i="33"/>
  <c r="F49" i="32"/>
  <c r="E207" i="32"/>
  <c r="E241" i="32"/>
  <c r="C81" i="39"/>
  <c r="C81" i="12"/>
  <c r="C81" i="33"/>
  <c r="F81" i="32"/>
  <c r="C260" i="12"/>
  <c r="E56" i="32"/>
  <c r="C265" i="39"/>
  <c r="C265" i="12"/>
  <c r="C265" i="33"/>
  <c r="F265" i="32"/>
  <c r="C45" i="39"/>
  <c r="C45" i="12"/>
  <c r="C45" i="33"/>
  <c r="F45" i="32"/>
  <c r="G45" i="32" s="1"/>
  <c r="E82" i="32"/>
  <c r="E268" i="32"/>
  <c r="T43" i="19"/>
  <c r="R43" i="19"/>
  <c r="U43" i="19" s="1"/>
  <c r="E169" i="32"/>
  <c r="E244" i="32"/>
  <c r="E50" i="32"/>
  <c r="E179" i="32"/>
  <c r="E300" i="32"/>
  <c r="E208" i="32"/>
  <c r="C53" i="39"/>
  <c r="C53" i="12"/>
  <c r="C53" i="33"/>
  <c r="F53" i="32"/>
  <c r="G53" i="32" s="1"/>
  <c r="E271" i="32"/>
  <c r="C165" i="39"/>
  <c r="C165" i="12"/>
  <c r="C165" i="33"/>
  <c r="F165" i="32"/>
  <c r="R109" i="19"/>
  <c r="U109" i="19" s="1"/>
  <c r="T109" i="19"/>
  <c r="R114" i="19"/>
  <c r="U114" i="19" s="1"/>
  <c r="T114" i="19"/>
  <c r="R101" i="19"/>
  <c r="U101" i="19" s="1"/>
  <c r="T101" i="19"/>
  <c r="T90" i="19"/>
  <c r="R90" i="19"/>
  <c r="U90" i="19" s="1"/>
  <c r="R201" i="19"/>
  <c r="U201" i="19" s="1"/>
  <c r="T201" i="19"/>
  <c r="T197" i="19"/>
  <c r="R197" i="19"/>
  <c r="U197" i="19" s="1"/>
  <c r="T177" i="19"/>
  <c r="R177" i="19"/>
  <c r="U177" i="19" s="1"/>
  <c r="R280" i="19"/>
  <c r="U280" i="19" s="1"/>
  <c r="T280" i="19"/>
  <c r="R293" i="19"/>
  <c r="U293" i="19" s="1"/>
  <c r="T293" i="19"/>
  <c r="R96" i="19"/>
  <c r="U96" i="19" s="1"/>
  <c r="T96" i="19"/>
  <c r="T185" i="19"/>
  <c r="R185" i="19"/>
  <c r="U185" i="19" s="1"/>
  <c r="T180" i="19"/>
  <c r="R180" i="19"/>
  <c r="U180" i="19" s="1"/>
  <c r="R189" i="19"/>
  <c r="U189" i="19" s="1"/>
  <c r="T189" i="19"/>
  <c r="T301" i="19"/>
  <c r="R301" i="19"/>
  <c r="U301" i="19" s="1"/>
  <c r="R179" i="19"/>
  <c r="U179" i="19" s="1"/>
  <c r="T179" i="19"/>
  <c r="T265" i="19"/>
  <c r="R265" i="19"/>
  <c r="U265" i="19" s="1"/>
  <c r="R309" i="19"/>
  <c r="U309" i="19" s="1"/>
  <c r="T309" i="19"/>
  <c r="R105" i="19"/>
  <c r="U105" i="19" s="1"/>
  <c r="T105" i="19"/>
  <c r="T97" i="19"/>
  <c r="R97" i="19"/>
  <c r="U97" i="19" s="1"/>
  <c r="T181" i="19"/>
  <c r="R181" i="19"/>
  <c r="U181" i="19" s="1"/>
  <c r="R272" i="19"/>
  <c r="U272" i="19" s="1"/>
  <c r="T272" i="19"/>
  <c r="R184" i="19"/>
  <c r="U184" i="19" s="1"/>
  <c r="T184" i="19"/>
  <c r="R266" i="19"/>
  <c r="U266" i="19" s="1"/>
  <c r="T266" i="19"/>
  <c r="T273" i="19"/>
  <c r="R273" i="19"/>
  <c r="U273" i="19" s="1"/>
  <c r="R269" i="19"/>
  <c r="U269" i="19" s="1"/>
  <c r="T269" i="19"/>
  <c r="T173" i="19"/>
  <c r="R173" i="19"/>
  <c r="U173" i="19" s="1"/>
  <c r="T106" i="19"/>
  <c r="R106" i="19"/>
  <c r="U106" i="19" s="1"/>
  <c r="T94" i="19"/>
  <c r="R94" i="19"/>
  <c r="U94" i="19" s="1"/>
  <c r="R275" i="19"/>
  <c r="U275" i="19" s="1"/>
  <c r="T275" i="19"/>
  <c r="T281" i="19"/>
  <c r="R281" i="19"/>
  <c r="U281" i="19" s="1"/>
  <c r="R285" i="19"/>
  <c r="U285" i="19" s="1"/>
  <c r="T285" i="19"/>
  <c r="I4" i="12"/>
  <c r="F274" i="32" l="1"/>
  <c r="C29" i="33"/>
  <c r="C274" i="33"/>
  <c r="F29" i="32"/>
  <c r="C198" i="33"/>
  <c r="C29" i="12"/>
  <c r="C219" i="33"/>
  <c r="F74" i="32"/>
  <c r="G74" i="32" s="1"/>
  <c r="C133" i="33"/>
  <c r="C106" i="12"/>
  <c r="C26" i="12"/>
  <c r="C26" i="39"/>
  <c r="F26" i="32"/>
  <c r="G26" i="32" s="1"/>
  <c r="C26" i="33"/>
  <c r="C106" i="39"/>
  <c r="F73" i="32"/>
  <c r="G73" i="32" s="1"/>
  <c r="C218" i="12"/>
  <c r="C97" i="39"/>
  <c r="C38" i="39"/>
  <c r="G154" i="32"/>
  <c r="C56" i="39"/>
  <c r="C147" i="12"/>
  <c r="C114" i="12"/>
  <c r="G197" i="32"/>
  <c r="C188" i="33"/>
  <c r="F61" i="32"/>
  <c r="C117" i="33"/>
  <c r="C73" i="12"/>
  <c r="G149" i="32"/>
  <c r="C166" i="12"/>
  <c r="C217" i="39"/>
  <c r="C20" i="33"/>
  <c r="C31" i="34" s="1"/>
  <c r="C74" i="33"/>
  <c r="C83" i="33"/>
  <c r="C216" i="12"/>
  <c r="F246" i="32"/>
  <c r="G246" i="32" s="1"/>
  <c r="C234" i="39"/>
  <c r="C39" i="12"/>
  <c r="F302" i="32"/>
  <c r="F137" i="32"/>
  <c r="G137" i="32" s="1"/>
  <c r="C198" i="12"/>
  <c r="C22" i="12"/>
  <c r="C24" i="12"/>
  <c r="C244" i="33"/>
  <c r="C101" i="12"/>
  <c r="F133" i="32"/>
  <c r="G133" i="32" s="1"/>
  <c r="C293" i="33"/>
  <c r="C216" i="39"/>
  <c r="C246" i="33"/>
  <c r="F138" i="32"/>
  <c r="C39" i="39"/>
  <c r="F219" i="32"/>
  <c r="G219" i="32" s="1"/>
  <c r="C137" i="39"/>
  <c r="C22" i="39"/>
  <c r="F304" i="32"/>
  <c r="G304" i="32" s="1"/>
  <c r="C89" i="33"/>
  <c r="E89" i="33" s="1"/>
  <c r="D89" i="37" s="1"/>
  <c r="C79" i="39"/>
  <c r="G169" i="32"/>
  <c r="C85" i="39"/>
  <c r="C205" i="39"/>
  <c r="C121" i="39"/>
  <c r="C248" i="33"/>
  <c r="C293" i="12"/>
  <c r="F97" i="32"/>
  <c r="G97" i="32" s="1"/>
  <c r="F89" i="32"/>
  <c r="G89" i="32" s="1"/>
  <c r="F121" i="32"/>
  <c r="G121" i="32" s="1"/>
  <c r="C248" i="12"/>
  <c r="C156" i="39"/>
  <c r="C34" i="34"/>
  <c r="C74" i="39"/>
  <c r="C133" i="39"/>
  <c r="G43" i="32"/>
  <c r="F293" i="32"/>
  <c r="E288" i="33"/>
  <c r="D288" i="37" s="1"/>
  <c r="C83" i="39"/>
  <c r="C277" i="33"/>
  <c r="C288" i="34" s="1"/>
  <c r="C216" i="33"/>
  <c r="C250" i="33"/>
  <c r="C261" i="34" s="1"/>
  <c r="C106" i="33"/>
  <c r="C117" i="34" s="1"/>
  <c r="G185" i="32"/>
  <c r="C274" i="39"/>
  <c r="C246" i="39"/>
  <c r="C101" i="33"/>
  <c r="E101" i="33" s="1"/>
  <c r="D101" i="37" s="1"/>
  <c r="C192" i="33"/>
  <c r="C203" i="34" s="1"/>
  <c r="C138" i="33"/>
  <c r="C146" i="39"/>
  <c r="C97" i="12"/>
  <c r="C189" i="12"/>
  <c r="C89" i="39"/>
  <c r="C275" i="12"/>
  <c r="C234" i="12"/>
  <c r="C44" i="33"/>
  <c r="E44" i="33" s="1"/>
  <c r="D44" i="37" s="1"/>
  <c r="C39" i="33"/>
  <c r="C50" i="34" s="1"/>
  <c r="C302" i="39"/>
  <c r="C219" i="39"/>
  <c r="C137" i="12"/>
  <c r="C121" i="12"/>
  <c r="F198" i="32"/>
  <c r="G198" i="32" s="1"/>
  <c r="C22" i="33"/>
  <c r="E22" i="33" s="1"/>
  <c r="D22" i="37" s="1"/>
  <c r="F24" i="32"/>
  <c r="F248" i="32"/>
  <c r="G248" i="32" s="1"/>
  <c r="C304" i="33"/>
  <c r="C315" i="34" s="1"/>
  <c r="C156" i="33"/>
  <c r="C167" i="34" s="1"/>
  <c r="C55" i="39"/>
  <c r="F253" i="32"/>
  <c r="C101" i="39"/>
  <c r="C138" i="12"/>
  <c r="F111" i="32"/>
  <c r="G111" i="32" s="1"/>
  <c r="F275" i="32"/>
  <c r="G275" i="32" s="1"/>
  <c r="C302" i="33"/>
  <c r="E302" i="33" s="1"/>
  <c r="D302" i="37" s="1"/>
  <c r="C184" i="39"/>
  <c r="C161" i="33"/>
  <c r="E161" i="33" s="1"/>
  <c r="D161" i="37" s="1"/>
  <c r="C28" i="39"/>
  <c r="F102" i="32"/>
  <c r="G102" i="32" s="1"/>
  <c r="C309" i="33"/>
  <c r="C320" i="34" s="1"/>
  <c r="F221" i="32"/>
  <c r="G221" i="32" s="1"/>
  <c r="C203" i="39"/>
  <c r="C13" i="33"/>
  <c r="E13" i="33" s="1"/>
  <c r="D13" i="37" s="1"/>
  <c r="C32" i="39"/>
  <c r="C34" i="33"/>
  <c r="E34" i="33" s="1"/>
  <c r="D34" i="37" s="1"/>
  <c r="C158" i="12"/>
  <c r="F71" i="32"/>
  <c r="G71" i="32" s="1"/>
  <c r="C232" i="39"/>
  <c r="C16" i="12"/>
  <c r="F287" i="32"/>
  <c r="G287" i="32" s="1"/>
  <c r="C71" i="33"/>
  <c r="C82" i="34" s="1"/>
  <c r="C213" i="39"/>
  <c r="F289" i="32"/>
  <c r="G289" i="32" s="1"/>
  <c r="C76" i="33"/>
  <c r="C87" i="34" s="1"/>
  <c r="F280" i="32"/>
  <c r="G280" i="32" s="1"/>
  <c r="C80" i="39"/>
  <c r="C35" i="33"/>
  <c r="C46" i="34" s="1"/>
  <c r="C136" i="12"/>
  <c r="C231" i="33"/>
  <c r="E231" i="33" s="1"/>
  <c r="D231" i="37" s="1"/>
  <c r="C212" i="33"/>
  <c r="E212" i="33" s="1"/>
  <c r="D212" i="37" s="1"/>
  <c r="C8" i="39"/>
  <c r="F164" i="32"/>
  <c r="G164" i="32" s="1"/>
  <c r="C16" i="39"/>
  <c r="C287" i="39"/>
  <c r="C31" i="33"/>
  <c r="E31" i="33" s="1"/>
  <c r="D31" i="37" s="1"/>
  <c r="G244" i="32"/>
  <c r="G268" i="32"/>
  <c r="C164" i="39"/>
  <c r="C32" i="12"/>
  <c r="F31" i="32"/>
  <c r="G31" i="32" s="1"/>
  <c r="C280" i="33"/>
  <c r="C291" i="34" s="1"/>
  <c r="C75" i="12"/>
  <c r="C170" i="33"/>
  <c r="E170" i="33" s="1"/>
  <c r="D170" i="37" s="1"/>
  <c r="C150" i="33"/>
  <c r="E150" i="33" s="1"/>
  <c r="D150" i="37" s="1"/>
  <c r="G241" i="32"/>
  <c r="C164" i="33"/>
  <c r="E164" i="33" s="1"/>
  <c r="D164" i="37" s="1"/>
  <c r="G138" i="32"/>
  <c r="F32" i="32"/>
  <c r="G32" i="32" s="1"/>
  <c r="F16" i="32"/>
  <c r="G16" i="32" s="1"/>
  <c r="C287" i="33"/>
  <c r="C298" i="34" s="1"/>
  <c r="C31" i="12"/>
  <c r="C71" i="12"/>
  <c r="C280" i="12"/>
  <c r="F213" i="32"/>
  <c r="G213" i="32" s="1"/>
  <c r="F80" i="32"/>
  <c r="G80" i="32" s="1"/>
  <c r="C12" i="39"/>
  <c r="C34" i="12"/>
  <c r="C158" i="39"/>
  <c r="C35" i="12"/>
  <c r="C136" i="39"/>
  <c r="C75" i="39"/>
  <c r="C289" i="12"/>
  <c r="C231" i="12"/>
  <c r="F13" i="32"/>
  <c r="G13" i="32" s="1"/>
  <c r="F76" i="32"/>
  <c r="G76" i="32" s="1"/>
  <c r="F212" i="32"/>
  <c r="G212" i="32" s="1"/>
  <c r="F232" i="32"/>
  <c r="G232" i="32" s="1"/>
  <c r="C170" i="12"/>
  <c r="F8" i="32"/>
  <c r="C256" i="12"/>
  <c r="C150" i="12"/>
  <c r="C213" i="33"/>
  <c r="C224" i="34" s="1"/>
  <c r="C80" i="33"/>
  <c r="E80" i="33" s="1"/>
  <c r="D80" i="37" s="1"/>
  <c r="C34" i="39"/>
  <c r="F158" i="32"/>
  <c r="G158" i="32" s="1"/>
  <c r="C35" i="39"/>
  <c r="F136" i="32"/>
  <c r="G136" i="32" s="1"/>
  <c r="F75" i="32"/>
  <c r="G75" i="32" s="1"/>
  <c r="C289" i="39"/>
  <c r="C231" i="39"/>
  <c r="C13" i="12"/>
  <c r="C76" i="12"/>
  <c r="C212" i="12"/>
  <c r="C232" i="33"/>
  <c r="C243" i="34" s="1"/>
  <c r="C170" i="39"/>
  <c r="C8" i="33"/>
  <c r="C19" i="34" s="1"/>
  <c r="C118" i="12"/>
  <c r="C150" i="39"/>
  <c r="C67" i="12"/>
  <c r="C140" i="33"/>
  <c r="E140" i="33" s="1"/>
  <c r="D140" i="37" s="1"/>
  <c r="C73" i="33"/>
  <c r="C84" i="34" s="1"/>
  <c r="C166" i="39"/>
  <c r="F196" i="32"/>
  <c r="G196" i="32" s="1"/>
  <c r="C218" i="39"/>
  <c r="C147" i="39"/>
  <c r="C114" i="39"/>
  <c r="C188" i="12"/>
  <c r="C220" i="33"/>
  <c r="E220" i="33" s="1"/>
  <c r="D220" i="37" s="1"/>
  <c r="C61" i="33"/>
  <c r="E61" i="33" s="1"/>
  <c r="D61" i="37" s="1"/>
  <c r="F79" i="32"/>
  <c r="G79" i="32" s="1"/>
  <c r="F70" i="32"/>
  <c r="G70" i="32" s="1"/>
  <c r="F38" i="32"/>
  <c r="G38" i="32" s="1"/>
  <c r="F217" i="32"/>
  <c r="G217" i="32" s="1"/>
  <c r="F127" i="32"/>
  <c r="G127" i="32" s="1"/>
  <c r="F56" i="32"/>
  <c r="G56" i="32" s="1"/>
  <c r="C256" i="39"/>
  <c r="C118" i="39"/>
  <c r="C117" i="12"/>
  <c r="C20" i="12"/>
  <c r="C220" i="12"/>
  <c r="C61" i="12"/>
  <c r="C79" i="33"/>
  <c r="C90" i="34" s="1"/>
  <c r="C70" i="33"/>
  <c r="E70" i="33" s="1"/>
  <c r="D70" i="37" s="1"/>
  <c r="C38" i="33"/>
  <c r="C49" i="34" s="1"/>
  <c r="C21" i="33"/>
  <c r="E21" i="33" s="1"/>
  <c r="D21" i="37" s="1"/>
  <c r="C217" i="33"/>
  <c r="C228" i="34" s="1"/>
  <c r="C127" i="33"/>
  <c r="E127" i="33" s="1"/>
  <c r="D127" i="37" s="1"/>
  <c r="C56" i="33"/>
  <c r="E56" i="33" s="1"/>
  <c r="D56" i="37" s="1"/>
  <c r="F256" i="32"/>
  <c r="G256" i="32" s="1"/>
  <c r="F118" i="32"/>
  <c r="G118" i="32" s="1"/>
  <c r="C117" i="39"/>
  <c r="C20" i="39"/>
  <c r="F166" i="32"/>
  <c r="G166" i="32" s="1"/>
  <c r="C196" i="33"/>
  <c r="C207" i="34" s="1"/>
  <c r="F218" i="32"/>
  <c r="G218" i="32" s="1"/>
  <c r="F147" i="32"/>
  <c r="G147" i="32" s="1"/>
  <c r="F114" i="32"/>
  <c r="G114" i="32" s="1"/>
  <c r="C188" i="39"/>
  <c r="C21" i="12"/>
  <c r="C21" i="39"/>
  <c r="C157" i="12"/>
  <c r="F260" i="32"/>
  <c r="G260" i="32" s="1"/>
  <c r="C236" i="39"/>
  <c r="G306" i="32"/>
  <c r="G290" i="32"/>
  <c r="F184" i="32"/>
  <c r="G184" i="32" s="1"/>
  <c r="C250" i="12"/>
  <c r="C161" i="12"/>
  <c r="F85" i="32"/>
  <c r="G85" i="32" s="1"/>
  <c r="F55" i="32"/>
  <c r="G55" i="32" s="1"/>
  <c r="C253" i="33"/>
  <c r="C264" i="34" s="1"/>
  <c r="F28" i="32"/>
  <c r="G28" i="32" s="1"/>
  <c r="C205" i="33"/>
  <c r="C216" i="34" s="1"/>
  <c r="C111" i="33"/>
  <c r="E111" i="33" s="1"/>
  <c r="D111" i="37" s="1"/>
  <c r="C102" i="33"/>
  <c r="C113" i="34" s="1"/>
  <c r="C309" i="12"/>
  <c r="F294" i="32"/>
  <c r="G294" i="32" s="1"/>
  <c r="C221" i="12"/>
  <c r="C67" i="33"/>
  <c r="C78" i="34" s="1"/>
  <c r="F203" i="32"/>
  <c r="C244" i="12"/>
  <c r="C244" i="39"/>
  <c r="F292" i="32"/>
  <c r="G292" i="32" s="1"/>
  <c r="C253" i="12"/>
  <c r="F205" i="32"/>
  <c r="G205" i="32" s="1"/>
  <c r="C111" i="12"/>
  <c r="C102" i="12"/>
  <c r="C309" i="39"/>
  <c r="F176" i="32"/>
  <c r="G176" i="32" s="1"/>
  <c r="C221" i="39"/>
  <c r="C203" i="33"/>
  <c r="E203" i="33" s="1"/>
  <c r="D203" i="37" s="1"/>
  <c r="G302" i="32"/>
  <c r="G61" i="32"/>
  <c r="C184" i="33"/>
  <c r="E184" i="33" s="1"/>
  <c r="D184" i="37" s="1"/>
  <c r="C250" i="39"/>
  <c r="C161" i="39"/>
  <c r="C85" i="33"/>
  <c r="C96" i="34" s="1"/>
  <c r="C55" i="33"/>
  <c r="C66" i="34" s="1"/>
  <c r="C28" i="33"/>
  <c r="C39" i="34" s="1"/>
  <c r="G282" i="32"/>
  <c r="G309" i="32"/>
  <c r="G200" i="32"/>
  <c r="G281" i="32"/>
  <c r="G123" i="32"/>
  <c r="G23" i="32"/>
  <c r="C167" i="39"/>
  <c r="C67" i="39"/>
  <c r="F132" i="32"/>
  <c r="G132" i="32" s="1"/>
  <c r="C132" i="39"/>
  <c r="C132" i="12"/>
  <c r="C132" i="33"/>
  <c r="G242" i="32"/>
  <c r="G24" i="32"/>
  <c r="C260" i="39"/>
  <c r="G8" i="32"/>
  <c r="C236" i="12"/>
  <c r="C292" i="33"/>
  <c r="C303" i="34" s="1"/>
  <c r="C167" i="33"/>
  <c r="E167" i="33" s="1"/>
  <c r="D167" i="37" s="1"/>
  <c r="F146" i="32"/>
  <c r="G146" i="32" s="1"/>
  <c r="C294" i="33"/>
  <c r="E294" i="33" s="1"/>
  <c r="D294" i="37" s="1"/>
  <c r="C176" i="33"/>
  <c r="C187" i="34" s="1"/>
  <c r="F167" i="32"/>
  <c r="G167" i="32" s="1"/>
  <c r="C146" i="33"/>
  <c r="E146" i="33" s="1"/>
  <c r="D146" i="37" s="1"/>
  <c r="C294" i="12"/>
  <c r="C176" i="12"/>
  <c r="C292" i="12"/>
  <c r="G253" i="32"/>
  <c r="G34" i="32"/>
  <c r="G157" i="32"/>
  <c r="C125" i="33"/>
  <c r="G300" i="32"/>
  <c r="C156" i="12"/>
  <c r="G119" i="32"/>
  <c r="G6" i="32"/>
  <c r="G247" i="32"/>
  <c r="F12" i="32"/>
  <c r="G12" i="32" s="1"/>
  <c r="F245" i="32"/>
  <c r="G105" i="32"/>
  <c r="C12" i="33"/>
  <c r="C23" i="34" s="1"/>
  <c r="C262" i="12"/>
  <c r="C157" i="39"/>
  <c r="C157" i="33"/>
  <c r="G69" i="32"/>
  <c r="G225" i="32"/>
  <c r="G50" i="32"/>
  <c r="C140" i="39"/>
  <c r="C90" i="39"/>
  <c r="F181" i="32"/>
  <c r="C125" i="39"/>
  <c r="F125" i="32"/>
  <c r="G67" i="32"/>
  <c r="F140" i="32"/>
  <c r="G140" i="32" s="1"/>
  <c r="G48" i="32"/>
  <c r="G237" i="32"/>
  <c r="G37" i="32"/>
  <c r="G122" i="32"/>
  <c r="G224" i="32"/>
  <c r="G255" i="32"/>
  <c r="G25" i="32"/>
  <c r="G40" i="32"/>
  <c r="C245" i="12"/>
  <c r="F90" i="32"/>
  <c r="G90" i="32" s="1"/>
  <c r="C181" i="33"/>
  <c r="C192" i="34" s="1"/>
  <c r="C262" i="39"/>
  <c r="C245" i="39"/>
  <c r="C90" i="33"/>
  <c r="E90" i="33" s="1"/>
  <c r="D90" i="37" s="1"/>
  <c r="C181" i="12"/>
  <c r="F262" i="32"/>
  <c r="G9" i="32"/>
  <c r="G150" i="32"/>
  <c r="G207" i="32"/>
  <c r="G10" i="32"/>
  <c r="G155" i="32"/>
  <c r="G135" i="32"/>
  <c r="G173" i="32"/>
  <c r="G100" i="32"/>
  <c r="F7" i="32"/>
  <c r="G7" i="32" s="1"/>
  <c r="C7" i="39"/>
  <c r="C7" i="12"/>
  <c r="C7" i="33"/>
  <c r="G17" i="32"/>
  <c r="G269" i="32"/>
  <c r="G227" i="32"/>
  <c r="G11" i="32"/>
  <c r="G116" i="32"/>
  <c r="G239" i="32"/>
  <c r="G308" i="32"/>
  <c r="G29" i="32"/>
  <c r="G284" i="32"/>
  <c r="G274" i="32"/>
  <c r="G210" i="32"/>
  <c r="G159" i="32"/>
  <c r="G243" i="32"/>
  <c r="G265" i="32"/>
  <c r="G58" i="32"/>
  <c r="G18" i="32"/>
  <c r="G83" i="32"/>
  <c r="G144" i="32"/>
  <c r="G228" i="32"/>
  <c r="C82" i="39"/>
  <c r="C82" i="12"/>
  <c r="F82" i="32"/>
  <c r="G82" i="32" s="1"/>
  <c r="C82" i="33"/>
  <c r="G81" i="32"/>
  <c r="G101" i="32"/>
  <c r="G49" i="32"/>
  <c r="G193" i="32"/>
  <c r="G293" i="32"/>
  <c r="G86" i="32"/>
  <c r="G202" i="32"/>
  <c r="C183" i="39"/>
  <c r="C183" i="12"/>
  <c r="C183" i="33"/>
  <c r="F183" i="32"/>
  <c r="C283" i="39"/>
  <c r="C283" i="12"/>
  <c r="C283" i="33"/>
  <c r="F283" i="32"/>
  <c r="G283" i="32" s="1"/>
  <c r="C177" i="39"/>
  <c r="C177" i="12"/>
  <c r="F177" i="32"/>
  <c r="C177" i="33"/>
  <c r="C279" i="39"/>
  <c r="C279" i="12"/>
  <c r="C279" i="33"/>
  <c r="F279" i="32"/>
  <c r="C171" i="39"/>
  <c r="C171" i="12"/>
  <c r="C171" i="33"/>
  <c r="F171" i="32"/>
  <c r="C299" i="39"/>
  <c r="C299" i="12"/>
  <c r="C299" i="33"/>
  <c r="F299" i="32"/>
  <c r="G299" i="32" s="1"/>
  <c r="C195" i="39"/>
  <c r="C195" i="12"/>
  <c r="C195" i="33"/>
  <c r="F195" i="32"/>
  <c r="C41" i="39"/>
  <c r="C41" i="12"/>
  <c r="C41" i="33"/>
  <c r="F41" i="32"/>
  <c r="G252" i="32"/>
  <c r="G206" i="32"/>
  <c r="E222" i="33"/>
  <c r="D222" i="37" s="1"/>
  <c r="C233" i="34"/>
  <c r="C139" i="34"/>
  <c r="E128" i="33"/>
  <c r="D128" i="37" s="1"/>
  <c r="C111" i="34"/>
  <c r="E100" i="33"/>
  <c r="D100" i="37" s="1"/>
  <c r="E32" i="33"/>
  <c r="D32" i="37" s="1"/>
  <c r="C43" i="34"/>
  <c r="E18" i="33"/>
  <c r="D18" i="37" s="1"/>
  <c r="C29" i="34"/>
  <c r="E40" i="33"/>
  <c r="D40" i="37" s="1"/>
  <c r="C51" i="34"/>
  <c r="E37" i="33"/>
  <c r="D37" i="37" s="1"/>
  <c r="C48" i="34"/>
  <c r="C234" i="34"/>
  <c r="E223" i="33"/>
  <c r="D223" i="37" s="1"/>
  <c r="C121" i="34"/>
  <c r="E110" i="33"/>
  <c r="D110" i="37" s="1"/>
  <c r="E120" i="33"/>
  <c r="D120" i="37" s="1"/>
  <c r="C131" i="34"/>
  <c r="E25" i="33"/>
  <c r="D25" i="37" s="1"/>
  <c r="C36" i="34"/>
  <c r="G148" i="32"/>
  <c r="C280" i="34"/>
  <c r="E269" i="33"/>
  <c r="D269" i="37" s="1"/>
  <c r="G301" i="32"/>
  <c r="C171" i="34"/>
  <c r="E160" i="33"/>
  <c r="D160" i="37" s="1"/>
  <c r="E126" i="33"/>
  <c r="D126" i="37" s="1"/>
  <c r="C137" i="34"/>
  <c r="C127" i="34"/>
  <c r="E116" i="33"/>
  <c r="D116" i="37" s="1"/>
  <c r="E93" i="33"/>
  <c r="D93" i="37" s="1"/>
  <c r="C104" i="34"/>
  <c r="C173" i="34"/>
  <c r="E162" i="33"/>
  <c r="D162" i="37" s="1"/>
  <c r="C58" i="34"/>
  <c r="E47" i="33"/>
  <c r="D47" i="37" s="1"/>
  <c r="C249" i="34"/>
  <c r="E238" i="33"/>
  <c r="D238" i="37" s="1"/>
  <c r="E297" i="33"/>
  <c r="D297" i="37" s="1"/>
  <c r="C308" i="34"/>
  <c r="C205" i="34"/>
  <c r="E194" i="33"/>
  <c r="D194" i="37" s="1"/>
  <c r="E211" i="33"/>
  <c r="D211" i="37" s="1"/>
  <c r="C222" i="34"/>
  <c r="C296" i="34"/>
  <c r="E285" i="33"/>
  <c r="D285" i="37" s="1"/>
  <c r="E281" i="33"/>
  <c r="D281" i="37" s="1"/>
  <c r="C292" i="34"/>
  <c r="C232" i="34"/>
  <c r="E221" i="33"/>
  <c r="D221" i="37" s="1"/>
  <c r="E249" i="33"/>
  <c r="D249" i="37" s="1"/>
  <c r="C260" i="34"/>
  <c r="C129" i="34"/>
  <c r="E118" i="33"/>
  <c r="D118" i="37" s="1"/>
  <c r="C70" i="34"/>
  <c r="E59" i="33"/>
  <c r="D59" i="37" s="1"/>
  <c r="E295" i="33"/>
  <c r="D295" i="37" s="1"/>
  <c r="C306" i="34"/>
  <c r="C182" i="39"/>
  <c r="C182" i="12"/>
  <c r="C182" i="33"/>
  <c r="F182" i="32"/>
  <c r="C103" i="39"/>
  <c r="C103" i="12"/>
  <c r="C103" i="33"/>
  <c r="F103" i="32"/>
  <c r="G103" i="32" s="1"/>
  <c r="C94" i="39"/>
  <c r="C94" i="12"/>
  <c r="C94" i="33"/>
  <c r="F94" i="32"/>
  <c r="G94" i="32" s="1"/>
  <c r="C112" i="39"/>
  <c r="C112" i="12"/>
  <c r="C112" i="33"/>
  <c r="F112" i="32"/>
  <c r="E265" i="33"/>
  <c r="D265" i="37" s="1"/>
  <c r="C276" i="34"/>
  <c r="E81" i="33"/>
  <c r="D81" i="37" s="1"/>
  <c r="C92" i="34"/>
  <c r="E49" i="33"/>
  <c r="D49" i="37" s="1"/>
  <c r="C60" i="34"/>
  <c r="C261" i="39"/>
  <c r="C261" i="12"/>
  <c r="F261" i="32"/>
  <c r="G261" i="32" s="1"/>
  <c r="C261" i="33"/>
  <c r="E236" i="33"/>
  <c r="D236" i="37" s="1"/>
  <c r="C247" i="34"/>
  <c r="E33" i="33"/>
  <c r="D33" i="37" s="1"/>
  <c r="C44" i="34"/>
  <c r="C69" i="34"/>
  <c r="E58" i="33"/>
  <c r="D58" i="37" s="1"/>
  <c r="C265" i="34"/>
  <c r="E254" i="33"/>
  <c r="D254" i="37" s="1"/>
  <c r="E239" i="33"/>
  <c r="D239" i="37" s="1"/>
  <c r="C250" i="34"/>
  <c r="E151" i="33"/>
  <c r="D151" i="37" s="1"/>
  <c r="C162" i="34"/>
  <c r="E200" i="33"/>
  <c r="D200" i="37" s="1"/>
  <c r="C211" i="34"/>
  <c r="E158" i="33"/>
  <c r="D158" i="37" s="1"/>
  <c r="C169" i="34"/>
  <c r="E268" i="33"/>
  <c r="D268" i="37" s="1"/>
  <c r="C279" i="34"/>
  <c r="C140" i="34"/>
  <c r="E129" i="33"/>
  <c r="D129" i="37" s="1"/>
  <c r="C54" i="34"/>
  <c r="E43" i="33"/>
  <c r="D43" i="37" s="1"/>
  <c r="E289" i="33"/>
  <c r="D289" i="37" s="1"/>
  <c r="C300" i="34"/>
  <c r="G192" i="32"/>
  <c r="C323" i="34"/>
  <c r="E312" i="33"/>
  <c r="D312" i="37" s="1"/>
  <c r="G194" i="32"/>
  <c r="C273" i="34"/>
  <c r="E262" i="33"/>
  <c r="D262" i="37" s="1"/>
  <c r="C237" i="34"/>
  <c r="E226" i="33"/>
  <c r="D226" i="37" s="1"/>
  <c r="C179" i="34"/>
  <c r="E168" i="33"/>
  <c r="D168" i="37" s="1"/>
  <c r="C145" i="34"/>
  <c r="E134" i="33"/>
  <c r="D134" i="37" s="1"/>
  <c r="C95" i="34"/>
  <c r="E84" i="33"/>
  <c r="D84" i="37" s="1"/>
  <c r="C71" i="34"/>
  <c r="E60" i="33"/>
  <c r="D60" i="37" s="1"/>
  <c r="C176" i="34"/>
  <c r="E165" i="33"/>
  <c r="D165" i="37" s="1"/>
  <c r="C77" i="34"/>
  <c r="E66" i="33"/>
  <c r="D66" i="37" s="1"/>
  <c r="C304" i="34"/>
  <c r="E293" i="33"/>
  <c r="D293" i="37" s="1"/>
  <c r="E257" i="33"/>
  <c r="D257" i="37" s="1"/>
  <c r="C268" i="34"/>
  <c r="G124" i="32"/>
  <c r="C319" i="34"/>
  <c r="E308" i="33"/>
  <c r="D308" i="37" s="1"/>
  <c r="C240" i="34"/>
  <c r="E229" i="33"/>
  <c r="D229" i="37" s="1"/>
  <c r="C229" i="34"/>
  <c r="E218" i="33"/>
  <c r="D218" i="37" s="1"/>
  <c r="E163" i="33"/>
  <c r="D163" i="37" s="1"/>
  <c r="C174" i="34"/>
  <c r="C183" i="34"/>
  <c r="E172" i="33"/>
  <c r="D172" i="37" s="1"/>
  <c r="E159" i="33"/>
  <c r="D159" i="37" s="1"/>
  <c r="C170" i="34"/>
  <c r="E276" i="33"/>
  <c r="D276" i="37" s="1"/>
  <c r="C287" i="34"/>
  <c r="E251" i="33"/>
  <c r="D251" i="37" s="1"/>
  <c r="C262" i="34"/>
  <c r="C251" i="34"/>
  <c r="E240" i="33"/>
  <c r="D240" i="37" s="1"/>
  <c r="E259" i="33"/>
  <c r="D259" i="37" s="1"/>
  <c r="C270" i="34"/>
  <c r="C221" i="34"/>
  <c r="E210" i="33"/>
  <c r="D210" i="37" s="1"/>
  <c r="G190" i="32"/>
  <c r="E243" i="33"/>
  <c r="D243" i="37" s="1"/>
  <c r="C254" i="34"/>
  <c r="E275" i="33"/>
  <c r="D275" i="37" s="1"/>
  <c r="C286" i="34"/>
  <c r="C213" i="34"/>
  <c r="E202" i="33"/>
  <c r="D202" i="37" s="1"/>
  <c r="E207" i="33"/>
  <c r="D207" i="37" s="1"/>
  <c r="C218" i="34"/>
  <c r="C245" i="34"/>
  <c r="E234" i="33"/>
  <c r="D234" i="37" s="1"/>
  <c r="E155" i="33"/>
  <c r="D155" i="37" s="1"/>
  <c r="C166" i="34"/>
  <c r="C146" i="34"/>
  <c r="E135" i="33"/>
  <c r="D135" i="37" s="1"/>
  <c r="C184" i="34"/>
  <c r="E173" i="33"/>
  <c r="D173" i="37" s="1"/>
  <c r="E39" i="33"/>
  <c r="D39" i="37" s="1"/>
  <c r="G214" i="32"/>
  <c r="C63" i="34"/>
  <c r="E52" i="33"/>
  <c r="D52" i="37" s="1"/>
  <c r="C297" i="34"/>
  <c r="E286" i="33"/>
  <c r="D286" i="37" s="1"/>
  <c r="C270" i="39"/>
  <c r="C270" i="12"/>
  <c r="C270" i="33"/>
  <c r="F270" i="32"/>
  <c r="C291" i="39"/>
  <c r="C291" i="12"/>
  <c r="C291" i="33"/>
  <c r="F291" i="32"/>
  <c r="G291" i="32" s="1"/>
  <c r="C107" i="39"/>
  <c r="C107" i="12"/>
  <c r="C107" i="33"/>
  <c r="F107" i="32"/>
  <c r="C85" i="34"/>
  <c r="E74" i="33"/>
  <c r="D74" i="37" s="1"/>
  <c r="G191" i="32"/>
  <c r="C42" i="34"/>
  <c r="E274" i="33"/>
  <c r="D274" i="37" s="1"/>
  <c r="C285" i="34"/>
  <c r="C208" i="34"/>
  <c r="E197" i="33"/>
  <c r="D197" i="37" s="1"/>
  <c r="C199" i="34"/>
  <c r="E188" i="33"/>
  <c r="D188" i="37" s="1"/>
  <c r="E214" i="33"/>
  <c r="D214" i="37" s="1"/>
  <c r="C225" i="34"/>
  <c r="C149" i="34"/>
  <c r="E138" i="33"/>
  <c r="D138" i="37" s="1"/>
  <c r="E296" i="33"/>
  <c r="D296" i="37" s="1"/>
  <c r="C307" i="34"/>
  <c r="E227" i="33"/>
  <c r="D227" i="37" s="1"/>
  <c r="C238" i="34"/>
  <c r="G277" i="32"/>
  <c r="E17" i="33"/>
  <c r="D17" i="37" s="1"/>
  <c r="C28" i="34"/>
  <c r="C147" i="34"/>
  <c r="E136" i="33"/>
  <c r="D136" i="37" s="1"/>
  <c r="C86" i="34"/>
  <c r="E75" i="33"/>
  <c r="D75" i="37" s="1"/>
  <c r="E77" i="33"/>
  <c r="D77" i="37" s="1"/>
  <c r="C88" i="34"/>
  <c r="E10" i="33"/>
  <c r="D10" i="37" s="1"/>
  <c r="C21" i="34"/>
  <c r="C61" i="34"/>
  <c r="E50" i="33"/>
  <c r="D50" i="37" s="1"/>
  <c r="G201" i="32"/>
  <c r="G222" i="32"/>
  <c r="C244" i="34"/>
  <c r="E233" i="33"/>
  <c r="D233" i="37" s="1"/>
  <c r="C241" i="34"/>
  <c r="E230" i="33"/>
  <c r="D230" i="37" s="1"/>
  <c r="C142" i="34"/>
  <c r="E131" i="33"/>
  <c r="D131" i="37" s="1"/>
  <c r="E6" i="33"/>
  <c r="D6" i="37" s="1"/>
  <c r="C17" i="34"/>
  <c r="C30" i="34"/>
  <c r="E19" i="33"/>
  <c r="D19" i="37" s="1"/>
  <c r="C33" i="34"/>
  <c r="E69" i="33"/>
  <c r="D69" i="37" s="1"/>
  <c r="C80" i="34"/>
  <c r="E282" i="33"/>
  <c r="D282" i="37" s="1"/>
  <c r="C293" i="34"/>
  <c r="E174" i="33"/>
  <c r="D174" i="37" s="1"/>
  <c r="C185" i="34"/>
  <c r="G93" i="32"/>
  <c r="C273" i="39"/>
  <c r="C273" i="12"/>
  <c r="F273" i="32"/>
  <c r="G273" i="32" s="1"/>
  <c r="C273" i="33"/>
  <c r="C267" i="39"/>
  <c r="C267" i="12"/>
  <c r="C267" i="33"/>
  <c r="F267" i="32"/>
  <c r="G267" i="32" s="1"/>
  <c r="C307" i="39"/>
  <c r="C307" i="12"/>
  <c r="C307" i="33"/>
  <c r="F307" i="32"/>
  <c r="C187" i="39"/>
  <c r="C187" i="12"/>
  <c r="C187" i="33"/>
  <c r="F187" i="32"/>
  <c r="C199" i="39"/>
  <c r="C199" i="12"/>
  <c r="C199" i="33"/>
  <c r="F199" i="32"/>
  <c r="G199" i="32" s="1"/>
  <c r="C92" i="39"/>
  <c r="C92" i="12"/>
  <c r="C92" i="33"/>
  <c r="F92" i="32"/>
  <c r="C271" i="39"/>
  <c r="C271" i="12"/>
  <c r="F271" i="32"/>
  <c r="C271" i="33"/>
  <c r="C179" i="39"/>
  <c r="C179" i="12"/>
  <c r="C179" i="33"/>
  <c r="F179" i="32"/>
  <c r="G179" i="32" s="1"/>
  <c r="C263" i="39"/>
  <c r="C263" i="12"/>
  <c r="C263" i="33"/>
  <c r="F263" i="32"/>
  <c r="C178" i="39"/>
  <c r="C178" i="12"/>
  <c r="C178" i="33"/>
  <c r="F178" i="32"/>
  <c r="C88" i="39"/>
  <c r="C88" i="12"/>
  <c r="C88" i="33"/>
  <c r="F88" i="32"/>
  <c r="G208" i="32"/>
  <c r="G236" i="32"/>
  <c r="G66" i="32"/>
  <c r="C159" i="34"/>
  <c r="E148" i="33"/>
  <c r="D148" i="37" s="1"/>
  <c r="G216" i="32"/>
  <c r="C239" i="34"/>
  <c r="E228" i="33"/>
  <c r="D228" i="37" s="1"/>
  <c r="E166" i="33"/>
  <c r="D166" i="37" s="1"/>
  <c r="C177" i="34"/>
  <c r="E191" i="33"/>
  <c r="D191" i="37" s="1"/>
  <c r="C202" i="34"/>
  <c r="C94" i="34"/>
  <c r="E83" i="33"/>
  <c r="D83" i="37" s="1"/>
  <c r="C27" i="34"/>
  <c r="E16" i="33"/>
  <c r="D16" i="37" s="1"/>
  <c r="G163" i="32"/>
  <c r="C75" i="34"/>
  <c r="E64" i="33"/>
  <c r="D64" i="37" s="1"/>
  <c r="E48" i="33"/>
  <c r="D48" i="37" s="1"/>
  <c r="C59" i="34"/>
  <c r="E98" i="33"/>
  <c r="D98" i="37" s="1"/>
  <c r="C109" i="34"/>
  <c r="E114" i="33"/>
  <c r="D114" i="37" s="1"/>
  <c r="C125" i="34"/>
  <c r="C141" i="34"/>
  <c r="E130" i="33"/>
  <c r="D130" i="37" s="1"/>
  <c r="E305" i="33"/>
  <c r="D305" i="37" s="1"/>
  <c r="C316" i="34"/>
  <c r="C295" i="34"/>
  <c r="E284" i="33"/>
  <c r="D284" i="37" s="1"/>
  <c r="C155" i="34"/>
  <c r="E144" i="33"/>
  <c r="D144" i="37" s="1"/>
  <c r="E153" i="33"/>
  <c r="D153" i="37" s="1"/>
  <c r="C164" i="34"/>
  <c r="C79" i="34"/>
  <c r="E68" i="33"/>
  <c r="D68" i="37" s="1"/>
  <c r="G172" i="32"/>
  <c r="E122" i="33"/>
  <c r="D122" i="37" s="1"/>
  <c r="C133" i="34"/>
  <c r="C317" i="34"/>
  <c r="E306" i="33"/>
  <c r="D306" i="37" s="1"/>
  <c r="C301" i="34"/>
  <c r="E290" i="33"/>
  <c r="D290" i="37" s="1"/>
  <c r="E258" i="33"/>
  <c r="D258" i="37" s="1"/>
  <c r="C269" i="34"/>
  <c r="C259" i="34"/>
  <c r="E248" i="33"/>
  <c r="D248" i="37" s="1"/>
  <c r="C267" i="34"/>
  <c r="E256" i="33"/>
  <c r="D256" i="37" s="1"/>
  <c r="C124" i="34"/>
  <c r="E113" i="33"/>
  <c r="D113" i="37" s="1"/>
  <c r="C62" i="34"/>
  <c r="E51" i="33"/>
  <c r="D51" i="37" s="1"/>
  <c r="C278" i="39"/>
  <c r="C278" i="12"/>
  <c r="F278" i="32"/>
  <c r="C278" i="33"/>
  <c r="E45" i="33"/>
  <c r="D45" i="37" s="1"/>
  <c r="C56" i="34"/>
  <c r="E124" i="33"/>
  <c r="D124" i="37" s="1"/>
  <c r="C135" i="34"/>
  <c r="C26" i="34"/>
  <c r="E15" i="33"/>
  <c r="D15" i="37" s="1"/>
  <c r="C160" i="34"/>
  <c r="E149" i="33"/>
  <c r="D149" i="37" s="1"/>
  <c r="E193" i="33"/>
  <c r="D193" i="37" s="1"/>
  <c r="C204" i="34"/>
  <c r="E208" i="33"/>
  <c r="D208" i="37" s="1"/>
  <c r="C219" i="34"/>
  <c r="E119" i="33"/>
  <c r="D119" i="37" s="1"/>
  <c r="C130" i="34"/>
  <c r="C119" i="34"/>
  <c r="E108" i="33"/>
  <c r="D108" i="37" s="1"/>
  <c r="E190" i="33"/>
  <c r="D190" i="37" s="1"/>
  <c r="C201" i="34"/>
  <c r="E209" i="33"/>
  <c r="D209" i="37" s="1"/>
  <c r="C220" i="34"/>
  <c r="E242" i="33"/>
  <c r="D242" i="37" s="1"/>
  <c r="C253" i="34"/>
  <c r="C283" i="34"/>
  <c r="E272" i="33"/>
  <c r="D272" i="37" s="1"/>
  <c r="C200" i="34"/>
  <c r="E189" i="33"/>
  <c r="D189" i="37" s="1"/>
  <c r="E142" i="33"/>
  <c r="D142" i="37" s="1"/>
  <c r="C153" i="34"/>
  <c r="E241" i="33"/>
  <c r="D241" i="37" s="1"/>
  <c r="C252" i="34"/>
  <c r="E139" i="33"/>
  <c r="D139" i="37" s="1"/>
  <c r="C150" i="34"/>
  <c r="C89" i="34"/>
  <c r="E78" i="33"/>
  <c r="D78" i="37" s="1"/>
  <c r="G98" i="32"/>
  <c r="C312" i="34"/>
  <c r="E301" i="33"/>
  <c r="D301" i="37" s="1"/>
  <c r="E310" i="33"/>
  <c r="D310" i="37" s="1"/>
  <c r="C321" i="34"/>
  <c r="G215" i="32"/>
  <c r="C98" i="34"/>
  <c r="E87" i="33"/>
  <c r="D87" i="37" s="1"/>
  <c r="G64" i="32"/>
  <c r="E311" i="33"/>
  <c r="D311" i="37" s="1"/>
  <c r="C322" i="34"/>
  <c r="E219" i="33"/>
  <c r="D219" i="37" s="1"/>
  <c r="C230" i="34"/>
  <c r="E235" i="33"/>
  <c r="D235" i="37" s="1"/>
  <c r="C246" i="34"/>
  <c r="E303" i="33"/>
  <c r="D303" i="37" s="1"/>
  <c r="C314" i="34"/>
  <c r="E198" i="33"/>
  <c r="D198" i="37" s="1"/>
  <c r="C209" i="34"/>
  <c r="E266" i="33"/>
  <c r="D266" i="37" s="1"/>
  <c r="C277" i="34"/>
  <c r="E185" i="33"/>
  <c r="D185" i="37" s="1"/>
  <c r="C196" i="34"/>
  <c r="C163" i="34"/>
  <c r="E152" i="33"/>
  <c r="D152" i="37" s="1"/>
  <c r="E109" i="33"/>
  <c r="D109" i="37" s="1"/>
  <c r="C120" i="34"/>
  <c r="C180" i="34"/>
  <c r="E169" i="33"/>
  <c r="D169" i="37" s="1"/>
  <c r="E154" i="33"/>
  <c r="D154" i="37" s="1"/>
  <c r="C165" i="34"/>
  <c r="C35" i="34"/>
  <c r="E24" i="33"/>
  <c r="D24" i="37" s="1"/>
  <c r="C102" i="34"/>
  <c r="E91" i="33"/>
  <c r="D91" i="37" s="1"/>
  <c r="E36" i="33"/>
  <c r="D36" i="37" s="1"/>
  <c r="C47" i="34"/>
  <c r="C126" i="34"/>
  <c r="E115" i="33"/>
  <c r="D115" i="37" s="1"/>
  <c r="C95" i="39"/>
  <c r="C95" i="12"/>
  <c r="C95" i="33"/>
  <c r="F95" i="32"/>
  <c r="E53" i="33"/>
  <c r="D53" i="37" s="1"/>
  <c r="C64" i="34"/>
  <c r="E73" i="33"/>
  <c r="D73" i="37" s="1"/>
  <c r="C96" i="39"/>
  <c r="C96" i="12"/>
  <c r="C96" i="33"/>
  <c r="F96" i="32"/>
  <c r="C215" i="34"/>
  <c r="E204" i="33"/>
  <c r="D204" i="37" s="1"/>
  <c r="E216" i="33"/>
  <c r="D216" i="37" s="1"/>
  <c r="C227" i="34"/>
  <c r="E206" i="33"/>
  <c r="D206" i="37" s="1"/>
  <c r="C217" i="34"/>
  <c r="E250" i="33"/>
  <c r="D250" i="37" s="1"/>
  <c r="C191" i="34"/>
  <c r="E180" i="33"/>
  <c r="D180" i="37" s="1"/>
  <c r="E147" i="33"/>
  <c r="D147" i="37" s="1"/>
  <c r="C158" i="34"/>
  <c r="E255" i="33"/>
  <c r="D255" i="37" s="1"/>
  <c r="C266" i="34"/>
  <c r="C256" i="34"/>
  <c r="E245" i="33"/>
  <c r="D245" i="37" s="1"/>
  <c r="C97" i="34"/>
  <c r="E86" i="33"/>
  <c r="D86" i="37" s="1"/>
  <c r="C22" i="34"/>
  <c r="E11" i="33"/>
  <c r="D11" i="37" s="1"/>
  <c r="E97" i="33"/>
  <c r="D97" i="37" s="1"/>
  <c r="C108" i="34"/>
  <c r="E30" i="33"/>
  <c r="D30" i="37" s="1"/>
  <c r="C41" i="34"/>
  <c r="C72" i="34"/>
  <c r="E201" i="33"/>
  <c r="D201" i="37" s="1"/>
  <c r="C212" i="34"/>
  <c r="E224" i="33"/>
  <c r="D224" i="37" s="1"/>
  <c r="C235" i="34"/>
  <c r="C248" i="34"/>
  <c r="E237" i="33"/>
  <c r="D237" i="37" s="1"/>
  <c r="C236" i="34"/>
  <c r="E225" i="33"/>
  <c r="D225" i="37" s="1"/>
  <c r="E215" i="33"/>
  <c r="D215" i="37" s="1"/>
  <c r="C226" i="34"/>
  <c r="E105" i="33"/>
  <c r="D105" i="37" s="1"/>
  <c r="C116" i="34"/>
  <c r="C152" i="34"/>
  <c r="E141" i="33"/>
  <c r="D141" i="37" s="1"/>
  <c r="E145" i="33"/>
  <c r="D145" i="37" s="1"/>
  <c r="C156" i="34"/>
  <c r="E143" i="33"/>
  <c r="D143" i="37" s="1"/>
  <c r="C154" i="34"/>
  <c r="C74" i="34"/>
  <c r="E63" i="33"/>
  <c r="D63" i="37" s="1"/>
  <c r="E9" i="33"/>
  <c r="D9" i="37" s="1"/>
  <c r="C20" i="34"/>
  <c r="C128" i="34"/>
  <c r="E117" i="33"/>
  <c r="D117" i="37" s="1"/>
  <c r="C65" i="34"/>
  <c r="E54" i="33"/>
  <c r="D54" i="37" s="1"/>
  <c r="C104" i="39"/>
  <c r="C104" i="12"/>
  <c r="C104" i="33"/>
  <c r="F104" i="32"/>
  <c r="C175" i="39"/>
  <c r="C175" i="12"/>
  <c r="C175" i="33"/>
  <c r="F175" i="32"/>
  <c r="C264" i="39"/>
  <c r="C264" i="12"/>
  <c r="C264" i="33"/>
  <c r="F264" i="32"/>
  <c r="G264" i="32" s="1"/>
  <c r="C99" i="39"/>
  <c r="C99" i="12"/>
  <c r="C99" i="33"/>
  <c r="F99" i="32"/>
  <c r="E260" i="33"/>
  <c r="D260" i="37" s="1"/>
  <c r="C271" i="34"/>
  <c r="E252" i="33"/>
  <c r="D252" i="37" s="1"/>
  <c r="C263" i="34"/>
  <c r="C144" i="34"/>
  <c r="E133" i="33"/>
  <c r="D133" i="37" s="1"/>
  <c r="E65" i="33"/>
  <c r="D65" i="37" s="1"/>
  <c r="C76" i="34"/>
  <c r="G165" i="32"/>
  <c r="E29" i="33"/>
  <c r="D29" i="37" s="1"/>
  <c r="C40" i="34"/>
  <c r="G223" i="32"/>
  <c r="C311" i="34"/>
  <c r="E300" i="33"/>
  <c r="D300" i="37" s="1"/>
  <c r="C257" i="34"/>
  <c r="E246" i="33"/>
  <c r="D246" i="37" s="1"/>
  <c r="G180" i="32"/>
  <c r="C309" i="34"/>
  <c r="E298" i="33"/>
  <c r="D298" i="37" s="1"/>
  <c r="E247" i="33"/>
  <c r="D247" i="37" s="1"/>
  <c r="C258" i="34"/>
  <c r="E14" i="33"/>
  <c r="D14" i="37" s="1"/>
  <c r="C25" i="34"/>
  <c r="C73" i="34"/>
  <c r="E62" i="33"/>
  <c r="D62" i="37" s="1"/>
  <c r="C38" i="34"/>
  <c r="E27" i="33"/>
  <c r="D27" i="37" s="1"/>
  <c r="E72" i="33"/>
  <c r="D72" i="37" s="1"/>
  <c r="C83" i="34"/>
  <c r="G106" i="32"/>
  <c r="C134" i="34"/>
  <c r="E123" i="33"/>
  <c r="D123" i="37" s="1"/>
  <c r="C197" i="34"/>
  <c r="E186" i="33"/>
  <c r="D186" i="37" s="1"/>
  <c r="E137" i="33"/>
  <c r="D137" i="37" s="1"/>
  <c r="C148" i="34"/>
  <c r="C132" i="34"/>
  <c r="E121" i="33"/>
  <c r="D121" i="37" s="1"/>
  <c r="C67" i="34"/>
  <c r="C57" i="34"/>
  <c r="E46" i="33"/>
  <c r="D46" i="37" s="1"/>
  <c r="E20" i="33" l="1"/>
  <c r="D20" i="37" s="1"/>
  <c r="E176" i="33"/>
  <c r="D176" i="37" s="1"/>
  <c r="E26" i="33"/>
  <c r="D26" i="37" s="1"/>
  <c r="C37" i="34"/>
  <c r="E205" i="33"/>
  <c r="D205" i="37" s="1"/>
  <c r="C45" i="34"/>
  <c r="E35" i="33"/>
  <c r="D35" i="37" s="1"/>
  <c r="E277" i="33"/>
  <c r="D277" i="37" s="1"/>
  <c r="E85" i="33"/>
  <c r="D85" i="37" s="1"/>
  <c r="E12" i="33"/>
  <c r="D12" i="37" s="1"/>
  <c r="E192" i="33"/>
  <c r="D192" i="37" s="1"/>
  <c r="C172" i="34"/>
  <c r="C255" i="34"/>
  <c r="E244" i="33"/>
  <c r="D244" i="37" s="1"/>
  <c r="C55" i="34"/>
  <c r="C181" i="34"/>
  <c r="C32" i="34"/>
  <c r="C100" i="34"/>
  <c r="C231" i="34"/>
  <c r="E106" i="33"/>
  <c r="D106" i="37" s="1"/>
  <c r="C112" i="34"/>
  <c r="C223" i="34"/>
  <c r="E156" i="33"/>
  <c r="D156" i="37" s="1"/>
  <c r="E309" i="33"/>
  <c r="D309" i="37" s="1"/>
  <c r="C242" i="34"/>
  <c r="E71" i="33"/>
  <c r="D71" i="37" s="1"/>
  <c r="C313" i="34"/>
  <c r="C91" i="34"/>
  <c r="C24" i="34"/>
  <c r="C81" i="34"/>
  <c r="E304" i="33"/>
  <c r="D304" i="37" s="1"/>
  <c r="E280" i="33"/>
  <c r="D280" i="37" s="1"/>
  <c r="E232" i="33"/>
  <c r="D232" i="37" s="1"/>
  <c r="C161" i="34"/>
  <c r="E76" i="33"/>
  <c r="D76" i="37" s="1"/>
  <c r="E196" i="33"/>
  <c r="D196" i="37" s="1"/>
  <c r="E79" i="33"/>
  <c r="D79" i="37" s="1"/>
  <c r="C178" i="34"/>
  <c r="E287" i="33"/>
  <c r="D287" i="37" s="1"/>
  <c r="C175" i="34"/>
  <c r="E38" i="33"/>
  <c r="D38" i="37" s="1"/>
  <c r="C151" i="34"/>
  <c r="E8" i="33"/>
  <c r="D8" i="37" s="1"/>
  <c r="E217" i="33"/>
  <c r="D217" i="37" s="1"/>
  <c r="E213" i="33"/>
  <c r="D213" i="37" s="1"/>
  <c r="C195" i="34"/>
  <c r="C138" i="34"/>
  <c r="E28" i="33"/>
  <c r="D28" i="37" s="1"/>
  <c r="E253" i="33"/>
  <c r="D253" i="37" s="1"/>
  <c r="E102" i="33"/>
  <c r="D102" i="37" s="1"/>
  <c r="C214" i="34"/>
  <c r="E67" i="33"/>
  <c r="D67" i="37" s="1"/>
  <c r="E55" i="33"/>
  <c r="D55" i="37" s="1"/>
  <c r="E181" i="33"/>
  <c r="D181" i="37" s="1"/>
  <c r="C122" i="34"/>
  <c r="G203" i="32"/>
  <c r="E292" i="33"/>
  <c r="D292" i="37" s="1"/>
  <c r="C157" i="34"/>
  <c r="E132" i="33"/>
  <c r="D132" i="37" s="1"/>
  <c r="C143" i="34"/>
  <c r="C305" i="34"/>
  <c r="G181" i="32"/>
  <c r="C136" i="34"/>
  <c r="E125" i="33"/>
  <c r="D125" i="37" s="1"/>
  <c r="C101" i="34"/>
  <c r="C168" i="34"/>
  <c r="E157" i="33"/>
  <c r="D157" i="37" s="1"/>
  <c r="G245" i="32"/>
  <c r="G125" i="32"/>
  <c r="G262" i="32"/>
  <c r="E7" i="33"/>
  <c r="D7" i="37" s="1"/>
  <c r="C18" i="34"/>
  <c r="G99" i="32"/>
  <c r="G171" i="32"/>
  <c r="G271" i="32"/>
  <c r="E82" i="33"/>
  <c r="D82" i="37" s="1"/>
  <c r="C93" i="34"/>
  <c r="G183" i="32"/>
  <c r="E178" i="33"/>
  <c r="D178" i="37" s="1"/>
  <c r="C189" i="34"/>
  <c r="E179" i="33"/>
  <c r="D179" i="37" s="1"/>
  <c r="C190" i="34"/>
  <c r="C103" i="34"/>
  <c r="E92" i="33"/>
  <c r="D92" i="37" s="1"/>
  <c r="G307" i="32"/>
  <c r="E273" i="33"/>
  <c r="D273" i="37" s="1"/>
  <c r="C284" i="34"/>
  <c r="G107" i="32"/>
  <c r="G270" i="32"/>
  <c r="G187" i="32"/>
  <c r="C105" i="34"/>
  <c r="E94" i="33"/>
  <c r="D94" i="37" s="1"/>
  <c r="E182" i="33"/>
  <c r="D182" i="37" s="1"/>
  <c r="C193" i="34"/>
  <c r="G41" i="32"/>
  <c r="C310" i="34"/>
  <c r="E299" i="33"/>
  <c r="D299" i="37" s="1"/>
  <c r="E279" i="33"/>
  <c r="D279" i="37" s="1"/>
  <c r="C290" i="34"/>
  <c r="C188" i="34"/>
  <c r="E177" i="33"/>
  <c r="D177" i="37" s="1"/>
  <c r="E199" i="33"/>
  <c r="D199" i="37" s="1"/>
  <c r="C210" i="34"/>
  <c r="C318" i="34"/>
  <c r="E307" i="33"/>
  <c r="D307" i="37" s="1"/>
  <c r="C118" i="34"/>
  <c r="E107" i="33"/>
  <c r="D107" i="37" s="1"/>
  <c r="C281" i="34"/>
  <c r="E270" i="33"/>
  <c r="D270" i="37" s="1"/>
  <c r="E41" i="33"/>
  <c r="D41" i="37" s="1"/>
  <c r="C52" i="34"/>
  <c r="E175" i="33"/>
  <c r="D175" i="37" s="1"/>
  <c r="C186" i="34"/>
  <c r="G175" i="32"/>
  <c r="C275" i="34"/>
  <c r="E264" i="33"/>
  <c r="D264" i="37" s="1"/>
  <c r="G96" i="32"/>
  <c r="G95" i="32"/>
  <c r="G88" i="32"/>
  <c r="G263" i="32"/>
  <c r="E271" i="33"/>
  <c r="D271" i="37" s="1"/>
  <c r="C282" i="34"/>
  <c r="G112" i="32"/>
  <c r="G177" i="32"/>
  <c r="G195" i="32"/>
  <c r="E96" i="33"/>
  <c r="D96" i="37" s="1"/>
  <c r="C107" i="34"/>
  <c r="E95" i="33"/>
  <c r="D95" i="37" s="1"/>
  <c r="C106" i="34"/>
  <c r="C289" i="34"/>
  <c r="E278" i="33"/>
  <c r="D278" i="37" s="1"/>
  <c r="E88" i="33"/>
  <c r="D88" i="37" s="1"/>
  <c r="C99" i="34"/>
  <c r="E263" i="33"/>
  <c r="D263" i="37" s="1"/>
  <c r="C274" i="34"/>
  <c r="C123" i="34"/>
  <c r="E112" i="33"/>
  <c r="D112" i="37" s="1"/>
  <c r="E103" i="33"/>
  <c r="D103" i="37" s="1"/>
  <c r="C114" i="34"/>
  <c r="E195" i="33"/>
  <c r="D195" i="37" s="1"/>
  <c r="C206" i="34"/>
  <c r="E171" i="33"/>
  <c r="D171" i="37" s="1"/>
  <c r="C182" i="34"/>
  <c r="G278" i="32"/>
  <c r="E187" i="33"/>
  <c r="D187" i="37" s="1"/>
  <c r="C198" i="34"/>
  <c r="C278" i="34"/>
  <c r="E267" i="33"/>
  <c r="D267" i="37" s="1"/>
  <c r="C302" i="34"/>
  <c r="E291" i="33"/>
  <c r="D291" i="37" s="1"/>
  <c r="E283" i="33"/>
  <c r="D283" i="37" s="1"/>
  <c r="C294" i="34"/>
  <c r="E183" i="33"/>
  <c r="D183" i="37" s="1"/>
  <c r="C194" i="34"/>
  <c r="G104" i="32"/>
  <c r="C115" i="34"/>
  <c r="E104" i="33"/>
  <c r="D104" i="37" s="1"/>
  <c r="C110" i="34"/>
  <c r="E99" i="33"/>
  <c r="D99" i="37" s="1"/>
  <c r="G178" i="32"/>
  <c r="C272" i="34"/>
  <c r="E261" i="33"/>
  <c r="D261" i="37" s="1"/>
  <c r="G182" i="32"/>
  <c r="G279" i="32"/>
  <c r="V94" i="19"/>
  <c r="Y94" i="19" s="1"/>
  <c r="C92" i="32" s="1"/>
  <c r="E92" i="32" l="1"/>
  <c r="G92" i="32" s="1"/>
  <c r="C3" i="13"/>
  <c r="G315" i="42" l="1"/>
  <c r="H315" i="42"/>
  <c r="J315" i="42"/>
  <c r="K315" i="42"/>
  <c r="L315" i="42"/>
  <c r="M315" i="42"/>
  <c r="D315" i="42"/>
  <c r="E315" i="42"/>
  <c r="F315" i="42"/>
  <c r="C315" i="42"/>
  <c r="G6" i="11" l="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J7" i="19" l="1"/>
  <c r="H4" i="33"/>
  <c r="I4" i="33"/>
  <c r="J4" i="33"/>
  <c r="K4" i="33"/>
  <c r="H3" i="33"/>
  <c r="I3" i="33"/>
  <c r="J3" i="33"/>
  <c r="K3" i="33"/>
  <c r="C314" i="13" l="1"/>
  <c r="T169" i="13" l="1"/>
  <c r="T218" i="13"/>
  <c r="T243" i="13"/>
  <c r="N169" i="42" l="1"/>
  <c r="G5" i="37" l="1"/>
  <c r="S7" i="19"/>
  <c r="U6" i="42" l="1"/>
  <c r="V6" i="42"/>
  <c r="W315" i="42" l="1"/>
  <c r="X315" i="42"/>
  <c r="Y315" i="42"/>
  <c r="A242" i="49" l="1"/>
  <c r="A243" i="49"/>
  <c r="A244" i="49"/>
  <c r="A245" i="49"/>
  <c r="A246" i="49"/>
  <c r="A243" i="13" l="1"/>
  <c r="B243" i="13"/>
  <c r="B243" i="49"/>
  <c r="G5" i="11" l="1"/>
  <c r="A6" i="11"/>
  <c r="B6" i="11"/>
  <c r="A7" i="11"/>
  <c r="B7" i="11"/>
  <c r="A8" i="11"/>
  <c r="B8" i="11"/>
  <c r="A9" i="11"/>
  <c r="B9" i="11"/>
  <c r="A10" i="11"/>
  <c r="B10" i="11"/>
  <c r="A11" i="11"/>
  <c r="B11" i="11"/>
  <c r="A12" i="11"/>
  <c r="B12" i="11"/>
  <c r="A13" i="11"/>
  <c r="B13" i="11"/>
  <c r="A14" i="11"/>
  <c r="B14" i="11"/>
  <c r="A15" i="11"/>
  <c r="B15" i="11"/>
  <c r="A16" i="11"/>
  <c r="B16" i="11"/>
  <c r="A17" i="11"/>
  <c r="B17" i="11"/>
  <c r="A18" i="11"/>
  <c r="B18" i="11"/>
  <c r="A19" i="11"/>
  <c r="B19" i="11"/>
  <c r="A20" i="11"/>
  <c r="B20" i="11"/>
  <c r="A21" i="11"/>
  <c r="B21" i="11"/>
  <c r="A22" i="11"/>
  <c r="B22" i="11"/>
  <c r="A23" i="11"/>
  <c r="B23" i="11"/>
  <c r="A24" i="11"/>
  <c r="B24" i="11"/>
  <c r="A25" i="11"/>
  <c r="B25" i="11"/>
  <c r="A26" i="11"/>
  <c r="B26" i="11"/>
  <c r="A27" i="11"/>
  <c r="B27" i="11"/>
  <c r="A28" i="11"/>
  <c r="B28" i="11"/>
  <c r="A29" i="11"/>
  <c r="B29" i="11"/>
  <c r="A30" i="11"/>
  <c r="B30" i="11"/>
  <c r="A31" i="11"/>
  <c r="B31" i="11"/>
  <c r="A32" i="11"/>
  <c r="B32" i="11"/>
  <c r="A33" i="11"/>
  <c r="B33" i="11"/>
  <c r="A34" i="11"/>
  <c r="B34" i="11"/>
  <c r="A35" i="11"/>
  <c r="B35" i="11"/>
  <c r="A36" i="11"/>
  <c r="B36" i="11"/>
  <c r="A37" i="11"/>
  <c r="B37" i="11"/>
  <c r="A38" i="11"/>
  <c r="B38" i="11"/>
  <c r="A39" i="11"/>
  <c r="B39" i="11"/>
  <c r="A40" i="11"/>
  <c r="B40" i="11"/>
  <c r="A41" i="11"/>
  <c r="B41" i="11"/>
  <c r="A42" i="11"/>
  <c r="B42" i="11"/>
  <c r="A43" i="11"/>
  <c r="B43" i="11"/>
  <c r="A44" i="11"/>
  <c r="B44" i="11"/>
  <c r="A45" i="11"/>
  <c r="B45" i="11"/>
  <c r="A46" i="11"/>
  <c r="B46" i="11"/>
  <c r="A47" i="11"/>
  <c r="B47" i="11"/>
  <c r="A48" i="11"/>
  <c r="B48" i="11"/>
  <c r="A49" i="11"/>
  <c r="B49" i="11"/>
  <c r="A50" i="11"/>
  <c r="B50" i="11"/>
  <c r="A51" i="11"/>
  <c r="B51" i="11"/>
  <c r="A52" i="11"/>
  <c r="B52" i="11"/>
  <c r="A53" i="11"/>
  <c r="B53" i="11"/>
  <c r="A54" i="11"/>
  <c r="B54" i="11"/>
  <c r="A55" i="11"/>
  <c r="B55" i="11"/>
  <c r="A56" i="11"/>
  <c r="B56" i="11"/>
  <c r="A57" i="11"/>
  <c r="B57" i="11"/>
  <c r="A58" i="11"/>
  <c r="B58" i="11"/>
  <c r="A59" i="11"/>
  <c r="B59" i="11"/>
  <c r="A60" i="11"/>
  <c r="B60" i="11"/>
  <c r="A61" i="11"/>
  <c r="B61" i="11"/>
  <c r="A62" i="11"/>
  <c r="B62" i="11"/>
  <c r="A63" i="11"/>
  <c r="B63" i="11"/>
  <c r="A64" i="11"/>
  <c r="B64" i="11"/>
  <c r="A65" i="11"/>
  <c r="B65" i="11"/>
  <c r="A66" i="11"/>
  <c r="B66" i="11"/>
  <c r="A67" i="11"/>
  <c r="B67" i="11"/>
  <c r="A68" i="11"/>
  <c r="B68" i="11"/>
  <c r="A69" i="11"/>
  <c r="B69" i="11"/>
  <c r="A70" i="11"/>
  <c r="B70" i="11"/>
  <c r="A71" i="11"/>
  <c r="B71" i="11"/>
  <c r="A72" i="11"/>
  <c r="B72" i="11"/>
  <c r="A73" i="11"/>
  <c r="B73" i="11"/>
  <c r="A74" i="11"/>
  <c r="B74" i="11"/>
  <c r="A75" i="11"/>
  <c r="B75" i="11"/>
  <c r="A76" i="11"/>
  <c r="B76" i="11"/>
  <c r="A77" i="11"/>
  <c r="B77" i="11"/>
  <c r="A78" i="11"/>
  <c r="B78" i="11"/>
  <c r="A79" i="11"/>
  <c r="B79" i="11"/>
  <c r="A80" i="11"/>
  <c r="B80" i="11"/>
  <c r="A81" i="11"/>
  <c r="B81" i="11"/>
  <c r="A82" i="11"/>
  <c r="B82" i="11"/>
  <c r="A83" i="11"/>
  <c r="B83" i="11"/>
  <c r="A84" i="11"/>
  <c r="B84" i="11"/>
  <c r="A85" i="11"/>
  <c r="B85" i="11"/>
  <c r="A86" i="11"/>
  <c r="B86" i="11"/>
  <c r="A87" i="11"/>
  <c r="B87" i="11"/>
  <c r="A88" i="11"/>
  <c r="B88" i="11"/>
  <c r="A89" i="11"/>
  <c r="B89" i="11"/>
  <c r="A90" i="11"/>
  <c r="B90" i="11"/>
  <c r="A91" i="11"/>
  <c r="B91" i="11"/>
  <c r="A92" i="11"/>
  <c r="B92" i="11"/>
  <c r="A93" i="11"/>
  <c r="B93" i="11"/>
  <c r="A94" i="11"/>
  <c r="B94" i="11"/>
  <c r="A95" i="11"/>
  <c r="B95" i="11"/>
  <c r="A96" i="11"/>
  <c r="B96" i="11"/>
  <c r="A97" i="11"/>
  <c r="B97" i="11"/>
  <c r="A98" i="11"/>
  <c r="B98" i="11"/>
  <c r="A99" i="11"/>
  <c r="B99" i="11"/>
  <c r="A100" i="11"/>
  <c r="B100" i="11"/>
  <c r="A101" i="11"/>
  <c r="B101" i="11"/>
  <c r="A102" i="11"/>
  <c r="B102" i="11"/>
  <c r="A103" i="11"/>
  <c r="B103" i="11"/>
  <c r="A104" i="11"/>
  <c r="B104" i="11"/>
  <c r="A105" i="11"/>
  <c r="B105" i="11"/>
  <c r="A106" i="11"/>
  <c r="B106" i="11"/>
  <c r="A107" i="11"/>
  <c r="B107" i="11"/>
  <c r="A108" i="11"/>
  <c r="B108" i="11"/>
  <c r="A109" i="11"/>
  <c r="B109" i="11"/>
  <c r="A110" i="11"/>
  <c r="B110" i="11"/>
  <c r="A111" i="11"/>
  <c r="B111" i="11"/>
  <c r="A112" i="11"/>
  <c r="B112" i="11"/>
  <c r="A113" i="11"/>
  <c r="B113" i="11"/>
  <c r="A114" i="11"/>
  <c r="B114" i="11"/>
  <c r="A115" i="11"/>
  <c r="B115" i="11"/>
  <c r="A116" i="11"/>
  <c r="B116" i="11"/>
  <c r="A117" i="11"/>
  <c r="B117" i="11"/>
  <c r="A118" i="11"/>
  <c r="B118" i="11"/>
  <c r="A119" i="11"/>
  <c r="B119" i="11"/>
  <c r="A120" i="11"/>
  <c r="B120" i="11"/>
  <c r="A121" i="11"/>
  <c r="B121" i="11"/>
  <c r="A122" i="11"/>
  <c r="B122" i="11"/>
  <c r="A123" i="11"/>
  <c r="B123" i="11"/>
  <c r="A124" i="11"/>
  <c r="B124" i="11"/>
  <c r="A125" i="11"/>
  <c r="B125" i="11"/>
  <c r="A126" i="11"/>
  <c r="B126" i="11"/>
  <c r="A127" i="11"/>
  <c r="B127" i="11"/>
  <c r="A128" i="11"/>
  <c r="B128" i="11"/>
  <c r="A129" i="11"/>
  <c r="B129" i="11"/>
  <c r="A130" i="11"/>
  <c r="B130" i="11"/>
  <c r="A131" i="11"/>
  <c r="B131" i="11"/>
  <c r="A132" i="11"/>
  <c r="B132" i="11"/>
  <c r="A133" i="11"/>
  <c r="B133" i="11"/>
  <c r="A134" i="11"/>
  <c r="B134" i="11"/>
  <c r="A135" i="11"/>
  <c r="B135" i="11"/>
  <c r="A136" i="11"/>
  <c r="B136" i="11"/>
  <c r="A137" i="11"/>
  <c r="B137" i="11"/>
  <c r="A138" i="11"/>
  <c r="B138" i="11"/>
  <c r="A139" i="11"/>
  <c r="B139" i="11"/>
  <c r="A140" i="11"/>
  <c r="B140" i="11"/>
  <c r="A141" i="11"/>
  <c r="B141" i="11"/>
  <c r="A142" i="11"/>
  <c r="B142" i="11"/>
  <c r="A143" i="11"/>
  <c r="B143" i="11"/>
  <c r="A144" i="11"/>
  <c r="B144" i="11"/>
  <c r="A145" i="11"/>
  <c r="B145" i="11"/>
  <c r="A146" i="11"/>
  <c r="B146" i="11"/>
  <c r="A147" i="11"/>
  <c r="B147" i="11"/>
  <c r="A148" i="11"/>
  <c r="B148" i="11"/>
  <c r="A149" i="11"/>
  <c r="B149" i="11"/>
  <c r="A150" i="11"/>
  <c r="B150" i="11"/>
  <c r="A151" i="11"/>
  <c r="B151" i="11"/>
  <c r="A152" i="11"/>
  <c r="B152" i="11"/>
  <c r="A153" i="11"/>
  <c r="B153" i="11"/>
  <c r="A154" i="11"/>
  <c r="B154" i="11"/>
  <c r="A155" i="11"/>
  <c r="B155" i="11"/>
  <c r="A156" i="11"/>
  <c r="B156" i="11"/>
  <c r="A157" i="11"/>
  <c r="B157" i="11"/>
  <c r="A158" i="11"/>
  <c r="B158" i="11"/>
  <c r="A159" i="11"/>
  <c r="B159" i="11"/>
  <c r="A160" i="11"/>
  <c r="B160" i="11"/>
  <c r="A161" i="11"/>
  <c r="B161" i="11"/>
  <c r="A162" i="11"/>
  <c r="B162" i="11"/>
  <c r="A163" i="11"/>
  <c r="B163" i="11"/>
  <c r="A164" i="11"/>
  <c r="B164" i="11"/>
  <c r="A165" i="11"/>
  <c r="B165" i="11"/>
  <c r="A166" i="11"/>
  <c r="B166" i="11"/>
  <c r="A167" i="11"/>
  <c r="B167" i="11"/>
  <c r="A168" i="11"/>
  <c r="B168" i="11"/>
  <c r="A169" i="11"/>
  <c r="B169" i="11"/>
  <c r="A170" i="11"/>
  <c r="B170" i="11"/>
  <c r="A171" i="11"/>
  <c r="B171" i="11"/>
  <c r="A172" i="11"/>
  <c r="B172" i="11"/>
  <c r="A173" i="11"/>
  <c r="B173" i="11"/>
  <c r="A174" i="11"/>
  <c r="B174" i="11"/>
  <c r="A175" i="11"/>
  <c r="B175" i="11"/>
  <c r="A176" i="11"/>
  <c r="B176" i="11"/>
  <c r="A177" i="11"/>
  <c r="B177" i="11"/>
  <c r="A178" i="11"/>
  <c r="B178" i="11"/>
  <c r="A179" i="11"/>
  <c r="B179" i="11"/>
  <c r="A180" i="11"/>
  <c r="B180" i="11"/>
  <c r="A181" i="11"/>
  <c r="B181" i="11"/>
  <c r="A182" i="11"/>
  <c r="B182" i="11"/>
  <c r="A183" i="11"/>
  <c r="B183" i="11"/>
  <c r="A184" i="11"/>
  <c r="B184" i="11"/>
  <c r="A185" i="11"/>
  <c r="B185" i="11"/>
  <c r="A186" i="11"/>
  <c r="B186" i="11"/>
  <c r="A187" i="11"/>
  <c r="B187" i="11"/>
  <c r="A188" i="11"/>
  <c r="B188" i="11"/>
  <c r="A189" i="11"/>
  <c r="B189" i="11"/>
  <c r="A190" i="11"/>
  <c r="B190" i="11"/>
  <c r="A191" i="11"/>
  <c r="B191" i="11"/>
  <c r="A192" i="11"/>
  <c r="B192" i="11"/>
  <c r="A193" i="11"/>
  <c r="B193" i="11"/>
  <c r="A194" i="11"/>
  <c r="B194" i="11"/>
  <c r="A195" i="11"/>
  <c r="B195" i="11"/>
  <c r="A196" i="11"/>
  <c r="B196" i="11"/>
  <c r="A197" i="11"/>
  <c r="B197" i="11"/>
  <c r="A198" i="11"/>
  <c r="B198" i="11"/>
  <c r="A199" i="11"/>
  <c r="B199" i="11"/>
  <c r="A200" i="11"/>
  <c r="B200" i="11"/>
  <c r="A201" i="11"/>
  <c r="B201" i="11"/>
  <c r="A202" i="11"/>
  <c r="B202" i="11"/>
  <c r="A203" i="11"/>
  <c r="B203" i="11"/>
  <c r="A204" i="11"/>
  <c r="B204" i="11"/>
  <c r="A205" i="11"/>
  <c r="B205" i="11"/>
  <c r="A206" i="11"/>
  <c r="B206" i="11"/>
  <c r="A207" i="11"/>
  <c r="B207" i="11"/>
  <c r="A208" i="11"/>
  <c r="B208" i="11"/>
  <c r="A209" i="11"/>
  <c r="B209" i="11"/>
  <c r="A210" i="11"/>
  <c r="B210" i="11"/>
  <c r="A211" i="11"/>
  <c r="B211" i="11"/>
  <c r="A212" i="11"/>
  <c r="B212" i="11"/>
  <c r="A213" i="11"/>
  <c r="B213" i="11"/>
  <c r="A214" i="11"/>
  <c r="B214" i="11"/>
  <c r="A215" i="11"/>
  <c r="B215" i="11"/>
  <c r="A216" i="11"/>
  <c r="B216" i="11"/>
  <c r="A217" i="11"/>
  <c r="B217" i="11"/>
  <c r="A218" i="11"/>
  <c r="B218" i="11"/>
  <c r="A219" i="11"/>
  <c r="B219" i="11"/>
  <c r="A220" i="11"/>
  <c r="B220" i="11"/>
  <c r="A221" i="11"/>
  <c r="B221" i="11"/>
  <c r="A222" i="11"/>
  <c r="B222" i="11"/>
  <c r="A223" i="11"/>
  <c r="B223" i="11"/>
  <c r="A224" i="11"/>
  <c r="B224" i="11"/>
  <c r="A225" i="11"/>
  <c r="B225" i="11"/>
  <c r="A226" i="11"/>
  <c r="B226" i="11"/>
  <c r="A227" i="11"/>
  <c r="B227" i="11"/>
  <c r="A228" i="11"/>
  <c r="B228" i="11"/>
  <c r="A229" i="11"/>
  <c r="B229" i="11"/>
  <c r="A230" i="11"/>
  <c r="B230" i="11"/>
  <c r="A231" i="11"/>
  <c r="B231" i="11"/>
  <c r="A232" i="11"/>
  <c r="B232" i="11"/>
  <c r="A233" i="11"/>
  <c r="B233" i="11"/>
  <c r="A234" i="11"/>
  <c r="B234" i="11"/>
  <c r="A235" i="11"/>
  <c r="B235" i="11"/>
  <c r="A236" i="11"/>
  <c r="B236" i="11"/>
  <c r="A237" i="11"/>
  <c r="B237" i="11"/>
  <c r="A238" i="11"/>
  <c r="B238" i="11"/>
  <c r="A239" i="11"/>
  <c r="B239" i="11"/>
  <c r="A240" i="11"/>
  <c r="B240" i="11"/>
  <c r="A241" i="11"/>
  <c r="B241" i="11"/>
  <c r="A242" i="11"/>
  <c r="B242" i="11"/>
  <c r="A243" i="11"/>
  <c r="B243" i="11"/>
  <c r="A244" i="11"/>
  <c r="B244" i="11"/>
  <c r="A245" i="11"/>
  <c r="B245" i="11"/>
  <c r="A246" i="11"/>
  <c r="B246" i="11"/>
  <c r="A247" i="11"/>
  <c r="B247" i="11"/>
  <c r="A248" i="11"/>
  <c r="B248" i="11"/>
  <c r="A249" i="11"/>
  <c r="B249" i="11"/>
  <c r="A250" i="11"/>
  <c r="B250" i="11"/>
  <c r="A251" i="11"/>
  <c r="B251" i="11"/>
  <c r="A252" i="11"/>
  <c r="B252" i="11"/>
  <c r="A253" i="11"/>
  <c r="B253" i="11"/>
  <c r="A254" i="11"/>
  <c r="B254" i="11"/>
  <c r="A255" i="11"/>
  <c r="B255" i="11"/>
  <c r="A256" i="11"/>
  <c r="B256" i="11"/>
  <c r="A257" i="11"/>
  <c r="B257" i="11"/>
  <c r="A258" i="11"/>
  <c r="B258" i="11"/>
  <c r="A259" i="11"/>
  <c r="B259" i="11"/>
  <c r="A260" i="11"/>
  <c r="B260" i="11"/>
  <c r="A261" i="11"/>
  <c r="B261" i="11"/>
  <c r="A262" i="11"/>
  <c r="B262" i="11"/>
  <c r="A263" i="11"/>
  <c r="B263" i="11"/>
  <c r="A264" i="11"/>
  <c r="B264" i="11"/>
  <c r="A265" i="11"/>
  <c r="B265" i="11"/>
  <c r="A266" i="11"/>
  <c r="B266" i="11"/>
  <c r="A267" i="11"/>
  <c r="B267" i="11"/>
  <c r="A268" i="11"/>
  <c r="B268" i="11"/>
  <c r="A269" i="11"/>
  <c r="B269" i="11"/>
  <c r="A270" i="11"/>
  <c r="B270" i="11"/>
  <c r="A271" i="11"/>
  <c r="B271" i="11"/>
  <c r="A272" i="11"/>
  <c r="B272" i="11"/>
  <c r="A273" i="11"/>
  <c r="B273" i="11"/>
  <c r="A274" i="11"/>
  <c r="B274" i="11"/>
  <c r="A275" i="11"/>
  <c r="B275" i="11"/>
  <c r="A276" i="11"/>
  <c r="B276" i="11"/>
  <c r="A277" i="11"/>
  <c r="B277" i="11"/>
  <c r="A278" i="11"/>
  <c r="B278" i="11"/>
  <c r="A279" i="11"/>
  <c r="B279" i="11"/>
  <c r="A280" i="11"/>
  <c r="B280" i="11"/>
  <c r="A281" i="11"/>
  <c r="B281" i="11"/>
  <c r="A282" i="11"/>
  <c r="B282" i="11"/>
  <c r="A283" i="11"/>
  <c r="B283" i="11"/>
  <c r="A284" i="11"/>
  <c r="B284" i="11"/>
  <c r="A285" i="11"/>
  <c r="B285" i="11"/>
  <c r="A286" i="11"/>
  <c r="B286" i="11"/>
  <c r="A287" i="11"/>
  <c r="B287" i="11"/>
  <c r="A288" i="11"/>
  <c r="B288" i="11"/>
  <c r="A289" i="11"/>
  <c r="B289" i="11"/>
  <c r="A290" i="11"/>
  <c r="B290" i="11"/>
  <c r="A291" i="11"/>
  <c r="B291" i="11"/>
  <c r="A292" i="11"/>
  <c r="B292" i="11"/>
  <c r="A293" i="11"/>
  <c r="B293" i="11"/>
  <c r="A294" i="11"/>
  <c r="B294" i="11"/>
  <c r="A295" i="11"/>
  <c r="B295" i="11"/>
  <c r="A296" i="11"/>
  <c r="B296" i="11"/>
  <c r="A297" i="11"/>
  <c r="B297" i="11"/>
  <c r="A298" i="11"/>
  <c r="B298" i="11"/>
  <c r="A299" i="11"/>
  <c r="B299" i="11"/>
  <c r="A300" i="11"/>
  <c r="B300" i="11"/>
  <c r="A301" i="11"/>
  <c r="B301" i="11"/>
  <c r="A302" i="11"/>
  <c r="B302" i="11"/>
  <c r="A303" i="11"/>
  <c r="B303" i="11"/>
  <c r="A304" i="11"/>
  <c r="B304" i="11"/>
  <c r="A305" i="11"/>
  <c r="B305" i="11"/>
  <c r="A306" i="11"/>
  <c r="B306" i="11"/>
  <c r="A307" i="11"/>
  <c r="B307" i="11"/>
  <c r="A308" i="11"/>
  <c r="B308" i="11"/>
  <c r="A309" i="11"/>
  <c r="B309" i="11"/>
  <c r="A310" i="11"/>
  <c r="B310" i="11"/>
  <c r="A311" i="11"/>
  <c r="B311" i="11"/>
  <c r="A312" i="11"/>
  <c r="B312" i="11"/>
  <c r="B5" i="11"/>
  <c r="A5" i="11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D313" i="25" l="1"/>
  <c r="D307" i="25"/>
  <c r="D305" i="25"/>
  <c r="D301" i="25"/>
  <c r="D299" i="25"/>
  <c r="D297" i="25"/>
  <c r="D293" i="25"/>
  <c r="D291" i="25"/>
  <c r="D289" i="25"/>
  <c r="D285" i="25"/>
  <c r="D283" i="25"/>
  <c r="D281" i="25"/>
  <c r="D277" i="25"/>
  <c r="D275" i="25"/>
  <c r="D273" i="25"/>
  <c r="D269" i="25"/>
  <c r="D267" i="25"/>
  <c r="D265" i="25"/>
  <c r="D261" i="25"/>
  <c r="D259" i="25"/>
  <c r="D257" i="25"/>
  <c r="D253" i="25"/>
  <c r="D251" i="25"/>
  <c r="D249" i="25"/>
  <c r="D245" i="25"/>
  <c r="D243" i="25"/>
  <c r="D241" i="25"/>
  <c r="D237" i="25"/>
  <c r="D235" i="25"/>
  <c r="D233" i="25"/>
  <c r="D229" i="25"/>
  <c r="D227" i="25"/>
  <c r="D225" i="25"/>
  <c r="D221" i="25"/>
  <c r="D219" i="25"/>
  <c r="D217" i="25"/>
  <c r="D213" i="25"/>
  <c r="D211" i="25"/>
  <c r="D209" i="25"/>
  <c r="D205" i="25"/>
  <c r="D203" i="25"/>
  <c r="D201" i="25"/>
  <c r="D197" i="25"/>
  <c r="D195" i="25"/>
  <c r="D193" i="25"/>
  <c r="D189" i="25"/>
  <c r="D187" i="25"/>
  <c r="D185" i="25"/>
  <c r="D181" i="25"/>
  <c r="D179" i="25"/>
  <c r="D177" i="25"/>
  <c r="D173" i="25"/>
  <c r="D171" i="25"/>
  <c r="D169" i="25"/>
  <c r="D165" i="25"/>
  <c r="D163" i="25"/>
  <c r="D161" i="25"/>
  <c r="D157" i="25"/>
  <c r="D155" i="25"/>
  <c r="D153" i="25"/>
  <c r="D149" i="25"/>
  <c r="D141" i="25"/>
  <c r="D139" i="25"/>
  <c r="D137" i="25"/>
  <c r="D131" i="25"/>
  <c r="D129" i="25"/>
  <c r="D125" i="25"/>
  <c r="D123" i="25"/>
  <c r="D115" i="25"/>
  <c r="D111" i="25"/>
  <c r="D105" i="25"/>
  <c r="D103" i="25"/>
  <c r="D99" i="25"/>
  <c r="D97" i="25"/>
  <c r="D95" i="25"/>
  <c r="D89" i="25"/>
  <c r="D83" i="25"/>
  <c r="D79" i="25"/>
  <c r="D73" i="25"/>
  <c r="D71" i="25"/>
  <c r="D67" i="25"/>
  <c r="D65" i="25"/>
  <c r="D63" i="25"/>
  <c r="D59" i="25"/>
  <c r="D51" i="25"/>
  <c r="D47" i="25"/>
  <c r="D41" i="25"/>
  <c r="D35" i="25"/>
  <c r="D33" i="25"/>
  <c r="D28" i="25"/>
  <c r="D26" i="25"/>
  <c r="D20" i="25"/>
  <c r="D16" i="25"/>
  <c r="D10" i="25"/>
  <c r="D8" i="25"/>
  <c r="D298" i="25"/>
  <c r="D282" i="25"/>
  <c r="D266" i="25"/>
  <c r="D250" i="25"/>
  <c r="D242" i="25"/>
  <c r="D234" i="25"/>
  <c r="D218" i="25"/>
  <c r="D202" i="25"/>
  <c r="D194" i="25"/>
  <c r="D186" i="25"/>
  <c r="D170" i="25"/>
  <c r="D154" i="25"/>
  <c r="D138" i="25"/>
  <c r="D122" i="25"/>
  <c r="D102" i="25"/>
  <c r="D96" i="25"/>
  <c r="D70" i="25"/>
  <c r="D62" i="25"/>
  <c r="D58" i="25"/>
  <c r="D54" i="25"/>
  <c r="D50" i="25"/>
  <c r="D46" i="25"/>
  <c r="D42" i="25"/>
  <c r="D34" i="25"/>
  <c r="D31" i="25"/>
  <c r="D23" i="25"/>
  <c r="D19" i="25"/>
  <c r="D15" i="25"/>
  <c r="D11" i="25"/>
  <c r="A312" i="25"/>
  <c r="A306" i="25"/>
  <c r="A300" i="25"/>
  <c r="A296" i="25"/>
  <c r="A292" i="25"/>
  <c r="A288" i="25"/>
  <c r="A286" i="25"/>
  <c r="A282" i="25"/>
  <c r="A276" i="25"/>
  <c r="A272" i="25"/>
  <c r="A264" i="25"/>
  <c r="A260" i="25"/>
  <c r="A256" i="25"/>
  <c r="A252" i="25"/>
  <c r="A250" i="25"/>
  <c r="A244" i="25"/>
  <c r="A240" i="25"/>
  <c r="A236" i="25"/>
  <c r="A232" i="25"/>
  <c r="A228" i="25"/>
  <c r="A224" i="25"/>
  <c r="A220" i="25"/>
  <c r="A214" i="25"/>
  <c r="A210" i="25"/>
  <c r="A206" i="25"/>
  <c r="A202" i="25"/>
  <c r="A200" i="25"/>
  <c r="A196" i="25"/>
  <c r="A192" i="25"/>
  <c r="A190" i="25"/>
  <c r="A186" i="25"/>
  <c r="A182" i="25"/>
  <c r="A178" i="25"/>
  <c r="A174" i="25"/>
  <c r="A170" i="25"/>
  <c r="A166" i="25"/>
  <c r="A162" i="25"/>
  <c r="A156" i="25"/>
  <c r="A152" i="25"/>
  <c r="A148" i="25"/>
  <c r="A144" i="25"/>
  <c r="A140" i="25"/>
  <c r="A136" i="25"/>
  <c r="A132" i="25"/>
  <c r="A128" i="25"/>
  <c r="A124" i="25"/>
  <c r="A122" i="25"/>
  <c r="A118" i="25"/>
  <c r="A114" i="25"/>
  <c r="A110" i="25"/>
  <c r="A104" i="25"/>
  <c r="A100" i="25"/>
  <c r="A96" i="25"/>
  <c r="A92" i="25"/>
  <c r="A86" i="25"/>
  <c r="A82" i="25"/>
  <c r="A78" i="25"/>
  <c r="A74" i="25"/>
  <c r="A70" i="25"/>
  <c r="A68" i="25"/>
  <c r="A64" i="25"/>
  <c r="A60" i="25"/>
  <c r="A56" i="25"/>
  <c r="A52" i="25"/>
  <c r="A48" i="25"/>
  <c r="A42" i="25"/>
  <c r="A38" i="25"/>
  <c r="A34" i="25"/>
  <c r="A31" i="25"/>
  <c r="A27" i="25"/>
  <c r="A23" i="25"/>
  <c r="A19" i="25"/>
  <c r="A15" i="25"/>
  <c r="A11" i="25"/>
  <c r="B311" i="25"/>
  <c r="B307" i="25"/>
  <c r="B301" i="25"/>
  <c r="B297" i="25"/>
  <c r="B293" i="25"/>
  <c r="B291" i="25"/>
  <c r="B287" i="25"/>
  <c r="B281" i="25"/>
  <c r="B279" i="25"/>
  <c r="B275" i="25"/>
  <c r="B271" i="25"/>
  <c r="B267" i="25"/>
  <c r="B263" i="25"/>
  <c r="B259" i="25"/>
  <c r="B255" i="25"/>
  <c r="B251" i="25"/>
  <c r="B245" i="25"/>
  <c r="B241" i="25"/>
  <c r="B237" i="25"/>
  <c r="B233" i="25"/>
  <c r="B229" i="25"/>
  <c r="B225" i="25"/>
  <c r="B221" i="25"/>
  <c r="B217" i="25"/>
  <c r="B213" i="25"/>
  <c r="B211" i="25"/>
  <c r="B207" i="25"/>
  <c r="A311" i="25"/>
  <c r="A309" i="25"/>
  <c r="A305" i="25"/>
  <c r="A301" i="25"/>
  <c r="A299" i="25"/>
  <c r="A295" i="25"/>
  <c r="A293" i="25"/>
  <c r="A289" i="25"/>
  <c r="A287" i="25"/>
  <c r="A283" i="25"/>
  <c r="A281" i="25"/>
  <c r="A277" i="25"/>
  <c r="A275" i="25"/>
  <c r="A273" i="25"/>
  <c r="A269" i="25"/>
  <c r="A267" i="25"/>
  <c r="A263" i="25"/>
  <c r="A261" i="25"/>
  <c r="A257" i="25"/>
  <c r="A251" i="25"/>
  <c r="A247" i="25"/>
  <c r="A243" i="25"/>
  <c r="A241" i="25"/>
  <c r="A237" i="25"/>
  <c r="A231" i="25"/>
  <c r="A225" i="25"/>
  <c r="A221" i="25"/>
  <c r="A217" i="25"/>
  <c r="A213" i="25"/>
  <c r="A209" i="25"/>
  <c r="A205" i="25"/>
  <c r="A201" i="25"/>
  <c r="A199" i="25"/>
  <c r="A195" i="25"/>
  <c r="A189" i="25"/>
  <c r="A185" i="25"/>
  <c r="A181" i="25"/>
  <c r="A177" i="25"/>
  <c r="A173" i="25"/>
  <c r="A169" i="25"/>
  <c r="A165" i="25"/>
  <c r="A161" i="25"/>
  <c r="A157" i="25"/>
  <c r="A153" i="25"/>
  <c r="A149" i="25"/>
  <c r="A145" i="25"/>
  <c r="A143" i="25"/>
  <c r="A139" i="25"/>
  <c r="A135" i="25"/>
  <c r="A131" i="25"/>
  <c r="A127" i="25"/>
  <c r="A123" i="25"/>
  <c r="A119" i="25"/>
  <c r="A115" i="25"/>
  <c r="A111" i="25"/>
  <c r="A107" i="25"/>
  <c r="A103" i="25"/>
  <c r="A99" i="25"/>
  <c r="A95" i="25"/>
  <c r="A91" i="25"/>
  <c r="A87" i="25"/>
  <c r="A83" i="25"/>
  <c r="A79" i="25"/>
  <c r="A75" i="25"/>
  <c r="A71" i="25"/>
  <c r="A67" i="25"/>
  <c r="A63" i="25"/>
  <c r="A59" i="25"/>
  <c r="A55" i="25"/>
  <c r="A51" i="25"/>
  <c r="A49" i="25"/>
  <c r="A45" i="25"/>
  <c r="A43" i="25"/>
  <c r="A39" i="25"/>
  <c r="A35" i="25"/>
  <c r="A30" i="25"/>
  <c r="A26" i="25"/>
  <c r="A24" i="25"/>
  <c r="A20" i="25"/>
  <c r="A18" i="25"/>
  <c r="A14" i="25"/>
  <c r="A12" i="25"/>
  <c r="A8" i="25"/>
  <c r="B312" i="25"/>
  <c r="B310" i="25"/>
  <c r="B308" i="25"/>
  <c r="B306" i="25"/>
  <c r="B304" i="25"/>
  <c r="B302" i="25"/>
  <c r="B300" i="25"/>
  <c r="B298" i="25"/>
  <c r="B296" i="25"/>
  <c r="B294" i="25"/>
  <c r="B292" i="25"/>
  <c r="B290" i="25"/>
  <c r="B288" i="25"/>
  <c r="B286" i="25"/>
  <c r="B284" i="25"/>
  <c r="B282" i="25"/>
  <c r="B280" i="25"/>
  <c r="B278" i="25"/>
  <c r="B276" i="25"/>
  <c r="B274" i="25"/>
  <c r="B272" i="25"/>
  <c r="B270" i="25"/>
  <c r="B268" i="25"/>
  <c r="B266" i="25"/>
  <c r="B264" i="25"/>
  <c r="B262" i="25"/>
  <c r="B260" i="25"/>
  <c r="B258" i="25"/>
  <c r="B256" i="25"/>
  <c r="B254" i="25"/>
  <c r="B252" i="25"/>
  <c r="B250" i="25"/>
  <c r="B248" i="25"/>
  <c r="B246" i="25"/>
  <c r="B244" i="25"/>
  <c r="B242" i="25"/>
  <c r="B240" i="25"/>
  <c r="B238" i="25"/>
  <c r="B236" i="25"/>
  <c r="B234" i="25"/>
  <c r="B232" i="25"/>
  <c r="B230" i="25"/>
  <c r="B228" i="25"/>
  <c r="B226" i="25"/>
  <c r="B224" i="25"/>
  <c r="B222" i="25"/>
  <c r="B220" i="25"/>
  <c r="B218" i="25"/>
  <c r="B216" i="25"/>
  <c r="B214" i="25"/>
  <c r="B212" i="25"/>
  <c r="B210" i="25"/>
  <c r="B208" i="25"/>
  <c r="B206" i="25"/>
  <c r="B204" i="25"/>
  <c r="B202" i="25"/>
  <c r="B200" i="25"/>
  <c r="B198" i="25"/>
  <c r="B196" i="25"/>
  <c r="B194" i="25"/>
  <c r="B192" i="25"/>
  <c r="B190" i="25"/>
  <c r="B188" i="25"/>
  <c r="B186" i="25"/>
  <c r="B184" i="25"/>
  <c r="B182" i="25"/>
  <c r="B180" i="25"/>
  <c r="B178" i="25"/>
  <c r="B176" i="25"/>
  <c r="B174" i="25"/>
  <c r="B172" i="25"/>
  <c r="B170" i="25"/>
  <c r="B168" i="25"/>
  <c r="B166" i="25"/>
  <c r="B164" i="25"/>
  <c r="B162" i="25"/>
  <c r="B160" i="25"/>
  <c r="B158" i="25"/>
  <c r="B156" i="25"/>
  <c r="B154" i="25"/>
  <c r="B152" i="25"/>
  <c r="B150" i="25"/>
  <c r="B148" i="25"/>
  <c r="B146" i="25"/>
  <c r="B144" i="25"/>
  <c r="B142" i="25"/>
  <c r="B140" i="25"/>
  <c r="B138" i="25"/>
  <c r="B136" i="25"/>
  <c r="B134" i="25"/>
  <c r="B132" i="25"/>
  <c r="B130" i="25"/>
  <c r="B128" i="25"/>
  <c r="B126" i="25"/>
  <c r="B124" i="25"/>
  <c r="B122" i="25"/>
  <c r="B120" i="25"/>
  <c r="B118" i="25"/>
  <c r="B116" i="25"/>
  <c r="B114" i="25"/>
  <c r="B112" i="25"/>
  <c r="B110" i="25"/>
  <c r="B108" i="25"/>
  <c r="B106" i="25"/>
  <c r="B104" i="25"/>
  <c r="B102" i="25"/>
  <c r="B100" i="25"/>
  <c r="B98" i="25"/>
  <c r="B96" i="25"/>
  <c r="B94" i="25"/>
  <c r="B92" i="25"/>
  <c r="B90" i="25"/>
  <c r="B88" i="25"/>
  <c r="B86" i="25"/>
  <c r="B84" i="25"/>
  <c r="B82" i="25"/>
  <c r="B80" i="25"/>
  <c r="B78" i="25"/>
  <c r="B76" i="25"/>
  <c r="B74" i="25"/>
  <c r="B72" i="25"/>
  <c r="B70" i="25"/>
  <c r="B68" i="25"/>
  <c r="B66" i="25"/>
  <c r="B64" i="25"/>
  <c r="B62" i="25"/>
  <c r="B60" i="25"/>
  <c r="B58" i="25"/>
  <c r="B56" i="25"/>
  <c r="B54" i="25"/>
  <c r="B52" i="25"/>
  <c r="B50" i="25"/>
  <c r="B48" i="25"/>
  <c r="B46" i="25"/>
  <c r="B44" i="25"/>
  <c r="B42" i="25"/>
  <c r="B40" i="25"/>
  <c r="B38" i="25"/>
  <c r="B36" i="25"/>
  <c r="B34" i="25"/>
  <c r="B32" i="25"/>
  <c r="B31" i="25"/>
  <c r="B29" i="25"/>
  <c r="B27" i="25"/>
  <c r="B25" i="25"/>
  <c r="B23" i="25"/>
  <c r="B21" i="25"/>
  <c r="B19" i="25"/>
  <c r="B17" i="25"/>
  <c r="B15" i="25"/>
  <c r="B13" i="25"/>
  <c r="B11" i="25"/>
  <c r="B9" i="25"/>
  <c r="B7" i="25"/>
  <c r="A268" i="25"/>
  <c r="A88" i="25"/>
  <c r="B205" i="25"/>
  <c r="B203" i="25"/>
  <c r="B201" i="25"/>
  <c r="B199" i="25"/>
  <c r="B197" i="25"/>
  <c r="B195" i="25"/>
  <c r="B193" i="25"/>
  <c r="B191" i="25"/>
  <c r="B189" i="25"/>
  <c r="B187" i="25"/>
  <c r="B185" i="25"/>
  <c r="B183" i="25"/>
  <c r="B181" i="25"/>
  <c r="B179" i="25"/>
  <c r="B177" i="25"/>
  <c r="B175" i="25"/>
  <c r="B173" i="25"/>
  <c r="B171" i="25"/>
  <c r="B169" i="25"/>
  <c r="B167" i="25"/>
  <c r="B165" i="25"/>
  <c r="B163" i="25"/>
  <c r="B161" i="25"/>
  <c r="B159" i="25"/>
  <c r="B157" i="25"/>
  <c r="B155" i="25"/>
  <c r="B153" i="25"/>
  <c r="B151" i="25"/>
  <c r="B149" i="25"/>
  <c r="B147" i="25"/>
  <c r="B145" i="25"/>
  <c r="B143" i="25"/>
  <c r="B141" i="25"/>
  <c r="B139" i="25"/>
  <c r="B137" i="25"/>
  <c r="B135" i="25"/>
  <c r="B133" i="25"/>
  <c r="B131" i="25"/>
  <c r="B129" i="25"/>
  <c r="B127" i="25"/>
  <c r="B125" i="25"/>
  <c r="B123" i="25"/>
  <c r="B121" i="25"/>
  <c r="B119" i="25"/>
  <c r="B117" i="25"/>
  <c r="B115" i="25"/>
  <c r="B113" i="25"/>
  <c r="B111" i="25"/>
  <c r="B109" i="25"/>
  <c r="B107" i="25"/>
  <c r="B105" i="25"/>
  <c r="B103" i="25"/>
  <c r="B101" i="25"/>
  <c r="B99" i="25"/>
  <c r="B97" i="25"/>
  <c r="B95" i="25"/>
  <c r="B93" i="25"/>
  <c r="B91" i="25"/>
  <c r="B89" i="25"/>
  <c r="B87" i="25"/>
  <c r="B85" i="25"/>
  <c r="B83" i="25"/>
  <c r="B81" i="25"/>
  <c r="B79" i="25"/>
  <c r="B77" i="25"/>
  <c r="B75" i="25"/>
  <c r="B73" i="25"/>
  <c r="B71" i="25"/>
  <c r="B69" i="25"/>
  <c r="B67" i="25"/>
  <c r="B65" i="25"/>
  <c r="B63" i="25"/>
  <c r="B61" i="25"/>
  <c r="B59" i="25"/>
  <c r="B57" i="25"/>
  <c r="B55" i="25"/>
  <c r="B53" i="25"/>
  <c r="B51" i="25"/>
  <c r="B49" i="25"/>
  <c r="B47" i="25"/>
  <c r="B45" i="25"/>
  <c r="B43" i="25"/>
  <c r="B41" i="25"/>
  <c r="B39" i="25"/>
  <c r="B37" i="25"/>
  <c r="B35" i="25"/>
  <c r="B33" i="25"/>
  <c r="B30" i="25"/>
  <c r="B28" i="25"/>
  <c r="B26" i="25"/>
  <c r="B24" i="25"/>
  <c r="B22" i="25"/>
  <c r="B20" i="25"/>
  <c r="B18" i="25"/>
  <c r="B16" i="25"/>
  <c r="B14" i="25"/>
  <c r="B12" i="25"/>
  <c r="B10" i="25"/>
  <c r="B8" i="25"/>
  <c r="A310" i="25"/>
  <c r="A308" i="25"/>
  <c r="A304" i="25"/>
  <c r="A302" i="25"/>
  <c r="A298" i="25"/>
  <c r="A294" i="25"/>
  <c r="A290" i="25"/>
  <c r="A284" i="25"/>
  <c r="A280" i="25"/>
  <c r="A278" i="25"/>
  <c r="A274" i="25"/>
  <c r="A270" i="25"/>
  <c r="A266" i="25"/>
  <c r="A262" i="25"/>
  <c r="A258" i="25"/>
  <c r="A254" i="25"/>
  <c r="A248" i="25"/>
  <c r="A246" i="25"/>
  <c r="A242" i="25"/>
  <c r="A238" i="25"/>
  <c r="A234" i="25"/>
  <c r="A230" i="25"/>
  <c r="A226" i="25"/>
  <c r="A222" i="25"/>
  <c r="A218" i="25"/>
  <c r="A216" i="25"/>
  <c r="A212" i="25"/>
  <c r="A208" i="25"/>
  <c r="A204" i="25"/>
  <c r="A198" i="25"/>
  <c r="A194" i="25"/>
  <c r="A188" i="25"/>
  <c r="A184" i="25"/>
  <c r="A180" i="25"/>
  <c r="A176" i="25"/>
  <c r="A172" i="25"/>
  <c r="A168" i="25"/>
  <c r="A164" i="25"/>
  <c r="A160" i="25"/>
  <c r="A158" i="25"/>
  <c r="A154" i="25"/>
  <c r="A150" i="25"/>
  <c r="A146" i="25"/>
  <c r="A142" i="25"/>
  <c r="A138" i="25"/>
  <c r="A134" i="25"/>
  <c r="A130" i="25"/>
  <c r="A126" i="25"/>
  <c r="A120" i="25"/>
  <c r="A116" i="25"/>
  <c r="A112" i="25"/>
  <c r="A108" i="25"/>
  <c r="A106" i="25"/>
  <c r="A102" i="25"/>
  <c r="A98" i="25"/>
  <c r="A94" i="25"/>
  <c r="A90" i="25"/>
  <c r="A84" i="25"/>
  <c r="A80" i="25"/>
  <c r="A76" i="25"/>
  <c r="A72" i="25"/>
  <c r="A66" i="25"/>
  <c r="A62" i="25"/>
  <c r="A58" i="25"/>
  <c r="A54" i="25"/>
  <c r="A50" i="25"/>
  <c r="A46" i="25"/>
  <c r="A44" i="25"/>
  <c r="A40" i="25"/>
  <c r="A36" i="25"/>
  <c r="A32" i="25"/>
  <c r="A29" i="25"/>
  <c r="A25" i="25"/>
  <c r="A21" i="25"/>
  <c r="A17" i="25"/>
  <c r="A13" i="25"/>
  <c r="A9" i="25"/>
  <c r="A7" i="25"/>
  <c r="B313" i="25"/>
  <c r="B309" i="25"/>
  <c r="B305" i="25"/>
  <c r="B303" i="25"/>
  <c r="B299" i="25"/>
  <c r="B295" i="25"/>
  <c r="B289" i="25"/>
  <c r="B285" i="25"/>
  <c r="B283" i="25"/>
  <c r="B277" i="25"/>
  <c r="B273" i="25"/>
  <c r="B269" i="25"/>
  <c r="B265" i="25"/>
  <c r="B261" i="25"/>
  <c r="B257" i="25"/>
  <c r="B253" i="25"/>
  <c r="B249" i="25"/>
  <c r="B247" i="25"/>
  <c r="B243" i="25"/>
  <c r="B239" i="25"/>
  <c r="B235" i="25"/>
  <c r="B231" i="25"/>
  <c r="B227" i="25"/>
  <c r="B223" i="25"/>
  <c r="B219" i="25"/>
  <c r="B215" i="25"/>
  <c r="B209" i="25"/>
  <c r="A313" i="25"/>
  <c r="A307" i="25"/>
  <c r="A303" i="25"/>
  <c r="A297" i="25"/>
  <c r="A291" i="25"/>
  <c r="A285" i="25"/>
  <c r="A279" i="25"/>
  <c r="A271" i="25"/>
  <c r="A265" i="25"/>
  <c r="A259" i="25"/>
  <c r="A255" i="25"/>
  <c r="A253" i="25"/>
  <c r="A249" i="25"/>
  <c r="A245" i="25"/>
  <c r="A239" i="25"/>
  <c r="A235" i="25"/>
  <c r="A233" i="25"/>
  <c r="A229" i="25"/>
  <c r="A227" i="25"/>
  <c r="A223" i="25"/>
  <c r="A219" i="25"/>
  <c r="A215" i="25"/>
  <c r="A211" i="25"/>
  <c r="A207" i="25"/>
  <c r="A203" i="25"/>
  <c r="A197" i="25"/>
  <c r="A193" i="25"/>
  <c r="A191" i="25"/>
  <c r="A187" i="25"/>
  <c r="A183" i="25"/>
  <c r="A179" i="25"/>
  <c r="A175" i="25"/>
  <c r="A171" i="25"/>
  <c r="A167" i="25"/>
  <c r="A163" i="25"/>
  <c r="A159" i="25"/>
  <c r="A155" i="25"/>
  <c r="A151" i="25"/>
  <c r="A147" i="25"/>
  <c r="A141" i="25"/>
  <c r="A137" i="25"/>
  <c r="A133" i="25"/>
  <c r="A129" i="25"/>
  <c r="A125" i="25"/>
  <c r="A121" i="25"/>
  <c r="A117" i="25"/>
  <c r="A113" i="25"/>
  <c r="A109" i="25"/>
  <c r="A105" i="25"/>
  <c r="A101" i="25"/>
  <c r="A97" i="25"/>
  <c r="A93" i="25"/>
  <c r="A89" i="25"/>
  <c r="A85" i="25"/>
  <c r="A81" i="25"/>
  <c r="A77" i="25"/>
  <c r="A73" i="25"/>
  <c r="A69" i="25"/>
  <c r="A65" i="25"/>
  <c r="A61" i="25"/>
  <c r="A57" i="25"/>
  <c r="A53" i="25"/>
  <c r="A47" i="25"/>
  <c r="A41" i="25"/>
  <c r="A37" i="25"/>
  <c r="A33" i="25"/>
  <c r="A28" i="25"/>
  <c r="A22" i="25"/>
  <c r="A16" i="25"/>
  <c r="A10" i="25"/>
  <c r="D38" i="25"/>
  <c r="D27" i="25"/>
  <c r="D7" i="25"/>
  <c r="D306" i="25"/>
  <c r="D290" i="25"/>
  <c r="D274" i="25"/>
  <c r="D258" i="25"/>
  <c r="D226" i="25"/>
  <c r="D210" i="25"/>
  <c r="D178" i="25"/>
  <c r="D162" i="25"/>
  <c r="D146" i="25"/>
  <c r="D130" i="25"/>
  <c r="D90" i="25"/>
  <c r="D64" i="25"/>
  <c r="D32" i="25"/>
  <c r="D309" i="25"/>
  <c r="D147" i="25"/>
  <c r="D39" i="25"/>
  <c r="D91" i="25"/>
  <c r="D145" i="25"/>
  <c r="D133" i="25"/>
  <c r="D121" i="25"/>
  <c r="D57" i="25"/>
  <c r="D117" i="25"/>
  <c r="D113" i="25"/>
  <c r="D109" i="25"/>
  <c r="D101" i="25"/>
  <c r="D93" i="25"/>
  <c r="D85" i="25"/>
  <c r="D81" i="25"/>
  <c r="D77" i="25"/>
  <c r="D69" i="25"/>
  <c r="D61" i="25"/>
  <c r="D53" i="25"/>
  <c r="D49" i="25"/>
  <c r="D45" i="25"/>
  <c r="D37" i="25"/>
  <c r="D30" i="25"/>
  <c r="D22" i="25"/>
  <c r="D18" i="25"/>
  <c r="D14" i="25"/>
  <c r="D312" i="25"/>
  <c r="D308" i="25"/>
  <c r="D304" i="25"/>
  <c r="D300" i="25"/>
  <c r="D296" i="25"/>
  <c r="D292" i="25"/>
  <c r="D288" i="25"/>
  <c r="D284" i="25"/>
  <c r="D280" i="25"/>
  <c r="D276" i="25"/>
  <c r="D272" i="25"/>
  <c r="D268" i="25"/>
  <c r="D264" i="25"/>
  <c r="D260" i="25"/>
  <c r="D256" i="25"/>
  <c r="D252" i="25"/>
  <c r="D248" i="25"/>
  <c r="D244" i="25"/>
  <c r="D240" i="25"/>
  <c r="D236" i="25"/>
  <c r="D232" i="25"/>
  <c r="D228" i="25"/>
  <c r="D224" i="25"/>
  <c r="D220" i="25"/>
  <c r="D216" i="25"/>
  <c r="D212" i="25"/>
  <c r="D208" i="25"/>
  <c r="D204" i="25"/>
  <c r="D200" i="25"/>
  <c r="D196" i="25"/>
  <c r="D192" i="25"/>
  <c r="D188" i="25"/>
  <c r="D184" i="25"/>
  <c r="D180" i="25"/>
  <c r="D172" i="25"/>
  <c r="D168" i="25"/>
  <c r="D164" i="25"/>
  <c r="D160" i="25"/>
  <c r="D156" i="25"/>
  <c r="D152" i="25"/>
  <c r="D148" i="25"/>
  <c r="D144" i="25"/>
  <c r="D140" i="25"/>
  <c r="D136" i="25"/>
  <c r="D132" i="25"/>
  <c r="D128" i="25"/>
  <c r="D124" i="25"/>
  <c r="D120" i="25"/>
  <c r="D116" i="25"/>
  <c r="D112" i="25"/>
  <c r="D108" i="25"/>
  <c r="D104" i="25"/>
  <c r="D100" i="25"/>
  <c r="D92" i="25"/>
  <c r="D88" i="25"/>
  <c r="D84" i="25"/>
  <c r="D80" i="25"/>
  <c r="D76" i="25"/>
  <c r="D72" i="25"/>
  <c r="D68" i="25"/>
  <c r="D60" i="25"/>
  <c r="D56" i="25"/>
  <c r="D52" i="25"/>
  <c r="D48" i="25"/>
  <c r="D44" i="25"/>
  <c r="D40" i="25"/>
  <c r="D36" i="25"/>
  <c r="D29" i="25"/>
  <c r="D25" i="25"/>
  <c r="D21" i="25"/>
  <c r="D17" i="25"/>
  <c r="D13" i="25"/>
  <c r="D9" i="25"/>
  <c r="D311" i="25"/>
  <c r="D303" i="25"/>
  <c r="D295" i="25"/>
  <c r="D287" i="25"/>
  <c r="D279" i="25"/>
  <c r="D271" i="25"/>
  <c r="D263" i="25"/>
  <c r="D255" i="25"/>
  <c r="D247" i="25"/>
  <c r="D239" i="25"/>
  <c r="D231" i="25"/>
  <c r="D223" i="25"/>
  <c r="D215" i="25"/>
  <c r="D207" i="25"/>
  <c r="D199" i="25"/>
  <c r="D191" i="25"/>
  <c r="D183" i="25"/>
  <c r="D175" i="25"/>
  <c r="D167" i="25"/>
  <c r="D159" i="25"/>
  <c r="D151" i="25"/>
  <c r="D143" i="25"/>
  <c r="D135" i="25"/>
  <c r="D127" i="25"/>
  <c r="D119" i="25"/>
  <c r="D107" i="25"/>
  <c r="D87" i="25"/>
  <c r="D75" i="25"/>
  <c r="D55" i="25"/>
  <c r="D43" i="25"/>
  <c r="D24" i="25"/>
  <c r="D12" i="25"/>
  <c r="D310" i="25"/>
  <c r="D302" i="25"/>
  <c r="D294" i="25"/>
  <c r="D286" i="25"/>
  <c r="D278" i="25"/>
  <c r="D270" i="25"/>
  <c r="D262" i="25"/>
  <c r="D254" i="25"/>
  <c r="D246" i="25"/>
  <c r="D238" i="25"/>
  <c r="D230" i="25"/>
  <c r="D222" i="25"/>
  <c r="D214" i="25"/>
  <c r="D206" i="25"/>
  <c r="D198" i="25"/>
  <c r="D190" i="25"/>
  <c r="D182" i="25"/>
  <c r="D174" i="25"/>
  <c r="D166" i="25"/>
  <c r="D158" i="25"/>
  <c r="D150" i="25"/>
  <c r="D142" i="25"/>
  <c r="D134" i="25"/>
  <c r="D126" i="25"/>
  <c r="D118" i="25"/>
  <c r="D114" i="25"/>
  <c r="D110" i="25"/>
  <c r="D106" i="25"/>
  <c r="D98" i="25"/>
  <c r="D94" i="25"/>
  <c r="D86" i="25"/>
  <c r="D82" i="25"/>
  <c r="D78" i="25"/>
  <c r="D74" i="25"/>
  <c r="D66" i="25"/>
  <c r="D176" i="25"/>
  <c r="N244" i="42"/>
  <c r="T244" i="42" s="1"/>
  <c r="Z7" i="19" l="1"/>
  <c r="X7" i="19"/>
  <c r="W7" i="19"/>
  <c r="V7" i="19"/>
  <c r="P7" i="19"/>
  <c r="N7" i="19"/>
  <c r="M7" i="19"/>
  <c r="L7" i="19"/>
  <c r="K7" i="19"/>
  <c r="I7" i="19"/>
  <c r="H7" i="19"/>
  <c r="N238" i="42"/>
  <c r="T238" i="42" s="1"/>
  <c r="K302" i="49" l="1"/>
  <c r="K243" i="13" l="1"/>
  <c r="K169" i="13"/>
  <c r="K218" i="13"/>
  <c r="N245" i="42" l="1"/>
  <c r="T245" i="42" s="1"/>
  <c r="N219" i="42"/>
  <c r="T219" i="42" s="1"/>
  <c r="N170" i="42"/>
  <c r="T170" i="42" s="1"/>
  <c r="L169" i="13" l="1"/>
  <c r="M169" i="13" s="1"/>
  <c r="E169" i="49"/>
  <c r="L218" i="13"/>
  <c r="M218" i="13" s="1"/>
  <c r="E218" i="49"/>
  <c r="E243" i="49"/>
  <c r="L243" i="13"/>
  <c r="M243" i="13" s="1"/>
  <c r="H169" i="49"/>
  <c r="D169" i="49"/>
  <c r="H218" i="49"/>
  <c r="D218" i="49"/>
  <c r="H243" i="49"/>
  <c r="D243" i="49"/>
  <c r="F169" i="49" l="1"/>
  <c r="F243" i="49"/>
  <c r="G218" i="49" l="1"/>
  <c r="F218" i="49"/>
  <c r="J218" i="13"/>
  <c r="A218" i="49"/>
  <c r="B218" i="49"/>
  <c r="A169" i="49"/>
  <c r="B169" i="49"/>
  <c r="A218" i="13"/>
  <c r="B218" i="13"/>
  <c r="A169" i="13"/>
  <c r="B169" i="13"/>
  <c r="E125" i="25" l="1"/>
  <c r="M125" i="49"/>
  <c r="C124" i="11"/>
  <c r="E112" i="25"/>
  <c r="M112" i="49"/>
  <c r="C111" i="11"/>
  <c r="E171" i="25"/>
  <c r="C170" i="11"/>
  <c r="M171" i="49"/>
  <c r="E210" i="25"/>
  <c r="M210" i="49"/>
  <c r="C209" i="11"/>
  <c r="E180" i="25"/>
  <c r="C179" i="11"/>
  <c r="M180" i="49"/>
  <c r="E195" i="25"/>
  <c r="M195" i="49"/>
  <c r="C194" i="11"/>
  <c r="E32" i="25"/>
  <c r="M32" i="49"/>
  <c r="C31" i="11"/>
  <c r="E63" i="25"/>
  <c r="C62" i="11"/>
  <c r="M63" i="49"/>
  <c r="E241" i="25"/>
  <c r="M241" i="49"/>
  <c r="C240" i="11"/>
  <c r="E300" i="25"/>
  <c r="M300" i="49"/>
  <c r="C299" i="11"/>
  <c r="E270" i="25"/>
  <c r="M270" i="49"/>
  <c r="C269" i="11"/>
  <c r="E310" i="25"/>
  <c r="M310" i="49"/>
  <c r="C309" i="11"/>
  <c r="E40" i="25"/>
  <c r="M40" i="49"/>
  <c r="C39" i="11"/>
  <c r="E129" i="25"/>
  <c r="M129" i="49"/>
  <c r="C128" i="11"/>
  <c r="E90" i="25"/>
  <c r="C89" i="11"/>
  <c r="M90" i="49"/>
  <c r="E217" i="25"/>
  <c r="M217" i="49"/>
  <c r="C216" i="11"/>
  <c r="E56" i="25"/>
  <c r="M56" i="49"/>
  <c r="C55" i="11"/>
  <c r="M59" i="49"/>
  <c r="E59" i="25"/>
  <c r="C58" i="11"/>
  <c r="M215" i="49"/>
  <c r="E215" i="25"/>
  <c r="C214" i="11"/>
  <c r="M168" i="49"/>
  <c r="E168" i="25"/>
  <c r="C167" i="11"/>
  <c r="C67" i="11"/>
  <c r="M68" i="49"/>
  <c r="E68" i="25"/>
  <c r="E239" i="25"/>
  <c r="M239" i="49"/>
  <c r="C238" i="11"/>
  <c r="M140" i="49"/>
  <c r="E140" i="25"/>
  <c r="C139" i="11"/>
  <c r="E284" i="25"/>
  <c r="C283" i="11"/>
  <c r="M284" i="49"/>
  <c r="M115" i="49"/>
  <c r="E115" i="25"/>
  <c r="C114" i="11"/>
  <c r="M253" i="49"/>
  <c r="E253" i="25"/>
  <c r="C252" i="11"/>
  <c r="C27" i="11"/>
  <c r="M28" i="49"/>
  <c r="E28" i="25"/>
  <c r="E153" i="25"/>
  <c r="M153" i="49"/>
  <c r="C152" i="11"/>
  <c r="C26" i="11"/>
  <c r="M27" i="49"/>
  <c r="E27" i="25"/>
  <c r="E233" i="25"/>
  <c r="M233" i="49"/>
  <c r="C232" i="11"/>
  <c r="M158" i="49"/>
  <c r="C157" i="11"/>
  <c r="E158" i="25"/>
  <c r="C185" i="11"/>
  <c r="M186" i="49"/>
  <c r="E186" i="25"/>
  <c r="C256" i="11"/>
  <c r="E257" i="25"/>
  <c r="M257" i="49"/>
  <c r="E130" i="25"/>
  <c r="M130" i="49"/>
  <c r="C129" i="11"/>
  <c r="M24" i="49"/>
  <c r="E24" i="25"/>
  <c r="C23" i="11"/>
  <c r="E84" i="25"/>
  <c r="C83" i="11"/>
  <c r="M84" i="49"/>
  <c r="E238" i="25"/>
  <c r="M238" i="49"/>
  <c r="C237" i="11"/>
  <c r="E29" i="25"/>
  <c r="M29" i="49"/>
  <c r="C28" i="11"/>
  <c r="E141" i="25"/>
  <c r="M141" i="49"/>
  <c r="C140" i="11"/>
  <c r="C35" i="11"/>
  <c r="E36" i="25"/>
  <c r="M36" i="49"/>
  <c r="M107" i="49"/>
  <c r="E107" i="25"/>
  <c r="C106" i="11"/>
  <c r="M99" i="49"/>
  <c r="E99" i="25"/>
  <c r="C98" i="11"/>
  <c r="E87" i="25"/>
  <c r="C86" i="11"/>
  <c r="M87" i="49"/>
  <c r="E272" i="25"/>
  <c r="M272" i="49"/>
  <c r="C271" i="11"/>
  <c r="M302" i="49"/>
  <c r="E302" i="25"/>
  <c r="C301" i="11"/>
  <c r="M222" i="49"/>
  <c r="C221" i="11"/>
  <c r="E222" i="25"/>
  <c r="C134" i="11"/>
  <c r="E135" i="25"/>
  <c r="M135" i="49"/>
  <c r="M35" i="49"/>
  <c r="E35" i="25"/>
  <c r="C34" i="11"/>
  <c r="E249" i="25"/>
  <c r="M249" i="49"/>
  <c r="C248" i="11"/>
  <c r="E76" i="25"/>
  <c r="C75" i="11"/>
  <c r="M76" i="49"/>
  <c r="C100" i="11"/>
  <c r="E101" i="25"/>
  <c r="M101" i="49"/>
  <c r="M275" i="49"/>
  <c r="E275" i="25"/>
  <c r="C274" i="11"/>
  <c r="C146" i="11"/>
  <c r="M147" i="49"/>
  <c r="E147" i="25"/>
  <c r="E110" i="25"/>
  <c r="M110" i="49"/>
  <c r="C109" i="11"/>
  <c r="C125" i="11"/>
  <c r="E126" i="25"/>
  <c r="M126" i="49"/>
  <c r="E80" i="25"/>
  <c r="M80" i="49"/>
  <c r="C79" i="11"/>
  <c r="M163" i="49"/>
  <c r="E163" i="25"/>
  <c r="C162" i="11"/>
  <c r="M204" i="49"/>
  <c r="E204" i="25"/>
  <c r="C203" i="11"/>
  <c r="E33" i="25"/>
  <c r="M33" i="49"/>
  <c r="C32" i="11"/>
  <c r="E297" i="25"/>
  <c r="M297" i="49"/>
  <c r="C296" i="11"/>
  <c r="E209" i="25"/>
  <c r="M209" i="49"/>
  <c r="C208" i="11"/>
  <c r="E178" i="25"/>
  <c r="M178" i="49"/>
  <c r="C177" i="11"/>
  <c r="M289" i="49"/>
  <c r="E289" i="25"/>
  <c r="C288" i="11"/>
  <c r="C96" i="11"/>
  <c r="E97" i="25"/>
  <c r="M97" i="49"/>
  <c r="C33" i="11"/>
  <c r="E34" i="25"/>
  <c r="M34" i="49"/>
  <c r="M276" i="49"/>
  <c r="E276" i="25"/>
  <c r="C275" i="11"/>
  <c r="E264" i="25"/>
  <c r="M264" i="49"/>
  <c r="C263" i="11"/>
  <c r="E121" i="25"/>
  <c r="M121" i="49"/>
  <c r="C120" i="11"/>
  <c r="C14" i="11"/>
  <c r="E15" i="25"/>
  <c r="M15" i="49"/>
  <c r="E128" i="25"/>
  <c r="M128" i="49"/>
  <c r="C127" i="11"/>
  <c r="M122" i="49"/>
  <c r="E122" i="25"/>
  <c r="C121" i="11"/>
  <c r="C54" i="11"/>
  <c r="M55" i="49"/>
  <c r="E55" i="25"/>
  <c r="C190" i="11"/>
  <c r="E191" i="25"/>
  <c r="M191" i="49"/>
  <c r="M183" i="49"/>
  <c r="E183" i="25"/>
  <c r="C182" i="11"/>
  <c r="E232" i="25"/>
  <c r="M232" i="49"/>
  <c r="C231" i="11"/>
  <c r="E274" i="25"/>
  <c r="C273" i="11"/>
  <c r="M274" i="49"/>
  <c r="M293" i="49"/>
  <c r="E293" i="25"/>
  <c r="C292" i="11"/>
  <c r="C175" i="11"/>
  <c r="M176" i="49"/>
  <c r="E176" i="25"/>
  <c r="E114" i="25"/>
  <c r="M114" i="49"/>
  <c r="C113" i="11"/>
  <c r="E105" i="25"/>
  <c r="M105" i="49"/>
  <c r="C104" i="11"/>
  <c r="M43" i="49"/>
  <c r="E43" i="25"/>
  <c r="C42" i="11"/>
  <c r="M224" i="49"/>
  <c r="E224" i="25"/>
  <c r="C223" i="11"/>
  <c r="M280" i="49"/>
  <c r="E280" i="25"/>
  <c r="C279" i="11"/>
  <c r="C258" i="11"/>
  <c r="E259" i="25"/>
  <c r="M259" i="49"/>
  <c r="M91" i="49"/>
  <c r="E91" i="25"/>
  <c r="C90" i="11"/>
  <c r="E21" i="25"/>
  <c r="M21" i="49"/>
  <c r="C20" i="11"/>
  <c r="C57" i="11"/>
  <c r="M58" i="49"/>
  <c r="E58" i="25"/>
  <c r="C61" i="11"/>
  <c r="E62" i="25"/>
  <c r="M62" i="49"/>
  <c r="C234" i="11"/>
  <c r="M235" i="49"/>
  <c r="E235" i="25"/>
  <c r="M286" i="49"/>
  <c r="C285" i="11"/>
  <c r="E286" i="25"/>
  <c r="E134" i="25"/>
  <c r="M134" i="49"/>
  <c r="C133" i="11"/>
  <c r="M309" i="49"/>
  <c r="C308" i="11"/>
  <c r="E309" i="25"/>
  <c r="M208" i="49"/>
  <c r="C207" i="11"/>
  <c r="E208" i="25"/>
  <c r="M202" i="49"/>
  <c r="E202" i="25"/>
  <c r="C201" i="11"/>
  <c r="C18" i="11"/>
  <c r="E19" i="25"/>
  <c r="M19" i="49"/>
  <c r="M291" i="49"/>
  <c r="E291" i="25"/>
  <c r="C290" i="11"/>
  <c r="E258" i="25"/>
  <c r="M258" i="49"/>
  <c r="C257" i="11"/>
  <c r="E11" i="25"/>
  <c r="C10" i="11"/>
  <c r="M11" i="49"/>
  <c r="M20" i="49"/>
  <c r="E20" i="25"/>
  <c r="C19" i="11"/>
  <c r="E46" i="25"/>
  <c r="M46" i="49"/>
  <c r="C45" i="11"/>
  <c r="E72" i="25"/>
  <c r="M72" i="49"/>
  <c r="C71" i="11"/>
  <c r="E31" i="25"/>
  <c r="M31" i="49"/>
  <c r="C30" i="11"/>
  <c r="E22" i="25"/>
  <c r="M22" i="49"/>
  <c r="C21" i="11"/>
  <c r="E245" i="25"/>
  <c r="M245" i="49"/>
  <c r="C244" i="11"/>
  <c r="M307" i="49"/>
  <c r="E307" i="25"/>
  <c r="C306" i="11"/>
  <c r="M13" i="49"/>
  <c r="C12" i="11"/>
  <c r="E13" i="25"/>
  <c r="M296" i="49"/>
  <c r="E296" i="25"/>
  <c r="C295" i="11"/>
  <c r="E304" i="25"/>
  <c r="M304" i="49"/>
  <c r="C303" i="11"/>
  <c r="C102" i="11"/>
  <c r="E103" i="25"/>
  <c r="M103" i="49"/>
  <c r="E156" i="25"/>
  <c r="C155" i="11"/>
  <c r="M156" i="49"/>
  <c r="M207" i="49"/>
  <c r="E207" i="25"/>
  <c r="C206" i="11"/>
  <c r="M16" i="49"/>
  <c r="E16" i="25"/>
  <c r="C15" i="11"/>
  <c r="E150" i="25"/>
  <c r="M150" i="49"/>
  <c r="C149" i="11"/>
  <c r="E278" i="25"/>
  <c r="M278" i="49"/>
  <c r="C277" i="11"/>
  <c r="E60" i="25"/>
  <c r="M60" i="49"/>
  <c r="C59" i="11"/>
  <c r="M151" i="49"/>
  <c r="E151" i="25"/>
  <c r="C150" i="11"/>
  <c r="C181" i="11"/>
  <c r="E182" i="25"/>
  <c r="M182" i="49"/>
  <c r="E260" i="25"/>
  <c r="C259" i="11"/>
  <c r="M260" i="49"/>
  <c r="M256" i="49"/>
  <c r="C255" i="11"/>
  <c r="E256" i="25"/>
  <c r="C186" i="11"/>
  <c r="M187" i="49"/>
  <c r="E187" i="25"/>
  <c r="E242" i="25"/>
  <c r="M242" i="49"/>
  <c r="C241" i="11"/>
  <c r="E313" i="25"/>
  <c r="M313" i="49"/>
  <c r="C312" i="11"/>
  <c r="E161" i="25"/>
  <c r="M161" i="49"/>
  <c r="C160" i="11"/>
  <c r="E165" i="25"/>
  <c r="M165" i="49"/>
  <c r="C164" i="11"/>
  <c r="C148" i="11"/>
  <c r="E149" i="25"/>
  <c r="M149" i="49"/>
  <c r="M221" i="49"/>
  <c r="C220" i="11"/>
  <c r="E221" i="25"/>
  <c r="E301" i="25"/>
  <c r="C300" i="11"/>
  <c r="M301" i="49"/>
  <c r="E177" i="25"/>
  <c r="M177" i="49"/>
  <c r="C176" i="11"/>
  <c r="C172" i="11"/>
  <c r="E173" i="25"/>
  <c r="M173" i="49"/>
  <c r="E237" i="25"/>
  <c r="M237" i="49"/>
  <c r="C236" i="11"/>
  <c r="C212" i="11"/>
  <c r="E213" i="25"/>
  <c r="M213" i="49"/>
  <c r="E197" i="25"/>
  <c r="M197" i="49"/>
  <c r="C196" i="11"/>
  <c r="E61" i="25"/>
  <c r="M61" i="49"/>
  <c r="C60" i="11"/>
  <c r="E261" i="25"/>
  <c r="M261" i="49"/>
  <c r="C260" i="11"/>
  <c r="E133" i="25"/>
  <c r="M133" i="49"/>
  <c r="C132" i="11"/>
  <c r="E86" i="25"/>
  <c r="M86" i="49"/>
  <c r="C85" i="11"/>
  <c r="C243" i="11"/>
  <c r="M244" i="49"/>
  <c r="E244" i="25"/>
  <c r="M120" i="49"/>
  <c r="C119" i="11"/>
  <c r="E120" i="25"/>
  <c r="C239" i="11"/>
  <c r="E240" i="25"/>
  <c r="M240" i="49"/>
  <c r="E294" i="25"/>
  <c r="M294" i="49"/>
  <c r="C293" i="11"/>
  <c r="E109" i="25"/>
  <c r="M109" i="49"/>
  <c r="C108" i="11"/>
  <c r="E250" i="25"/>
  <c r="M250" i="49"/>
  <c r="C249" i="11"/>
  <c r="E70" i="25"/>
  <c r="M70" i="49"/>
  <c r="C69" i="11"/>
  <c r="E252" i="25"/>
  <c r="C251" i="11"/>
  <c r="M252" i="49"/>
  <c r="E14" i="25"/>
  <c r="C13" i="11"/>
  <c r="M14" i="49"/>
  <c r="C291" i="11"/>
  <c r="M292" i="49"/>
  <c r="E292" i="25"/>
  <c r="E117" i="25"/>
  <c r="M117" i="49"/>
  <c r="C116" i="11"/>
  <c r="E283" i="25"/>
  <c r="C282" i="11"/>
  <c r="M283" i="49"/>
  <c r="M75" i="49"/>
  <c r="E75" i="25"/>
  <c r="C74" i="11"/>
  <c r="E30" i="25"/>
  <c r="M30" i="49"/>
  <c r="C29" i="11"/>
  <c r="E160" i="25"/>
  <c r="M160" i="49"/>
  <c r="C159" i="11"/>
  <c r="M179" i="49"/>
  <c r="E179" i="25"/>
  <c r="C178" i="11"/>
  <c r="M306" i="49"/>
  <c r="E306" i="25"/>
  <c r="C305" i="11"/>
  <c r="C165" i="11"/>
  <c r="E166" i="25"/>
  <c r="M166" i="49"/>
  <c r="C197" i="11"/>
  <c r="E198" i="25"/>
  <c r="M198" i="49"/>
  <c r="C70" i="11"/>
  <c r="M71" i="49"/>
  <c r="E71" i="25"/>
  <c r="E271" i="25"/>
  <c r="C270" i="11"/>
  <c r="M271" i="49"/>
  <c r="M83" i="49"/>
  <c r="E83" i="25"/>
  <c r="C82" i="11"/>
  <c r="E45" i="25"/>
  <c r="M45" i="49"/>
  <c r="C44" i="11"/>
  <c r="C154" i="11"/>
  <c r="M155" i="49"/>
  <c r="E155" i="25"/>
  <c r="E94" i="25"/>
  <c r="M94" i="49"/>
  <c r="C93" i="11"/>
  <c r="E290" i="25"/>
  <c r="M290" i="49"/>
  <c r="C289" i="11"/>
  <c r="C63" i="11"/>
  <c r="E64" i="25"/>
  <c r="M64" i="49"/>
  <c r="E41" i="25"/>
  <c r="M41" i="49"/>
  <c r="C40" i="11"/>
  <c r="M254" i="49"/>
  <c r="C253" i="11"/>
  <c r="E254" i="25"/>
  <c r="M10" i="49"/>
  <c r="E10" i="25"/>
  <c r="C9" i="11"/>
  <c r="C173" i="11"/>
  <c r="E174" i="25"/>
  <c r="M174" i="49"/>
  <c r="M167" i="49"/>
  <c r="C166" i="11"/>
  <c r="E167" i="25"/>
  <c r="E281" i="25"/>
  <c r="M281" i="49"/>
  <c r="C280" i="11"/>
  <c r="E67" i="25"/>
  <c r="C66" i="11"/>
  <c r="M67" i="49"/>
  <c r="M170" i="49"/>
  <c r="E170" i="25"/>
  <c r="C169" i="11"/>
  <c r="M279" i="49"/>
  <c r="C278" i="11"/>
  <c r="E279" i="25"/>
  <c r="M119" i="49"/>
  <c r="E119" i="25"/>
  <c r="C118" i="11"/>
  <c r="E148" i="25"/>
  <c r="C147" i="11"/>
  <c r="M148" i="49"/>
  <c r="E299" i="25"/>
  <c r="M299" i="49"/>
  <c r="C298" i="11"/>
  <c r="M123" i="49"/>
  <c r="E123" i="25"/>
  <c r="C122" i="11"/>
  <c r="E248" i="25"/>
  <c r="M248" i="49"/>
  <c r="C247" i="11"/>
  <c r="E51" i="25"/>
  <c r="C50" i="11"/>
  <c r="M51" i="49"/>
  <c r="E88" i="25"/>
  <c r="M88" i="49"/>
  <c r="C87" i="11"/>
  <c r="E190" i="25"/>
  <c r="M190" i="49"/>
  <c r="C189" i="11"/>
  <c r="E37" i="25"/>
  <c r="M37" i="49"/>
  <c r="C36" i="11"/>
  <c r="M227" i="49"/>
  <c r="E227" i="25"/>
  <c r="C226" i="11"/>
  <c r="C94" i="11"/>
  <c r="E95" i="25"/>
  <c r="M95" i="49"/>
  <c r="M218" i="49"/>
  <c r="E218" i="25"/>
  <c r="C217" i="11"/>
  <c r="E98" i="25"/>
  <c r="M98" i="49"/>
  <c r="C97" i="11"/>
  <c r="E196" i="25"/>
  <c r="C195" i="11"/>
  <c r="M196" i="49"/>
  <c r="M200" i="49"/>
  <c r="C199" i="11"/>
  <c r="E200" i="25"/>
  <c r="M211" i="49"/>
  <c r="E211" i="25"/>
  <c r="C210" i="11"/>
  <c r="C144" i="11"/>
  <c r="E145" i="25"/>
  <c r="M145" i="49"/>
  <c r="E118" i="25"/>
  <c r="M118" i="49"/>
  <c r="C117" i="11"/>
  <c r="C297" i="11"/>
  <c r="E298" i="25"/>
  <c r="M298" i="49"/>
  <c r="M111" i="49"/>
  <c r="E111" i="25"/>
  <c r="C110" i="11"/>
  <c r="C198" i="11"/>
  <c r="E199" i="25"/>
  <c r="M199" i="49"/>
  <c r="E212" i="25"/>
  <c r="C211" i="11"/>
  <c r="M212" i="49"/>
  <c r="M226" i="49"/>
  <c r="C225" i="11"/>
  <c r="E226" i="25"/>
  <c r="C115" i="11"/>
  <c r="M116" i="49"/>
  <c r="E116" i="25"/>
  <c r="M312" i="49"/>
  <c r="C311" i="11"/>
  <c r="E312" i="25"/>
  <c r="E96" i="25"/>
  <c r="M96" i="49"/>
  <c r="C95" i="11"/>
  <c r="M203" i="49"/>
  <c r="E203" i="25"/>
  <c r="C202" i="11"/>
  <c r="E234" i="25"/>
  <c r="M234" i="49"/>
  <c r="C233" i="11"/>
  <c r="E267" i="25"/>
  <c r="M267" i="49"/>
  <c r="C266" i="11"/>
  <c r="C310" i="11"/>
  <c r="M311" i="49"/>
  <c r="E311" i="25"/>
  <c r="E142" i="25"/>
  <c r="M142" i="49"/>
  <c r="C141" i="11"/>
  <c r="M277" i="49"/>
  <c r="E277" i="25"/>
  <c r="C276" i="11"/>
  <c r="E9" i="25"/>
  <c r="M9" i="49"/>
  <c r="C8" i="11"/>
  <c r="M131" i="49"/>
  <c r="E131" i="25"/>
  <c r="C130" i="11"/>
  <c r="M251" i="49"/>
  <c r="E251" i="25"/>
  <c r="C250" i="11"/>
  <c r="M54" i="49"/>
  <c r="C53" i="11"/>
  <c r="E54" i="25"/>
  <c r="E193" i="25"/>
  <c r="M193" i="49"/>
  <c r="C192" i="11"/>
  <c r="C126" i="11"/>
  <c r="E127" i="25"/>
  <c r="M127" i="49"/>
  <c r="E17" i="25"/>
  <c r="M17" i="49"/>
  <c r="C16" i="11"/>
  <c r="M25" i="49"/>
  <c r="C24" i="11"/>
  <c r="E25" i="25"/>
  <c r="C49" i="11"/>
  <c r="E50" i="25"/>
  <c r="M50" i="49"/>
  <c r="C11" i="11"/>
  <c r="M12" i="49"/>
  <c r="E12" i="25"/>
  <c r="E295" i="25"/>
  <c r="C294" i="11"/>
  <c r="M295" i="49"/>
  <c r="E228" i="25"/>
  <c r="C227" i="11"/>
  <c r="M228" i="49"/>
  <c r="E188" i="25"/>
  <c r="C187" i="11"/>
  <c r="M188" i="49"/>
  <c r="E8" i="25"/>
  <c r="M8" i="49"/>
  <c r="C7" i="11"/>
  <c r="E205" i="25"/>
  <c r="M205" i="49"/>
  <c r="C204" i="11"/>
  <c r="M85" i="49"/>
  <c r="C84" i="11"/>
  <c r="E85" i="25"/>
  <c r="C43" i="11"/>
  <c r="E44" i="25"/>
  <c r="M44" i="49"/>
  <c r="M39" i="49"/>
  <c r="C38" i="11"/>
  <c r="E39" i="25"/>
  <c r="E113" i="25"/>
  <c r="M113" i="49"/>
  <c r="C112" i="11"/>
  <c r="C235" i="11"/>
  <c r="M236" i="49"/>
  <c r="E236" i="25"/>
  <c r="C268" i="11"/>
  <c r="E269" i="25"/>
  <c r="M269" i="49"/>
  <c r="M219" i="49"/>
  <c r="E219" i="25"/>
  <c r="C218" i="11"/>
  <c r="C81" i="11"/>
  <c r="E82" i="25"/>
  <c r="M82" i="49"/>
  <c r="C224" i="11"/>
  <c r="E225" i="25"/>
  <c r="M225" i="49"/>
  <c r="E26" i="25"/>
  <c r="M26" i="49"/>
  <c r="C25" i="11"/>
  <c r="E136" i="25"/>
  <c r="M136" i="49"/>
  <c r="C135" i="11"/>
  <c r="E282" i="25"/>
  <c r="M282" i="49"/>
  <c r="C281" i="11"/>
  <c r="C145" i="11"/>
  <c r="E146" i="25"/>
  <c r="M146" i="49"/>
  <c r="E192" i="25"/>
  <c r="C191" i="11"/>
  <c r="M192" i="49"/>
  <c r="C215" i="11"/>
  <c r="E216" i="25"/>
  <c r="M216" i="49"/>
  <c r="M268" i="49"/>
  <c r="E268" i="25"/>
  <c r="C267" i="11"/>
  <c r="M74" i="49"/>
  <c r="E74" i="25"/>
  <c r="C73" i="11"/>
  <c r="E49" i="25"/>
  <c r="C48" i="11"/>
  <c r="M49" i="49"/>
  <c r="M223" i="49"/>
  <c r="C222" i="11"/>
  <c r="E223" i="25"/>
  <c r="M230" i="49"/>
  <c r="E230" i="25"/>
  <c r="C229" i="11"/>
  <c r="M93" i="49"/>
  <c r="E93" i="25"/>
  <c r="C92" i="11"/>
  <c r="E48" i="25"/>
  <c r="M48" i="49"/>
  <c r="C47" i="11"/>
  <c r="M139" i="49"/>
  <c r="E139" i="25"/>
  <c r="C138" i="11"/>
  <c r="C304" i="11"/>
  <c r="M305" i="49"/>
  <c r="E305" i="25"/>
  <c r="C123" i="11"/>
  <c r="M124" i="49"/>
  <c r="E124" i="25"/>
  <c r="M159" i="49"/>
  <c r="C158" i="11"/>
  <c r="E159" i="25"/>
  <c r="E92" i="25"/>
  <c r="C91" i="11"/>
  <c r="M92" i="49"/>
  <c r="C254" i="11"/>
  <c r="E255" i="25"/>
  <c r="M255" i="49"/>
  <c r="E231" i="25"/>
  <c r="M231" i="49"/>
  <c r="C230" i="11"/>
  <c r="E162" i="25"/>
  <c r="M162" i="49"/>
  <c r="C161" i="11"/>
  <c r="M246" i="49"/>
  <c r="C245" i="11"/>
  <c r="E246" i="25"/>
  <c r="E265" i="25"/>
  <c r="M265" i="49"/>
  <c r="C264" i="11"/>
  <c r="C41" i="11"/>
  <c r="M42" i="49"/>
  <c r="E42" i="25"/>
  <c r="E52" i="25"/>
  <c r="M52" i="49"/>
  <c r="C51" i="11"/>
  <c r="M106" i="49"/>
  <c r="E106" i="25"/>
  <c r="C105" i="11"/>
  <c r="E108" i="25"/>
  <c r="C107" i="11"/>
  <c r="M108" i="49"/>
  <c r="M273" i="49"/>
  <c r="E273" i="25"/>
  <c r="C272" i="11"/>
  <c r="M263" i="49"/>
  <c r="C262" i="11"/>
  <c r="E263" i="25"/>
  <c r="E78" i="25"/>
  <c r="M78" i="49"/>
  <c r="C77" i="11"/>
  <c r="C171" i="11"/>
  <c r="M172" i="49"/>
  <c r="E172" i="25"/>
  <c r="E143" i="25"/>
  <c r="C142" i="11"/>
  <c r="M143" i="49"/>
  <c r="E144" i="25"/>
  <c r="M144" i="49"/>
  <c r="C143" i="11"/>
  <c r="C302" i="11"/>
  <c r="E303" i="25"/>
  <c r="M303" i="49"/>
  <c r="E100" i="25"/>
  <c r="C99" i="11"/>
  <c r="M100" i="49"/>
  <c r="E38" i="25"/>
  <c r="M38" i="49"/>
  <c r="C37" i="11"/>
  <c r="C65" i="11"/>
  <c r="E66" i="25"/>
  <c r="M66" i="49"/>
  <c r="E164" i="25"/>
  <c r="C163" i="11"/>
  <c r="M164" i="49"/>
  <c r="E214" i="25"/>
  <c r="M214" i="49"/>
  <c r="C213" i="11"/>
  <c r="E184" i="25"/>
  <c r="M184" i="49"/>
  <c r="C183" i="11"/>
  <c r="E206" i="25"/>
  <c r="M206" i="49"/>
  <c r="C205" i="11"/>
  <c r="C265" i="11"/>
  <c r="M266" i="49"/>
  <c r="E266" i="25"/>
  <c r="E247" i="25"/>
  <c r="C246" i="11"/>
  <c r="M247" i="49"/>
  <c r="M175" i="49"/>
  <c r="E175" i="25"/>
  <c r="C174" i="11"/>
  <c r="C284" i="11"/>
  <c r="M285" i="49"/>
  <c r="E285" i="25"/>
  <c r="M194" i="49"/>
  <c r="C193" i="11"/>
  <c r="E194" i="25"/>
  <c r="E262" i="25"/>
  <c r="M262" i="49"/>
  <c r="C261" i="11"/>
  <c r="E23" i="25"/>
  <c r="M23" i="49"/>
  <c r="C22" i="11"/>
  <c r="M79" i="49"/>
  <c r="E79" i="25"/>
  <c r="C78" i="11"/>
  <c r="E152" i="25"/>
  <c r="M152" i="49"/>
  <c r="C151" i="11"/>
  <c r="M47" i="49"/>
  <c r="E47" i="25"/>
  <c r="C46" i="11"/>
  <c r="M77" i="49"/>
  <c r="C76" i="11"/>
  <c r="E77" i="25"/>
  <c r="E308" i="25"/>
  <c r="C307" i="11"/>
  <c r="M308" i="49"/>
  <c r="C131" i="11"/>
  <c r="M132" i="49"/>
  <c r="E132" i="25"/>
  <c r="E53" i="25"/>
  <c r="C52" i="11"/>
  <c r="M53" i="49"/>
  <c r="E102" i="25"/>
  <c r="M102" i="49"/>
  <c r="C101" i="11"/>
  <c r="E104" i="25"/>
  <c r="M104" i="49"/>
  <c r="C103" i="11"/>
  <c r="E154" i="25"/>
  <c r="C153" i="11"/>
  <c r="M154" i="49"/>
  <c r="E138" i="25"/>
  <c r="C137" i="11"/>
  <c r="M138" i="49"/>
  <c r="C6" i="11"/>
  <c r="E7" i="25"/>
  <c r="M7" i="49"/>
  <c r="M287" i="49"/>
  <c r="C286" i="11"/>
  <c r="E287" i="25"/>
  <c r="C219" i="11"/>
  <c r="M220" i="49"/>
  <c r="E220" i="25"/>
  <c r="M89" i="49"/>
  <c r="C88" i="11"/>
  <c r="E89" i="25"/>
  <c r="C188" i="11"/>
  <c r="E189" i="25"/>
  <c r="M189" i="49"/>
  <c r="C68" i="11"/>
  <c r="E69" i="25"/>
  <c r="M69" i="49"/>
  <c r="M81" i="49"/>
  <c r="C80" i="11"/>
  <c r="E81" i="25"/>
  <c r="C184" i="11"/>
  <c r="E185" i="25"/>
  <c r="M185" i="49"/>
  <c r="C200" i="11"/>
  <c r="E201" i="25"/>
  <c r="M201" i="49"/>
  <c r="E65" i="25"/>
  <c r="M65" i="49"/>
  <c r="C64" i="11"/>
  <c r="E73" i="25"/>
  <c r="M73" i="49"/>
  <c r="C72" i="11"/>
  <c r="C228" i="11"/>
  <c r="E229" i="25"/>
  <c r="M229" i="49"/>
  <c r="E57" i="25"/>
  <c r="M57" i="49"/>
  <c r="C56" i="11"/>
  <c r="E157" i="25"/>
  <c r="M157" i="49"/>
  <c r="C156" i="11"/>
  <c r="M18" i="49"/>
  <c r="E18" i="25"/>
  <c r="C17" i="11"/>
  <c r="M137" i="49"/>
  <c r="C136" i="11"/>
  <c r="E137" i="25"/>
  <c r="E181" i="25"/>
  <c r="M181" i="49"/>
  <c r="C180" i="11"/>
  <c r="E288" i="25"/>
  <c r="M288" i="49"/>
  <c r="C287" i="11"/>
  <c r="J243" i="13"/>
  <c r="G243" i="49"/>
  <c r="J169" i="13"/>
  <c r="G169" i="49"/>
  <c r="M4" i="11"/>
  <c r="I4" i="11"/>
  <c r="H267" i="11" l="1"/>
  <c r="I267" i="11" s="1"/>
  <c r="L267" i="11"/>
  <c r="M267" i="11" s="1"/>
  <c r="H310" i="11"/>
  <c r="I310" i="11" s="1"/>
  <c r="L310" i="11"/>
  <c r="M310" i="11" s="1"/>
  <c r="L110" i="11"/>
  <c r="M110" i="11" s="1"/>
  <c r="H110" i="11"/>
  <c r="I110" i="11" s="1"/>
  <c r="M243" i="49"/>
  <c r="E243" i="25"/>
  <c r="C242" i="11"/>
  <c r="L239" i="11"/>
  <c r="M239" i="11" s="1"/>
  <c r="H239" i="11"/>
  <c r="I239" i="11" s="1"/>
  <c r="L220" i="11"/>
  <c r="M220" i="11" s="1"/>
  <c r="H220" i="11"/>
  <c r="I220" i="11" s="1"/>
  <c r="L219" i="11"/>
  <c r="M219" i="11" s="1"/>
  <c r="H219" i="11"/>
  <c r="I219" i="11" s="1"/>
  <c r="L131" i="11"/>
  <c r="M131" i="11" s="1"/>
  <c r="H131" i="11"/>
  <c r="I131" i="11" s="1"/>
  <c r="L261" i="11"/>
  <c r="M261" i="11" s="1"/>
  <c r="H261" i="11"/>
  <c r="I261" i="11" s="1"/>
  <c r="H213" i="11"/>
  <c r="I213" i="11" s="1"/>
  <c r="L213" i="11"/>
  <c r="M213" i="11" s="1"/>
  <c r="L230" i="11"/>
  <c r="M230" i="11" s="1"/>
  <c r="H230" i="11"/>
  <c r="I230" i="11" s="1"/>
  <c r="H158" i="11"/>
  <c r="I158" i="11" s="1"/>
  <c r="L158" i="11"/>
  <c r="M158" i="11" s="1"/>
  <c r="L204" i="11"/>
  <c r="M204" i="11" s="1"/>
  <c r="H204" i="11"/>
  <c r="I204" i="11" s="1"/>
  <c r="H227" i="11"/>
  <c r="I227" i="11" s="1"/>
  <c r="L227" i="11"/>
  <c r="M227" i="11" s="1"/>
  <c r="L130" i="11"/>
  <c r="M130" i="11" s="1"/>
  <c r="H130" i="11"/>
  <c r="I130" i="11" s="1"/>
  <c r="L311" i="11"/>
  <c r="M311" i="11" s="1"/>
  <c r="H311" i="11"/>
  <c r="I311" i="11" s="1"/>
  <c r="H122" i="11"/>
  <c r="I122" i="11" s="1"/>
  <c r="L122" i="11"/>
  <c r="M122" i="11" s="1"/>
  <c r="L293" i="11"/>
  <c r="M293" i="11" s="1"/>
  <c r="H293" i="11"/>
  <c r="I293" i="11" s="1"/>
  <c r="H132" i="11"/>
  <c r="I132" i="11" s="1"/>
  <c r="L132" i="11"/>
  <c r="M132" i="11" s="1"/>
  <c r="L196" i="11"/>
  <c r="M196" i="11" s="1"/>
  <c r="H196" i="11"/>
  <c r="I196" i="11" s="1"/>
  <c r="L300" i="11"/>
  <c r="M300" i="11" s="1"/>
  <c r="H300" i="11"/>
  <c r="I300" i="11" s="1"/>
  <c r="H277" i="11"/>
  <c r="I277" i="11" s="1"/>
  <c r="L277" i="11"/>
  <c r="M277" i="11" s="1"/>
  <c r="L303" i="11"/>
  <c r="M303" i="11" s="1"/>
  <c r="H303" i="11"/>
  <c r="I303" i="11" s="1"/>
  <c r="L113" i="11"/>
  <c r="M113" i="11" s="1"/>
  <c r="H113" i="11"/>
  <c r="I113" i="11" s="1"/>
  <c r="L273" i="11"/>
  <c r="M273" i="11" s="1"/>
  <c r="H273" i="11"/>
  <c r="I273" i="11" s="1"/>
  <c r="L190" i="11"/>
  <c r="M190" i="11" s="1"/>
  <c r="H190" i="11"/>
  <c r="I190" i="11" s="1"/>
  <c r="L121" i="11"/>
  <c r="M121" i="11" s="1"/>
  <c r="H121" i="11"/>
  <c r="I121" i="11" s="1"/>
  <c r="L216" i="11"/>
  <c r="M216" i="11" s="1"/>
  <c r="H216" i="11"/>
  <c r="I216" i="11" s="1"/>
  <c r="L269" i="11"/>
  <c r="M269" i="11" s="1"/>
  <c r="H269" i="11"/>
  <c r="I269" i="11" s="1"/>
  <c r="L179" i="11"/>
  <c r="M179" i="11" s="1"/>
  <c r="H179" i="11"/>
  <c r="I179" i="11" s="1"/>
  <c r="L163" i="11"/>
  <c r="M163" i="11" s="1"/>
  <c r="H163" i="11"/>
  <c r="I163" i="11" s="1"/>
  <c r="L264" i="11"/>
  <c r="M264" i="11" s="1"/>
  <c r="H264" i="11"/>
  <c r="I264" i="11" s="1"/>
  <c r="L297" i="11"/>
  <c r="M297" i="11" s="1"/>
  <c r="H297" i="11"/>
  <c r="I297" i="11" s="1"/>
  <c r="L150" i="11"/>
  <c r="M150" i="11" s="1"/>
  <c r="H150" i="11"/>
  <c r="I150" i="11" s="1"/>
  <c r="L308" i="11"/>
  <c r="M308" i="11" s="1"/>
  <c r="H308" i="11"/>
  <c r="I308" i="11" s="1"/>
  <c r="L175" i="11"/>
  <c r="M175" i="11" s="1"/>
  <c r="H175" i="11"/>
  <c r="I175" i="11" s="1"/>
  <c r="L134" i="11"/>
  <c r="M134" i="11" s="1"/>
  <c r="H134" i="11"/>
  <c r="I134" i="11" s="1"/>
  <c r="L129" i="11"/>
  <c r="M129" i="11" s="1"/>
  <c r="H129" i="11"/>
  <c r="I129" i="11" s="1"/>
  <c r="H228" i="11"/>
  <c r="I228" i="11" s="1"/>
  <c r="L228" i="11"/>
  <c r="M228" i="11" s="1"/>
  <c r="H76" i="11"/>
  <c r="I76" i="11" s="1"/>
  <c r="L76" i="11"/>
  <c r="M76" i="11" s="1"/>
  <c r="H151" i="11"/>
  <c r="I151" i="11" s="1"/>
  <c r="L151" i="11"/>
  <c r="M151" i="11" s="1"/>
  <c r="L105" i="11"/>
  <c r="M105" i="11" s="1"/>
  <c r="H105" i="11"/>
  <c r="I105" i="11" s="1"/>
  <c r="L161" i="11"/>
  <c r="M161" i="11" s="1"/>
  <c r="H161" i="11"/>
  <c r="I161" i="11" s="1"/>
  <c r="L135" i="11"/>
  <c r="M135" i="11" s="1"/>
  <c r="H135" i="11"/>
  <c r="I135" i="11" s="1"/>
  <c r="L95" i="11"/>
  <c r="M95" i="11" s="1"/>
  <c r="H95" i="11"/>
  <c r="I95" i="11" s="1"/>
  <c r="H117" i="11"/>
  <c r="I117" i="11" s="1"/>
  <c r="L117" i="11"/>
  <c r="M117" i="11" s="1"/>
  <c r="H144" i="11"/>
  <c r="I144" i="11" s="1"/>
  <c r="L144" i="11"/>
  <c r="M144" i="11" s="1"/>
  <c r="L199" i="11"/>
  <c r="M199" i="11" s="1"/>
  <c r="H199" i="11"/>
  <c r="I199" i="11" s="1"/>
  <c r="L97" i="11"/>
  <c r="M97" i="11" s="1"/>
  <c r="H97" i="11"/>
  <c r="I97" i="11" s="1"/>
  <c r="L87" i="11"/>
  <c r="M87" i="11" s="1"/>
  <c r="H87" i="11"/>
  <c r="I87" i="11" s="1"/>
  <c r="L169" i="11"/>
  <c r="M169" i="11" s="1"/>
  <c r="H169" i="11"/>
  <c r="I169" i="11" s="1"/>
  <c r="L159" i="11"/>
  <c r="M159" i="11" s="1"/>
  <c r="H159" i="11"/>
  <c r="I159" i="11" s="1"/>
  <c r="H282" i="11"/>
  <c r="I282" i="11" s="1"/>
  <c r="L282" i="11"/>
  <c r="M282" i="11" s="1"/>
  <c r="L108" i="11"/>
  <c r="M108" i="11" s="1"/>
  <c r="H108" i="11"/>
  <c r="I108" i="11" s="1"/>
  <c r="L243" i="11"/>
  <c r="M243" i="11" s="1"/>
  <c r="H243" i="11"/>
  <c r="I243" i="11" s="1"/>
  <c r="H236" i="11"/>
  <c r="I236" i="11" s="1"/>
  <c r="L236" i="11"/>
  <c r="M236" i="11" s="1"/>
  <c r="H172" i="11"/>
  <c r="I172" i="11" s="1"/>
  <c r="L172" i="11"/>
  <c r="M172" i="11" s="1"/>
  <c r="H234" i="11"/>
  <c r="I234" i="11" s="1"/>
  <c r="L234" i="11"/>
  <c r="M234" i="11" s="1"/>
  <c r="H182" i="11"/>
  <c r="I182" i="11" s="1"/>
  <c r="L182" i="11"/>
  <c r="M182" i="11" s="1"/>
  <c r="L275" i="11"/>
  <c r="M275" i="11" s="1"/>
  <c r="H275" i="11"/>
  <c r="I275" i="11" s="1"/>
  <c r="L79" i="11"/>
  <c r="M79" i="11" s="1"/>
  <c r="H79" i="11"/>
  <c r="I79" i="11" s="1"/>
  <c r="H146" i="11"/>
  <c r="I146" i="11" s="1"/>
  <c r="L146" i="11"/>
  <c r="M146" i="11" s="1"/>
  <c r="L283" i="11"/>
  <c r="M283" i="11" s="1"/>
  <c r="H283" i="11"/>
  <c r="I283" i="11" s="1"/>
  <c r="H214" i="11"/>
  <c r="I214" i="11" s="1"/>
  <c r="L214" i="11"/>
  <c r="M214" i="11" s="1"/>
  <c r="L141" i="11"/>
  <c r="M141" i="11" s="1"/>
  <c r="H141" i="11"/>
  <c r="I141" i="11" s="1"/>
  <c r="L288" i="11"/>
  <c r="M288" i="11" s="1"/>
  <c r="H288" i="11"/>
  <c r="I288" i="11" s="1"/>
  <c r="L299" i="11"/>
  <c r="M299" i="11" s="1"/>
  <c r="H299" i="11"/>
  <c r="I299" i="11" s="1"/>
  <c r="L200" i="11"/>
  <c r="M200" i="11" s="1"/>
  <c r="H200" i="11"/>
  <c r="I200" i="11" s="1"/>
  <c r="H88" i="11"/>
  <c r="I88" i="11" s="1"/>
  <c r="L88" i="11"/>
  <c r="M88" i="11" s="1"/>
  <c r="L153" i="11"/>
  <c r="M153" i="11" s="1"/>
  <c r="H153" i="11"/>
  <c r="I153" i="11" s="1"/>
  <c r="L101" i="11"/>
  <c r="M101" i="11" s="1"/>
  <c r="H101" i="11"/>
  <c r="I101" i="11" s="1"/>
  <c r="L91" i="11"/>
  <c r="M91" i="11" s="1"/>
  <c r="H91" i="11"/>
  <c r="I91" i="11" s="1"/>
  <c r="L222" i="11"/>
  <c r="M222" i="11" s="1"/>
  <c r="H222" i="11"/>
  <c r="I222" i="11" s="1"/>
  <c r="L145" i="11"/>
  <c r="M145" i="11" s="1"/>
  <c r="H145" i="11"/>
  <c r="I145" i="11" s="1"/>
  <c r="L81" i="11"/>
  <c r="M81" i="11" s="1"/>
  <c r="H81" i="11"/>
  <c r="I81" i="11" s="1"/>
  <c r="L235" i="11"/>
  <c r="M235" i="11" s="1"/>
  <c r="H235" i="11"/>
  <c r="I235" i="11" s="1"/>
  <c r="L192" i="11"/>
  <c r="M192" i="11" s="1"/>
  <c r="H192" i="11"/>
  <c r="I192" i="11" s="1"/>
  <c r="L276" i="11"/>
  <c r="M276" i="11" s="1"/>
  <c r="H276" i="11"/>
  <c r="I276" i="11" s="1"/>
  <c r="L225" i="11"/>
  <c r="M225" i="11" s="1"/>
  <c r="H225" i="11"/>
  <c r="I225" i="11" s="1"/>
  <c r="L226" i="11"/>
  <c r="M226" i="11" s="1"/>
  <c r="H226" i="11"/>
  <c r="I226" i="11" s="1"/>
  <c r="L189" i="11"/>
  <c r="M189" i="11" s="1"/>
  <c r="H189" i="11"/>
  <c r="I189" i="11" s="1"/>
  <c r="L147" i="11"/>
  <c r="M147" i="11" s="1"/>
  <c r="H147" i="11"/>
  <c r="I147" i="11" s="1"/>
  <c r="L280" i="11"/>
  <c r="M280" i="11" s="1"/>
  <c r="H280" i="11"/>
  <c r="I280" i="11" s="1"/>
  <c r="H173" i="11"/>
  <c r="I173" i="11" s="1"/>
  <c r="L173" i="11"/>
  <c r="M173" i="11" s="1"/>
  <c r="H289" i="11"/>
  <c r="I289" i="11" s="1"/>
  <c r="L289" i="11"/>
  <c r="M289" i="11" s="1"/>
  <c r="L178" i="11"/>
  <c r="M178" i="11" s="1"/>
  <c r="H178" i="11"/>
  <c r="I178" i="11" s="1"/>
  <c r="L85" i="11"/>
  <c r="M85" i="11" s="1"/>
  <c r="H85" i="11"/>
  <c r="I85" i="11" s="1"/>
  <c r="L312" i="11"/>
  <c r="M312" i="11" s="1"/>
  <c r="H312" i="11"/>
  <c r="I312" i="11" s="1"/>
  <c r="L255" i="11"/>
  <c r="M255" i="11" s="1"/>
  <c r="H255" i="11"/>
  <c r="I255" i="11" s="1"/>
  <c r="L244" i="11"/>
  <c r="M244" i="11" s="1"/>
  <c r="H244" i="11"/>
  <c r="I244" i="11" s="1"/>
  <c r="L207" i="11"/>
  <c r="M207" i="11" s="1"/>
  <c r="H207" i="11"/>
  <c r="I207" i="11" s="1"/>
  <c r="L90" i="11"/>
  <c r="M90" i="11" s="1"/>
  <c r="H90" i="11"/>
  <c r="I90" i="11" s="1"/>
  <c r="L258" i="11"/>
  <c r="M258" i="11" s="1"/>
  <c r="H258" i="11"/>
  <c r="I258" i="11" s="1"/>
  <c r="L223" i="11"/>
  <c r="M223" i="11" s="1"/>
  <c r="H223" i="11"/>
  <c r="I223" i="11" s="1"/>
  <c r="H104" i="11"/>
  <c r="I104" i="11" s="1"/>
  <c r="L104" i="11"/>
  <c r="M104" i="11" s="1"/>
  <c r="L292" i="11"/>
  <c r="M292" i="11" s="1"/>
  <c r="H292" i="11"/>
  <c r="I292" i="11" s="1"/>
  <c r="H109" i="11"/>
  <c r="I109" i="11" s="1"/>
  <c r="L109" i="11"/>
  <c r="M109" i="11" s="1"/>
  <c r="L248" i="11"/>
  <c r="M248" i="11" s="1"/>
  <c r="H248" i="11"/>
  <c r="I248" i="11" s="1"/>
  <c r="L221" i="11"/>
  <c r="M221" i="11" s="1"/>
  <c r="H221" i="11"/>
  <c r="I221" i="11" s="1"/>
  <c r="L185" i="11"/>
  <c r="M185" i="11" s="1"/>
  <c r="H185" i="11"/>
  <c r="I185" i="11" s="1"/>
  <c r="L232" i="11"/>
  <c r="M232" i="11" s="1"/>
  <c r="H232" i="11"/>
  <c r="I232" i="11" s="1"/>
  <c r="L114" i="11"/>
  <c r="M114" i="11" s="1"/>
  <c r="H114" i="11"/>
  <c r="I114" i="11" s="1"/>
  <c r="H128" i="11"/>
  <c r="I128" i="11" s="1"/>
  <c r="L128" i="11"/>
  <c r="M128" i="11" s="1"/>
  <c r="L240" i="11"/>
  <c r="M240" i="11" s="1"/>
  <c r="H240" i="11"/>
  <c r="I240" i="11" s="1"/>
  <c r="L170" i="11"/>
  <c r="M170" i="11" s="1"/>
  <c r="H170" i="11"/>
  <c r="I170" i="11" s="1"/>
  <c r="L254" i="11"/>
  <c r="M254" i="11" s="1"/>
  <c r="H254" i="11"/>
  <c r="I254" i="11" s="1"/>
  <c r="H212" i="11"/>
  <c r="I212" i="11" s="1"/>
  <c r="L212" i="11"/>
  <c r="M212" i="11" s="1"/>
  <c r="L206" i="11"/>
  <c r="M206" i="11" s="1"/>
  <c r="H206" i="11"/>
  <c r="I206" i="11" s="1"/>
  <c r="L125" i="11"/>
  <c r="M125" i="11" s="1"/>
  <c r="H125" i="11"/>
  <c r="I125" i="11" s="1"/>
  <c r="L287" i="11"/>
  <c r="M287" i="11" s="1"/>
  <c r="H287" i="11"/>
  <c r="I287" i="11" s="1"/>
  <c r="L80" i="11"/>
  <c r="M80" i="11" s="1"/>
  <c r="H80" i="11"/>
  <c r="I80" i="11" s="1"/>
  <c r="L286" i="11"/>
  <c r="M286" i="11" s="1"/>
  <c r="H286" i="11"/>
  <c r="I286" i="11" s="1"/>
  <c r="L171" i="11"/>
  <c r="M171" i="11" s="1"/>
  <c r="H171" i="11"/>
  <c r="I171" i="11" s="1"/>
  <c r="L304" i="11"/>
  <c r="M304" i="11" s="1"/>
  <c r="H304" i="11"/>
  <c r="I304" i="11" s="1"/>
  <c r="H229" i="11"/>
  <c r="I229" i="11" s="1"/>
  <c r="L229" i="11"/>
  <c r="M229" i="11" s="1"/>
  <c r="L191" i="11"/>
  <c r="M191" i="11" s="1"/>
  <c r="H191" i="11"/>
  <c r="I191" i="11" s="1"/>
  <c r="H187" i="11"/>
  <c r="I187" i="11" s="1"/>
  <c r="L187" i="11"/>
  <c r="M187" i="11" s="1"/>
  <c r="L266" i="11"/>
  <c r="M266" i="11" s="1"/>
  <c r="H266" i="11"/>
  <c r="I266" i="11" s="1"/>
  <c r="L210" i="11"/>
  <c r="M210" i="11" s="1"/>
  <c r="H210" i="11"/>
  <c r="I210" i="11" s="1"/>
  <c r="H247" i="11"/>
  <c r="I247" i="11" s="1"/>
  <c r="L247" i="11"/>
  <c r="M247" i="11" s="1"/>
  <c r="L278" i="11"/>
  <c r="M278" i="11" s="1"/>
  <c r="H278" i="11"/>
  <c r="I278" i="11" s="1"/>
  <c r="L116" i="11"/>
  <c r="M116" i="11" s="1"/>
  <c r="H116" i="11"/>
  <c r="I116" i="11" s="1"/>
  <c r="H251" i="11"/>
  <c r="I251" i="11" s="1"/>
  <c r="L251" i="11"/>
  <c r="M251" i="11" s="1"/>
  <c r="L119" i="11"/>
  <c r="M119" i="11" s="1"/>
  <c r="H119" i="11"/>
  <c r="I119" i="11" s="1"/>
  <c r="H176" i="11"/>
  <c r="I176" i="11" s="1"/>
  <c r="L176" i="11"/>
  <c r="M176" i="11" s="1"/>
  <c r="H160" i="11"/>
  <c r="I160" i="11" s="1"/>
  <c r="L160" i="11"/>
  <c r="M160" i="11" s="1"/>
  <c r="L290" i="11"/>
  <c r="M290" i="11" s="1"/>
  <c r="H290" i="11"/>
  <c r="I290" i="11" s="1"/>
  <c r="H133" i="11"/>
  <c r="I133" i="11" s="1"/>
  <c r="L133" i="11"/>
  <c r="M133" i="11" s="1"/>
  <c r="H285" i="11"/>
  <c r="I285" i="11" s="1"/>
  <c r="L285" i="11"/>
  <c r="M285" i="11" s="1"/>
  <c r="L231" i="11"/>
  <c r="M231" i="11" s="1"/>
  <c r="H231" i="11"/>
  <c r="I231" i="11" s="1"/>
  <c r="H208" i="11"/>
  <c r="I208" i="11" s="1"/>
  <c r="L208" i="11"/>
  <c r="M208" i="11" s="1"/>
  <c r="L162" i="11"/>
  <c r="M162" i="11" s="1"/>
  <c r="H162" i="11"/>
  <c r="I162" i="11" s="1"/>
  <c r="H86" i="11"/>
  <c r="I86" i="11" s="1"/>
  <c r="L86" i="11"/>
  <c r="M86" i="11" s="1"/>
  <c r="L238" i="11"/>
  <c r="M238" i="11" s="1"/>
  <c r="H238" i="11"/>
  <c r="I238" i="11" s="1"/>
  <c r="H194" i="11"/>
  <c r="I194" i="11" s="1"/>
  <c r="L194" i="11"/>
  <c r="M194" i="11" s="1"/>
  <c r="L209" i="11"/>
  <c r="M209" i="11" s="1"/>
  <c r="H209" i="11"/>
  <c r="I209" i="11" s="1"/>
  <c r="L124" i="11"/>
  <c r="M124" i="11" s="1"/>
  <c r="H124" i="11"/>
  <c r="I124" i="11" s="1"/>
  <c r="L184" i="11"/>
  <c r="M184" i="11" s="1"/>
  <c r="H184" i="11"/>
  <c r="I184" i="11" s="1"/>
  <c r="L174" i="11"/>
  <c r="M174" i="11" s="1"/>
  <c r="H174" i="11"/>
  <c r="I174" i="11" s="1"/>
  <c r="H98" i="11"/>
  <c r="I98" i="11" s="1"/>
  <c r="L98" i="11"/>
  <c r="M98" i="11" s="1"/>
  <c r="L307" i="11"/>
  <c r="M307" i="11" s="1"/>
  <c r="H307" i="11"/>
  <c r="I307" i="11" s="1"/>
  <c r="H284" i="11"/>
  <c r="I284" i="11" s="1"/>
  <c r="L284" i="11"/>
  <c r="M284" i="11" s="1"/>
  <c r="L265" i="11"/>
  <c r="M265" i="11" s="1"/>
  <c r="H265" i="11"/>
  <c r="I265" i="11" s="1"/>
  <c r="L183" i="11"/>
  <c r="M183" i="11" s="1"/>
  <c r="H183" i="11"/>
  <c r="I183" i="11" s="1"/>
  <c r="L302" i="11"/>
  <c r="M302" i="11" s="1"/>
  <c r="H302" i="11"/>
  <c r="I302" i="11" s="1"/>
  <c r="L142" i="11"/>
  <c r="M142" i="11" s="1"/>
  <c r="H142" i="11"/>
  <c r="I142" i="11" s="1"/>
  <c r="L77" i="11"/>
  <c r="M77" i="11" s="1"/>
  <c r="H77" i="11"/>
  <c r="I77" i="11" s="1"/>
  <c r="L262" i="11"/>
  <c r="M262" i="11" s="1"/>
  <c r="H262" i="11"/>
  <c r="I262" i="11" s="1"/>
  <c r="L281" i="11"/>
  <c r="M281" i="11" s="1"/>
  <c r="H281" i="11"/>
  <c r="I281" i="11" s="1"/>
  <c r="L268" i="11"/>
  <c r="M268" i="11" s="1"/>
  <c r="H268" i="11"/>
  <c r="I268" i="11" s="1"/>
  <c r="L112" i="11"/>
  <c r="M112" i="11" s="1"/>
  <c r="H112" i="11"/>
  <c r="I112" i="11" s="1"/>
  <c r="L84" i="11"/>
  <c r="M84" i="11" s="1"/>
  <c r="H84" i="11"/>
  <c r="I84" i="11" s="1"/>
  <c r="L294" i="11"/>
  <c r="M294" i="11" s="1"/>
  <c r="H294" i="11"/>
  <c r="I294" i="11" s="1"/>
  <c r="L250" i="11"/>
  <c r="M250" i="11" s="1"/>
  <c r="H250" i="11"/>
  <c r="I250" i="11" s="1"/>
  <c r="H202" i="11"/>
  <c r="I202" i="11" s="1"/>
  <c r="L202" i="11"/>
  <c r="M202" i="11" s="1"/>
  <c r="L198" i="11"/>
  <c r="M198" i="11" s="1"/>
  <c r="H198" i="11"/>
  <c r="I198" i="11" s="1"/>
  <c r="L298" i="11"/>
  <c r="M298" i="11" s="1"/>
  <c r="H298" i="11"/>
  <c r="I298" i="11" s="1"/>
  <c r="L166" i="11"/>
  <c r="M166" i="11" s="1"/>
  <c r="H166" i="11"/>
  <c r="I166" i="11" s="1"/>
  <c r="H253" i="11"/>
  <c r="I253" i="11" s="1"/>
  <c r="L253" i="11"/>
  <c r="M253" i="11" s="1"/>
  <c r="H270" i="11"/>
  <c r="I270" i="11" s="1"/>
  <c r="L270" i="11"/>
  <c r="M270" i="11" s="1"/>
  <c r="L165" i="11"/>
  <c r="M165" i="11" s="1"/>
  <c r="H165" i="11"/>
  <c r="I165" i="11" s="1"/>
  <c r="H291" i="11"/>
  <c r="I291" i="11" s="1"/>
  <c r="L291" i="11"/>
  <c r="M291" i="11" s="1"/>
  <c r="L249" i="11"/>
  <c r="M249" i="11" s="1"/>
  <c r="H249" i="11"/>
  <c r="I249" i="11" s="1"/>
  <c r="L260" i="11"/>
  <c r="M260" i="11" s="1"/>
  <c r="H260" i="11"/>
  <c r="I260" i="11" s="1"/>
  <c r="L181" i="11"/>
  <c r="M181" i="11" s="1"/>
  <c r="H181" i="11"/>
  <c r="I181" i="11" s="1"/>
  <c r="L295" i="11"/>
  <c r="M295" i="11" s="1"/>
  <c r="H295" i="11"/>
  <c r="I295" i="11" s="1"/>
  <c r="L201" i="11"/>
  <c r="M201" i="11" s="1"/>
  <c r="H201" i="11"/>
  <c r="I201" i="11" s="1"/>
  <c r="L263" i="11"/>
  <c r="M263" i="11" s="1"/>
  <c r="H263" i="11"/>
  <c r="I263" i="11" s="1"/>
  <c r="L296" i="11"/>
  <c r="M296" i="11" s="1"/>
  <c r="H296" i="11"/>
  <c r="I296" i="11" s="1"/>
  <c r="L100" i="11"/>
  <c r="M100" i="11" s="1"/>
  <c r="H100" i="11"/>
  <c r="I100" i="11" s="1"/>
  <c r="L271" i="11"/>
  <c r="M271" i="11" s="1"/>
  <c r="H271" i="11"/>
  <c r="I271" i="11" s="1"/>
  <c r="L106" i="11"/>
  <c r="M106" i="11" s="1"/>
  <c r="H106" i="11"/>
  <c r="I106" i="11" s="1"/>
  <c r="H152" i="11"/>
  <c r="I152" i="11" s="1"/>
  <c r="L152" i="11"/>
  <c r="M152" i="11" s="1"/>
  <c r="H139" i="11"/>
  <c r="I139" i="11" s="1"/>
  <c r="L139" i="11"/>
  <c r="M139" i="11" s="1"/>
  <c r="L180" i="11"/>
  <c r="M180" i="11" s="1"/>
  <c r="H180" i="11"/>
  <c r="I180" i="11" s="1"/>
  <c r="L195" i="11"/>
  <c r="M195" i="11" s="1"/>
  <c r="H195" i="11"/>
  <c r="I195" i="11" s="1"/>
  <c r="H136" i="11"/>
  <c r="I136" i="11" s="1"/>
  <c r="L136" i="11"/>
  <c r="M136" i="11" s="1"/>
  <c r="L137" i="11"/>
  <c r="M137" i="11" s="1"/>
  <c r="H137" i="11"/>
  <c r="I137" i="11" s="1"/>
  <c r="L103" i="11"/>
  <c r="M103" i="11" s="1"/>
  <c r="H103" i="11"/>
  <c r="I103" i="11" s="1"/>
  <c r="H78" i="11"/>
  <c r="I78" i="11" s="1"/>
  <c r="L78" i="11"/>
  <c r="M78" i="11" s="1"/>
  <c r="L205" i="11"/>
  <c r="M205" i="11" s="1"/>
  <c r="H205" i="11"/>
  <c r="I205" i="11" s="1"/>
  <c r="H107" i="11"/>
  <c r="I107" i="11" s="1"/>
  <c r="L107" i="11"/>
  <c r="M107" i="11" s="1"/>
  <c r="L123" i="11"/>
  <c r="M123" i="11" s="1"/>
  <c r="H123" i="11"/>
  <c r="I123" i="11" s="1"/>
  <c r="H138" i="11"/>
  <c r="I138" i="11" s="1"/>
  <c r="L138" i="11"/>
  <c r="M138" i="11" s="1"/>
  <c r="H224" i="11"/>
  <c r="I224" i="11" s="1"/>
  <c r="L224" i="11"/>
  <c r="M224" i="11" s="1"/>
  <c r="L218" i="11"/>
  <c r="M218" i="11" s="1"/>
  <c r="H218" i="11"/>
  <c r="I218" i="11" s="1"/>
  <c r="L115" i="11"/>
  <c r="M115" i="11" s="1"/>
  <c r="H115" i="11"/>
  <c r="I115" i="11" s="1"/>
  <c r="L82" i="11"/>
  <c r="M82" i="11" s="1"/>
  <c r="H82" i="11"/>
  <c r="I82" i="11" s="1"/>
  <c r="L148" i="11"/>
  <c r="M148" i="11" s="1"/>
  <c r="H148" i="11"/>
  <c r="I148" i="11" s="1"/>
  <c r="L186" i="11"/>
  <c r="M186" i="11" s="1"/>
  <c r="H186" i="11"/>
  <c r="I186" i="11" s="1"/>
  <c r="L259" i="11"/>
  <c r="M259" i="11" s="1"/>
  <c r="H259" i="11"/>
  <c r="I259" i="11" s="1"/>
  <c r="L102" i="11"/>
  <c r="M102" i="11" s="1"/>
  <c r="H102" i="11"/>
  <c r="I102" i="11" s="1"/>
  <c r="H279" i="11"/>
  <c r="I279" i="11" s="1"/>
  <c r="L279" i="11"/>
  <c r="M279" i="11" s="1"/>
  <c r="L127" i="11"/>
  <c r="M127" i="11" s="1"/>
  <c r="H127" i="11"/>
  <c r="I127" i="11" s="1"/>
  <c r="L203" i="11"/>
  <c r="M203" i="11" s="1"/>
  <c r="H203" i="11"/>
  <c r="I203" i="11" s="1"/>
  <c r="H274" i="11"/>
  <c r="I274" i="11" s="1"/>
  <c r="L274" i="11"/>
  <c r="M274" i="11" s="1"/>
  <c r="L140" i="11"/>
  <c r="M140" i="11" s="1"/>
  <c r="H140" i="11"/>
  <c r="I140" i="11" s="1"/>
  <c r="L83" i="11"/>
  <c r="M83" i="11" s="1"/>
  <c r="H83" i="11"/>
  <c r="I83" i="11" s="1"/>
  <c r="L157" i="11"/>
  <c r="M157" i="11" s="1"/>
  <c r="H157" i="11"/>
  <c r="I157" i="11" s="1"/>
  <c r="L252" i="11"/>
  <c r="M252" i="11" s="1"/>
  <c r="H252" i="11"/>
  <c r="I252" i="11" s="1"/>
  <c r="L167" i="11"/>
  <c r="M167" i="11" s="1"/>
  <c r="H167" i="11"/>
  <c r="I167" i="11" s="1"/>
  <c r="L309" i="11"/>
  <c r="M309" i="11" s="1"/>
  <c r="H309" i="11"/>
  <c r="I309" i="11" s="1"/>
  <c r="L120" i="11"/>
  <c r="M120" i="11" s="1"/>
  <c r="H120" i="11"/>
  <c r="I120" i="11" s="1"/>
  <c r="L301" i="11"/>
  <c r="M301" i="11" s="1"/>
  <c r="H301" i="11"/>
  <c r="I301" i="11" s="1"/>
  <c r="E169" i="25"/>
  <c r="M169" i="49"/>
  <c r="C168" i="11"/>
  <c r="L156" i="11"/>
  <c r="M156" i="11" s="1"/>
  <c r="H156" i="11"/>
  <c r="I156" i="11" s="1"/>
  <c r="L188" i="11"/>
  <c r="M188" i="11" s="1"/>
  <c r="H188" i="11"/>
  <c r="I188" i="11" s="1"/>
  <c r="L193" i="11"/>
  <c r="M193" i="11" s="1"/>
  <c r="H193" i="11"/>
  <c r="I193" i="11" s="1"/>
  <c r="L246" i="11"/>
  <c r="M246" i="11" s="1"/>
  <c r="H246" i="11"/>
  <c r="I246" i="11" s="1"/>
  <c r="L99" i="11"/>
  <c r="M99" i="11" s="1"/>
  <c r="H99" i="11"/>
  <c r="I99" i="11" s="1"/>
  <c r="L143" i="11"/>
  <c r="M143" i="11" s="1"/>
  <c r="H143" i="11"/>
  <c r="I143" i="11" s="1"/>
  <c r="L272" i="11"/>
  <c r="M272" i="11" s="1"/>
  <c r="H272" i="11"/>
  <c r="I272" i="11" s="1"/>
  <c r="H245" i="11"/>
  <c r="I245" i="11" s="1"/>
  <c r="L245" i="11"/>
  <c r="M245" i="11" s="1"/>
  <c r="H92" i="11"/>
  <c r="I92" i="11" s="1"/>
  <c r="L92" i="11"/>
  <c r="M92" i="11" s="1"/>
  <c r="H215" i="11"/>
  <c r="I215" i="11" s="1"/>
  <c r="L215" i="11"/>
  <c r="M215" i="11" s="1"/>
  <c r="L126" i="11"/>
  <c r="M126" i="11" s="1"/>
  <c r="H126" i="11"/>
  <c r="I126" i="11" s="1"/>
  <c r="L233" i="11"/>
  <c r="M233" i="11" s="1"/>
  <c r="H233" i="11"/>
  <c r="I233" i="11" s="1"/>
  <c r="L211" i="11"/>
  <c r="M211" i="11" s="1"/>
  <c r="H211" i="11"/>
  <c r="I211" i="11" s="1"/>
  <c r="L217" i="11"/>
  <c r="M217" i="11" s="1"/>
  <c r="H217" i="11"/>
  <c r="I217" i="11" s="1"/>
  <c r="H94" i="11"/>
  <c r="I94" i="11" s="1"/>
  <c r="L94" i="11"/>
  <c r="M94" i="11" s="1"/>
  <c r="H118" i="11"/>
  <c r="I118" i="11" s="1"/>
  <c r="L118" i="11"/>
  <c r="M118" i="11" s="1"/>
  <c r="L93" i="11"/>
  <c r="M93" i="11" s="1"/>
  <c r="H93" i="11"/>
  <c r="I93" i="11" s="1"/>
  <c r="H154" i="11"/>
  <c r="I154" i="11" s="1"/>
  <c r="L154" i="11"/>
  <c r="M154" i="11" s="1"/>
  <c r="H197" i="11"/>
  <c r="I197" i="11" s="1"/>
  <c r="L197" i="11"/>
  <c r="M197" i="11" s="1"/>
  <c r="L305" i="11"/>
  <c r="M305" i="11" s="1"/>
  <c r="H305" i="11"/>
  <c r="I305" i="11" s="1"/>
  <c r="L164" i="11"/>
  <c r="M164" i="11" s="1"/>
  <c r="H164" i="11"/>
  <c r="I164" i="11" s="1"/>
  <c r="L241" i="11"/>
  <c r="M241" i="11" s="1"/>
  <c r="H241" i="11"/>
  <c r="I241" i="11" s="1"/>
  <c r="H149" i="11"/>
  <c r="I149" i="11" s="1"/>
  <c r="L149" i="11"/>
  <c r="M149" i="11" s="1"/>
  <c r="L155" i="11"/>
  <c r="M155" i="11" s="1"/>
  <c r="H155" i="11"/>
  <c r="I155" i="11" s="1"/>
  <c r="L306" i="11"/>
  <c r="M306" i="11" s="1"/>
  <c r="H306" i="11"/>
  <c r="I306" i="11" s="1"/>
  <c r="L257" i="11"/>
  <c r="M257" i="11" s="1"/>
  <c r="H257" i="11"/>
  <c r="I257" i="11" s="1"/>
  <c r="L96" i="11"/>
  <c r="M96" i="11" s="1"/>
  <c r="H96" i="11"/>
  <c r="I96" i="11" s="1"/>
  <c r="L177" i="11"/>
  <c r="M177" i="11" s="1"/>
  <c r="H177" i="11"/>
  <c r="I177" i="11" s="1"/>
  <c r="L237" i="11"/>
  <c r="M237" i="11" s="1"/>
  <c r="H237" i="11"/>
  <c r="I237" i="11" s="1"/>
  <c r="L256" i="11"/>
  <c r="M256" i="11" s="1"/>
  <c r="H256" i="11"/>
  <c r="I256" i="11" s="1"/>
  <c r="L89" i="11"/>
  <c r="M89" i="11" s="1"/>
  <c r="H89" i="11"/>
  <c r="I89" i="11" s="1"/>
  <c r="L111" i="11"/>
  <c r="M111" i="11" s="1"/>
  <c r="H111" i="11"/>
  <c r="I111" i="11" s="1"/>
  <c r="N8" i="42"/>
  <c r="T8" i="42" s="1"/>
  <c r="N9" i="42"/>
  <c r="T9" i="42" s="1"/>
  <c r="N10" i="42"/>
  <c r="T10" i="42" s="1"/>
  <c r="N11" i="42"/>
  <c r="T11" i="42" s="1"/>
  <c r="N12" i="42"/>
  <c r="T12" i="42" s="1"/>
  <c r="N13" i="42"/>
  <c r="T13" i="42" s="1"/>
  <c r="N14" i="42"/>
  <c r="T14" i="42" s="1"/>
  <c r="N15" i="42"/>
  <c r="T15" i="42" s="1"/>
  <c r="N16" i="42"/>
  <c r="T16" i="42" s="1"/>
  <c r="N17" i="42"/>
  <c r="T17" i="42" s="1"/>
  <c r="N18" i="42"/>
  <c r="T18" i="42" s="1"/>
  <c r="N19" i="42"/>
  <c r="T19" i="42" s="1"/>
  <c r="N20" i="42"/>
  <c r="T20" i="42" s="1"/>
  <c r="N21" i="42"/>
  <c r="T21" i="42" s="1"/>
  <c r="N22" i="42"/>
  <c r="T22" i="42" s="1"/>
  <c r="N23" i="42"/>
  <c r="T23" i="42" s="1"/>
  <c r="N24" i="42"/>
  <c r="T24" i="42" s="1"/>
  <c r="N25" i="42"/>
  <c r="T25" i="42" s="1"/>
  <c r="N26" i="42"/>
  <c r="T26" i="42" s="1"/>
  <c r="N27" i="42"/>
  <c r="T27" i="42" s="1"/>
  <c r="N28" i="42"/>
  <c r="T28" i="42" s="1"/>
  <c r="N29" i="42"/>
  <c r="T29" i="42" s="1"/>
  <c r="N30" i="42"/>
  <c r="T30" i="42" s="1"/>
  <c r="N31" i="42"/>
  <c r="T31" i="42" s="1"/>
  <c r="N32" i="42"/>
  <c r="T32" i="42" s="1"/>
  <c r="N33" i="42"/>
  <c r="T33" i="42" s="1"/>
  <c r="N34" i="42"/>
  <c r="T34" i="42" s="1"/>
  <c r="N35" i="42"/>
  <c r="T35" i="42" s="1"/>
  <c r="N36" i="42"/>
  <c r="N37" i="42"/>
  <c r="T37" i="42" s="1"/>
  <c r="N38" i="42"/>
  <c r="T38" i="42" s="1"/>
  <c r="N39" i="42"/>
  <c r="T39" i="42" s="1"/>
  <c r="N40" i="42"/>
  <c r="T40" i="42" s="1"/>
  <c r="N41" i="42"/>
  <c r="T41" i="42" s="1"/>
  <c r="N42" i="42"/>
  <c r="T42" i="42" s="1"/>
  <c r="N43" i="42"/>
  <c r="T43" i="42" s="1"/>
  <c r="N44" i="42"/>
  <c r="T44" i="42" s="1"/>
  <c r="N45" i="42"/>
  <c r="T45" i="42" s="1"/>
  <c r="N46" i="42"/>
  <c r="T46" i="42" s="1"/>
  <c r="N47" i="42"/>
  <c r="T47" i="42" s="1"/>
  <c r="N48" i="42"/>
  <c r="T48" i="42" s="1"/>
  <c r="N49" i="42"/>
  <c r="T49" i="42" s="1"/>
  <c r="N50" i="42"/>
  <c r="T50" i="42" s="1"/>
  <c r="N51" i="42"/>
  <c r="T51" i="42" s="1"/>
  <c r="N52" i="42"/>
  <c r="T52" i="42" s="1"/>
  <c r="N53" i="42"/>
  <c r="T53" i="42" s="1"/>
  <c r="N54" i="42"/>
  <c r="T54" i="42" s="1"/>
  <c r="N55" i="42"/>
  <c r="T55" i="42" s="1"/>
  <c r="N56" i="42"/>
  <c r="T56" i="42" s="1"/>
  <c r="N57" i="42"/>
  <c r="T57" i="42" s="1"/>
  <c r="N58" i="42"/>
  <c r="T58" i="42" s="1"/>
  <c r="N59" i="42"/>
  <c r="T59" i="42" s="1"/>
  <c r="N60" i="42"/>
  <c r="T60" i="42" s="1"/>
  <c r="N61" i="42"/>
  <c r="T61" i="42" s="1"/>
  <c r="N62" i="42"/>
  <c r="T62" i="42" s="1"/>
  <c r="N63" i="42"/>
  <c r="T63" i="42" s="1"/>
  <c r="N64" i="42"/>
  <c r="T64" i="42" s="1"/>
  <c r="N65" i="42"/>
  <c r="T65" i="42" s="1"/>
  <c r="N66" i="42"/>
  <c r="T66" i="42" s="1"/>
  <c r="N68" i="42"/>
  <c r="T68" i="42" s="1"/>
  <c r="N69" i="42"/>
  <c r="T69" i="42" s="1"/>
  <c r="N70" i="42"/>
  <c r="T70" i="42" s="1"/>
  <c r="N71" i="42"/>
  <c r="T71" i="42" s="1"/>
  <c r="N72" i="42"/>
  <c r="T72" i="42" s="1"/>
  <c r="N73" i="42"/>
  <c r="T73" i="42" s="1"/>
  <c r="N74" i="42"/>
  <c r="T74" i="42" s="1"/>
  <c r="N75" i="42"/>
  <c r="T75" i="42" s="1"/>
  <c r="N76" i="42"/>
  <c r="T76" i="42" s="1"/>
  <c r="N77" i="42"/>
  <c r="T77" i="42" s="1"/>
  <c r="N78" i="42"/>
  <c r="T78" i="42" s="1"/>
  <c r="N79" i="42"/>
  <c r="T79" i="42" s="1"/>
  <c r="N80" i="42"/>
  <c r="T80" i="42" s="1"/>
  <c r="N81" i="42"/>
  <c r="T81" i="42" s="1"/>
  <c r="N82" i="42"/>
  <c r="T82" i="42" s="1"/>
  <c r="N83" i="42"/>
  <c r="T83" i="42" s="1"/>
  <c r="N84" i="42"/>
  <c r="T84" i="42" s="1"/>
  <c r="N85" i="42"/>
  <c r="T85" i="42" s="1"/>
  <c r="N86" i="42"/>
  <c r="T86" i="42" s="1"/>
  <c r="N87" i="42"/>
  <c r="T87" i="42" s="1"/>
  <c r="N88" i="42"/>
  <c r="T88" i="42" s="1"/>
  <c r="N89" i="42"/>
  <c r="T89" i="42" s="1"/>
  <c r="N90" i="42"/>
  <c r="T90" i="42" s="1"/>
  <c r="N91" i="42"/>
  <c r="T91" i="42" s="1"/>
  <c r="N92" i="42"/>
  <c r="T92" i="42" s="1"/>
  <c r="N93" i="42"/>
  <c r="T93" i="42" s="1"/>
  <c r="N94" i="42"/>
  <c r="T94" i="42" s="1"/>
  <c r="N95" i="42"/>
  <c r="T95" i="42" s="1"/>
  <c r="N96" i="42"/>
  <c r="T96" i="42" s="1"/>
  <c r="N97" i="42"/>
  <c r="T97" i="42" s="1"/>
  <c r="N98" i="42"/>
  <c r="T98" i="42" s="1"/>
  <c r="N99" i="42"/>
  <c r="T99" i="42" s="1"/>
  <c r="N100" i="42"/>
  <c r="T100" i="42" s="1"/>
  <c r="N101" i="42"/>
  <c r="T101" i="42" s="1"/>
  <c r="N102" i="42"/>
  <c r="T102" i="42" s="1"/>
  <c r="N103" i="42"/>
  <c r="T103" i="42" s="1"/>
  <c r="N104" i="42"/>
  <c r="T104" i="42" s="1"/>
  <c r="N105" i="42"/>
  <c r="T105" i="42" s="1"/>
  <c r="N106" i="42"/>
  <c r="T106" i="42" s="1"/>
  <c r="N107" i="42"/>
  <c r="T107" i="42" s="1"/>
  <c r="N108" i="42"/>
  <c r="T108" i="42" s="1"/>
  <c r="N109" i="42"/>
  <c r="T109" i="42" s="1"/>
  <c r="N110" i="42"/>
  <c r="T110" i="42" s="1"/>
  <c r="N111" i="42"/>
  <c r="T111" i="42" s="1"/>
  <c r="N112" i="42"/>
  <c r="T112" i="42" s="1"/>
  <c r="N113" i="42"/>
  <c r="T113" i="42" s="1"/>
  <c r="N114" i="42"/>
  <c r="T114" i="42" s="1"/>
  <c r="N115" i="42"/>
  <c r="T115" i="42" s="1"/>
  <c r="N116" i="42"/>
  <c r="T116" i="42" s="1"/>
  <c r="N117" i="42"/>
  <c r="T117" i="42" s="1"/>
  <c r="N118" i="42"/>
  <c r="T118" i="42" s="1"/>
  <c r="N119" i="42"/>
  <c r="T119" i="42" s="1"/>
  <c r="N120" i="42"/>
  <c r="T120" i="42" s="1"/>
  <c r="N121" i="42"/>
  <c r="T121" i="42" s="1"/>
  <c r="N122" i="42"/>
  <c r="T122" i="42" s="1"/>
  <c r="N123" i="42"/>
  <c r="T123" i="42" s="1"/>
  <c r="N124" i="42"/>
  <c r="T124" i="42" s="1"/>
  <c r="N125" i="42"/>
  <c r="T125" i="42" s="1"/>
  <c r="N126" i="42"/>
  <c r="T126" i="42" s="1"/>
  <c r="N127" i="42"/>
  <c r="T127" i="42" s="1"/>
  <c r="N128" i="42"/>
  <c r="T128" i="42" s="1"/>
  <c r="N129" i="42"/>
  <c r="T129" i="42" s="1"/>
  <c r="N130" i="42"/>
  <c r="T130" i="42" s="1"/>
  <c r="N131" i="42"/>
  <c r="T131" i="42" s="1"/>
  <c r="N132" i="42"/>
  <c r="T132" i="42" s="1"/>
  <c r="N133" i="42"/>
  <c r="T133" i="42" s="1"/>
  <c r="N134" i="42"/>
  <c r="T134" i="42" s="1"/>
  <c r="N136" i="42"/>
  <c r="T136" i="42" s="1"/>
  <c r="N137" i="42"/>
  <c r="T137" i="42" s="1"/>
  <c r="N138" i="42"/>
  <c r="T138" i="42" s="1"/>
  <c r="N139" i="42"/>
  <c r="T139" i="42" s="1"/>
  <c r="N140" i="42"/>
  <c r="T140" i="42" s="1"/>
  <c r="N141" i="42"/>
  <c r="T141" i="42" s="1"/>
  <c r="N142" i="42"/>
  <c r="T142" i="42" s="1"/>
  <c r="N143" i="42"/>
  <c r="T143" i="42" s="1"/>
  <c r="N144" i="42"/>
  <c r="T144" i="42" s="1"/>
  <c r="N145" i="42"/>
  <c r="T145" i="42" s="1"/>
  <c r="N146" i="42"/>
  <c r="T146" i="42" s="1"/>
  <c r="N147" i="42"/>
  <c r="T147" i="42" s="1"/>
  <c r="N148" i="42"/>
  <c r="T148" i="42" s="1"/>
  <c r="N149" i="42"/>
  <c r="T149" i="42" s="1"/>
  <c r="N150" i="42"/>
  <c r="T150" i="42" s="1"/>
  <c r="N151" i="42"/>
  <c r="T151" i="42" s="1"/>
  <c r="N152" i="42"/>
  <c r="T152" i="42" s="1"/>
  <c r="N153" i="42"/>
  <c r="T153" i="42" s="1"/>
  <c r="N154" i="42"/>
  <c r="T154" i="42" s="1"/>
  <c r="N155" i="42"/>
  <c r="N156" i="42"/>
  <c r="T156" i="42" s="1"/>
  <c r="N157" i="42"/>
  <c r="T157" i="42" s="1"/>
  <c r="N158" i="42"/>
  <c r="T158" i="42" s="1"/>
  <c r="N159" i="42"/>
  <c r="T159" i="42" s="1"/>
  <c r="N160" i="42"/>
  <c r="T160" i="42" s="1"/>
  <c r="N161" i="42"/>
  <c r="T161" i="42" s="1"/>
  <c r="N162" i="42"/>
  <c r="T162" i="42" s="1"/>
  <c r="N163" i="42"/>
  <c r="T163" i="42" s="1"/>
  <c r="N164" i="42"/>
  <c r="T164" i="42" s="1"/>
  <c r="N165" i="42"/>
  <c r="T165" i="42" s="1"/>
  <c r="N166" i="42"/>
  <c r="T166" i="42" s="1"/>
  <c r="N167" i="42"/>
  <c r="T167" i="42" s="1"/>
  <c r="N168" i="42"/>
  <c r="T168" i="42" s="1"/>
  <c r="T169" i="42"/>
  <c r="N171" i="42"/>
  <c r="T171" i="42" s="1"/>
  <c r="N172" i="42"/>
  <c r="T172" i="42" s="1"/>
  <c r="N173" i="42"/>
  <c r="T173" i="42" s="1"/>
  <c r="N174" i="42"/>
  <c r="T174" i="42" s="1"/>
  <c r="N175" i="42"/>
  <c r="T175" i="42" s="1"/>
  <c r="N176" i="42"/>
  <c r="T176" i="42" s="1"/>
  <c r="N177" i="42"/>
  <c r="T177" i="42" s="1"/>
  <c r="N178" i="42"/>
  <c r="T178" i="42" s="1"/>
  <c r="N179" i="42"/>
  <c r="T179" i="42" s="1"/>
  <c r="N180" i="42"/>
  <c r="T180" i="42" s="1"/>
  <c r="N181" i="42"/>
  <c r="T181" i="42" s="1"/>
  <c r="N182" i="42"/>
  <c r="T182" i="42" s="1"/>
  <c r="N183" i="42"/>
  <c r="T183" i="42" s="1"/>
  <c r="N184" i="42"/>
  <c r="T184" i="42" s="1"/>
  <c r="N185" i="42"/>
  <c r="T185" i="42" s="1"/>
  <c r="N186" i="42"/>
  <c r="T186" i="42" s="1"/>
  <c r="N187" i="42"/>
  <c r="T187" i="42" s="1"/>
  <c r="N188" i="42"/>
  <c r="T188" i="42" s="1"/>
  <c r="N189" i="42"/>
  <c r="T189" i="42" s="1"/>
  <c r="N190" i="42"/>
  <c r="T190" i="42" s="1"/>
  <c r="N191" i="42"/>
  <c r="T191" i="42" s="1"/>
  <c r="N192" i="42"/>
  <c r="T192" i="42" s="1"/>
  <c r="N193" i="42"/>
  <c r="T193" i="42" s="1"/>
  <c r="N194" i="42"/>
  <c r="T194" i="42" s="1"/>
  <c r="N195" i="42"/>
  <c r="T195" i="42" s="1"/>
  <c r="N196" i="42"/>
  <c r="T196" i="42" s="1"/>
  <c r="N197" i="42"/>
  <c r="T197" i="42" s="1"/>
  <c r="N198" i="42"/>
  <c r="T198" i="42" s="1"/>
  <c r="N199" i="42"/>
  <c r="T199" i="42" s="1"/>
  <c r="N200" i="42"/>
  <c r="T200" i="42" s="1"/>
  <c r="N201" i="42"/>
  <c r="T201" i="42" s="1"/>
  <c r="N202" i="42"/>
  <c r="T202" i="42" s="1"/>
  <c r="N203" i="42"/>
  <c r="T203" i="42" s="1"/>
  <c r="N204" i="42"/>
  <c r="T204" i="42" s="1"/>
  <c r="N205" i="42"/>
  <c r="T205" i="42" s="1"/>
  <c r="N206" i="42"/>
  <c r="T206" i="42" s="1"/>
  <c r="N207" i="42"/>
  <c r="T207" i="42" s="1"/>
  <c r="N208" i="42"/>
  <c r="T208" i="42" s="1"/>
  <c r="N209" i="42"/>
  <c r="T209" i="42" s="1"/>
  <c r="N210" i="42"/>
  <c r="T210" i="42" s="1"/>
  <c r="N211" i="42"/>
  <c r="T211" i="42" s="1"/>
  <c r="N212" i="42"/>
  <c r="T212" i="42" s="1"/>
  <c r="N213" i="42"/>
  <c r="T213" i="42" s="1"/>
  <c r="N214" i="42"/>
  <c r="T214" i="42" s="1"/>
  <c r="N215" i="42"/>
  <c r="T215" i="42" s="1"/>
  <c r="N216" i="42"/>
  <c r="T216" i="42" s="1"/>
  <c r="N217" i="42"/>
  <c r="T217" i="42" s="1"/>
  <c r="N218" i="42"/>
  <c r="T218" i="42" s="1"/>
  <c r="N220" i="42"/>
  <c r="T220" i="42" s="1"/>
  <c r="N221" i="42"/>
  <c r="T221" i="42" s="1"/>
  <c r="N222" i="42"/>
  <c r="T222" i="42" s="1"/>
  <c r="N223" i="42"/>
  <c r="T223" i="42" s="1"/>
  <c r="N224" i="42"/>
  <c r="T224" i="42" s="1"/>
  <c r="N225" i="42"/>
  <c r="T225" i="42" s="1"/>
  <c r="N226" i="42"/>
  <c r="T226" i="42" s="1"/>
  <c r="N227" i="42"/>
  <c r="T227" i="42" s="1"/>
  <c r="N228" i="42"/>
  <c r="T228" i="42" s="1"/>
  <c r="N229" i="42"/>
  <c r="T229" i="42" s="1"/>
  <c r="N230" i="42"/>
  <c r="T230" i="42" s="1"/>
  <c r="N231" i="42"/>
  <c r="T231" i="42" s="1"/>
  <c r="N232" i="42"/>
  <c r="T232" i="42" s="1"/>
  <c r="N233" i="42"/>
  <c r="T233" i="42" s="1"/>
  <c r="N234" i="42"/>
  <c r="T234" i="42" s="1"/>
  <c r="N235" i="42"/>
  <c r="T235" i="42" s="1"/>
  <c r="N236" i="42"/>
  <c r="T236" i="42" s="1"/>
  <c r="N237" i="42"/>
  <c r="T237" i="42" s="1"/>
  <c r="N239" i="42"/>
  <c r="T239" i="42" s="1"/>
  <c r="N240" i="42"/>
  <c r="T240" i="42" s="1"/>
  <c r="N241" i="42"/>
  <c r="T241" i="42" s="1"/>
  <c r="N242" i="42"/>
  <c r="T242" i="42" s="1"/>
  <c r="N243" i="42"/>
  <c r="T243" i="42" s="1"/>
  <c r="N246" i="42"/>
  <c r="T246" i="42" s="1"/>
  <c r="N247" i="42"/>
  <c r="T247" i="42" s="1"/>
  <c r="N248" i="42"/>
  <c r="T248" i="42" s="1"/>
  <c r="N249" i="42"/>
  <c r="T249" i="42" s="1"/>
  <c r="N250" i="42"/>
  <c r="T250" i="42" s="1"/>
  <c r="N251" i="42"/>
  <c r="T251" i="42" s="1"/>
  <c r="N252" i="42"/>
  <c r="T252" i="42" s="1"/>
  <c r="N253" i="42"/>
  <c r="T253" i="42" s="1"/>
  <c r="N254" i="42"/>
  <c r="T254" i="42" s="1"/>
  <c r="N255" i="42"/>
  <c r="T255" i="42" s="1"/>
  <c r="N256" i="42"/>
  <c r="T256" i="42" s="1"/>
  <c r="N257" i="42"/>
  <c r="T257" i="42" s="1"/>
  <c r="N258" i="42"/>
  <c r="T258" i="42" s="1"/>
  <c r="N259" i="42"/>
  <c r="T259" i="42" s="1"/>
  <c r="N260" i="42"/>
  <c r="T260" i="42" s="1"/>
  <c r="N262" i="42"/>
  <c r="T262" i="42" s="1"/>
  <c r="N263" i="42"/>
  <c r="T263" i="42" s="1"/>
  <c r="N264" i="42"/>
  <c r="T264" i="42" s="1"/>
  <c r="N265" i="42"/>
  <c r="T265" i="42" s="1"/>
  <c r="N266" i="42"/>
  <c r="T266" i="42" s="1"/>
  <c r="N267" i="42"/>
  <c r="T267" i="42" s="1"/>
  <c r="N268" i="42"/>
  <c r="T268" i="42" s="1"/>
  <c r="N269" i="42"/>
  <c r="T269" i="42" s="1"/>
  <c r="N270" i="42"/>
  <c r="T270" i="42" s="1"/>
  <c r="N271" i="42"/>
  <c r="T271" i="42" s="1"/>
  <c r="N272" i="42"/>
  <c r="T272" i="42" s="1"/>
  <c r="N274" i="42"/>
  <c r="T274" i="42" s="1"/>
  <c r="N275" i="42"/>
  <c r="T275" i="42" s="1"/>
  <c r="N276" i="42"/>
  <c r="T276" i="42" s="1"/>
  <c r="N277" i="42"/>
  <c r="T277" i="42" s="1"/>
  <c r="N278" i="42"/>
  <c r="T278" i="42" s="1"/>
  <c r="N279" i="42"/>
  <c r="T279" i="42" s="1"/>
  <c r="N280" i="42"/>
  <c r="T280" i="42" s="1"/>
  <c r="N281" i="42"/>
  <c r="T281" i="42" s="1"/>
  <c r="N282" i="42"/>
  <c r="T282" i="42" s="1"/>
  <c r="N283" i="42"/>
  <c r="T283" i="42" s="1"/>
  <c r="N284" i="42"/>
  <c r="T284" i="42" s="1"/>
  <c r="N285" i="42"/>
  <c r="T285" i="42" s="1"/>
  <c r="N286" i="42"/>
  <c r="T286" i="42" s="1"/>
  <c r="N287" i="42"/>
  <c r="T287" i="42" s="1"/>
  <c r="N288" i="42"/>
  <c r="T288" i="42" s="1"/>
  <c r="N289" i="42"/>
  <c r="T289" i="42" s="1"/>
  <c r="N290" i="42"/>
  <c r="T290" i="42" s="1"/>
  <c r="N291" i="42"/>
  <c r="T291" i="42" s="1"/>
  <c r="N292" i="42"/>
  <c r="T292" i="42" s="1"/>
  <c r="N293" i="42"/>
  <c r="T293" i="42" s="1"/>
  <c r="N294" i="42"/>
  <c r="T294" i="42" s="1"/>
  <c r="N295" i="42"/>
  <c r="T295" i="42" s="1"/>
  <c r="N296" i="42"/>
  <c r="T296" i="42" s="1"/>
  <c r="N297" i="42"/>
  <c r="T297" i="42" s="1"/>
  <c r="N298" i="42"/>
  <c r="T298" i="42" s="1"/>
  <c r="N299" i="42"/>
  <c r="T299" i="42" s="1"/>
  <c r="N300" i="42"/>
  <c r="T300" i="42" s="1"/>
  <c r="N301" i="42"/>
  <c r="T301" i="42" s="1"/>
  <c r="N302" i="42"/>
  <c r="T302" i="42" s="1"/>
  <c r="N303" i="42"/>
  <c r="T303" i="42" s="1"/>
  <c r="N304" i="42"/>
  <c r="T304" i="42" s="1"/>
  <c r="N305" i="42"/>
  <c r="T305" i="42" s="1"/>
  <c r="N306" i="42"/>
  <c r="T306" i="42" s="1"/>
  <c r="N307" i="42"/>
  <c r="T307" i="42" s="1"/>
  <c r="N308" i="42"/>
  <c r="T308" i="42" s="1"/>
  <c r="N309" i="42"/>
  <c r="T309" i="42" s="1"/>
  <c r="N310" i="42"/>
  <c r="T310" i="42" s="1"/>
  <c r="N311" i="42"/>
  <c r="T311" i="42" s="1"/>
  <c r="N312" i="42"/>
  <c r="T312" i="42" s="1"/>
  <c r="N313" i="42"/>
  <c r="T313" i="42" s="1"/>
  <c r="N314" i="42"/>
  <c r="T314" i="42" s="1"/>
  <c r="T155" i="42" l="1"/>
  <c r="L168" i="11"/>
  <c r="M168" i="11" s="1"/>
  <c r="H168" i="11"/>
  <c r="I168" i="11" s="1"/>
  <c r="L242" i="11"/>
  <c r="M242" i="11" s="1"/>
  <c r="H242" i="11"/>
  <c r="I242" i="11" s="1"/>
  <c r="T36" i="42"/>
  <c r="N135" i="42"/>
  <c r="T135" i="42" s="1"/>
  <c r="B6" i="48" l="1"/>
  <c r="D67" i="40" l="1"/>
  <c r="D68" i="40" s="1"/>
  <c r="F66" i="40" s="1"/>
  <c r="F67" i="40" s="1"/>
  <c r="F68" i="40" s="1"/>
  <c r="H66" i="40" s="1"/>
  <c r="H67" i="40" s="1"/>
  <c r="H68" i="40" s="1"/>
  <c r="B67" i="40" s="1"/>
  <c r="B29" i="40" l="1"/>
  <c r="N7" i="42" l="1"/>
  <c r="T7" i="42" l="1"/>
  <c r="N261" i="42"/>
  <c r="T261" i="42" s="1"/>
  <c r="N67" i="42" l="1"/>
  <c r="T67" i="42" l="1"/>
  <c r="N273" i="42"/>
  <c r="T273" i="42" s="1"/>
  <c r="N315" i="42" l="1"/>
  <c r="I5" i="13"/>
  <c r="Q7" i="19" l="1"/>
  <c r="AA6" i="19"/>
  <c r="S6" i="19"/>
  <c r="B61" i="40" l="1"/>
  <c r="K14" i="49" l="1"/>
  <c r="K111" i="49"/>
  <c r="K113" i="49"/>
  <c r="K116" i="49"/>
  <c r="K118" i="49"/>
  <c r="K119" i="49"/>
  <c r="K120" i="49"/>
  <c r="K121" i="49"/>
  <c r="K123" i="49"/>
  <c r="K125" i="49"/>
  <c r="K126" i="49"/>
  <c r="K127" i="49"/>
  <c r="K128" i="49"/>
  <c r="K129" i="49"/>
  <c r="K130" i="49"/>
  <c r="K133" i="49"/>
  <c r="K134" i="49"/>
  <c r="K136" i="49"/>
  <c r="K143" i="49"/>
  <c r="K148" i="49"/>
  <c r="K149" i="49"/>
  <c r="K150" i="49"/>
  <c r="K153" i="49"/>
  <c r="K154" i="49"/>
  <c r="K155" i="49"/>
  <c r="K157" i="49"/>
  <c r="K190" i="49"/>
  <c r="K201" i="49"/>
  <c r="K202" i="49"/>
  <c r="K223" i="49"/>
  <c r="K224" i="49"/>
  <c r="K274" i="49"/>
  <c r="K275" i="49"/>
  <c r="K276" i="49"/>
  <c r="K277" i="49"/>
  <c r="K278" i="49"/>
  <c r="K279" i="49"/>
  <c r="K280" i="49"/>
  <c r="K281" i="49"/>
  <c r="K282" i="49"/>
  <c r="K283" i="49"/>
  <c r="K295" i="49"/>
  <c r="K304" i="49"/>
  <c r="K312" i="49"/>
  <c r="K7" i="49"/>
  <c r="K6" i="49"/>
  <c r="I5" i="49"/>
  <c r="A2" i="49"/>
  <c r="C314" i="49"/>
  <c r="A7" i="49"/>
  <c r="B7" i="49"/>
  <c r="A8" i="49"/>
  <c r="B8" i="49"/>
  <c r="A9" i="49"/>
  <c r="B9" i="49"/>
  <c r="A10" i="49"/>
  <c r="B10" i="49"/>
  <c r="A11" i="49"/>
  <c r="B11" i="49"/>
  <c r="A12" i="49"/>
  <c r="B12" i="49"/>
  <c r="A13" i="49"/>
  <c r="B13" i="49"/>
  <c r="A14" i="49"/>
  <c r="B14" i="49"/>
  <c r="A15" i="49"/>
  <c r="B15" i="49"/>
  <c r="A16" i="49"/>
  <c r="B16" i="49"/>
  <c r="A17" i="49"/>
  <c r="B17" i="49"/>
  <c r="A18" i="49"/>
  <c r="B18" i="49"/>
  <c r="A19" i="49"/>
  <c r="B19" i="49"/>
  <c r="A20" i="49"/>
  <c r="B20" i="49"/>
  <c r="A21" i="49"/>
  <c r="B21" i="49"/>
  <c r="A22" i="49"/>
  <c r="B22" i="49"/>
  <c r="A23" i="49"/>
  <c r="B23" i="49"/>
  <c r="A24" i="49"/>
  <c r="B24" i="49"/>
  <c r="A25" i="49"/>
  <c r="B25" i="49"/>
  <c r="A26" i="49"/>
  <c r="B26" i="49"/>
  <c r="A27" i="49"/>
  <c r="B27" i="49"/>
  <c r="A28" i="49"/>
  <c r="B28" i="49"/>
  <c r="A29" i="49"/>
  <c r="B29" i="49"/>
  <c r="A30" i="49"/>
  <c r="B30" i="49"/>
  <c r="A31" i="49"/>
  <c r="B31" i="49"/>
  <c r="A32" i="49"/>
  <c r="B32" i="49"/>
  <c r="A33" i="49"/>
  <c r="B33" i="49"/>
  <c r="A34" i="49"/>
  <c r="B34" i="49"/>
  <c r="A35" i="49"/>
  <c r="B35" i="49"/>
  <c r="A36" i="49"/>
  <c r="B36" i="49"/>
  <c r="A37" i="49"/>
  <c r="B37" i="49"/>
  <c r="A38" i="49"/>
  <c r="B38" i="49"/>
  <c r="A39" i="49"/>
  <c r="B39" i="49"/>
  <c r="A40" i="49"/>
  <c r="B40" i="49"/>
  <c r="A41" i="49"/>
  <c r="B41" i="49"/>
  <c r="A42" i="49"/>
  <c r="B42" i="49"/>
  <c r="A43" i="49"/>
  <c r="B43" i="49"/>
  <c r="A44" i="49"/>
  <c r="B44" i="49"/>
  <c r="A45" i="49"/>
  <c r="B45" i="49"/>
  <c r="A46" i="49"/>
  <c r="B46" i="49"/>
  <c r="A47" i="49"/>
  <c r="B47" i="49"/>
  <c r="A48" i="49"/>
  <c r="B48" i="49"/>
  <c r="A49" i="49"/>
  <c r="B49" i="49"/>
  <c r="A50" i="49"/>
  <c r="B50" i="49"/>
  <c r="A51" i="49"/>
  <c r="B51" i="49"/>
  <c r="A52" i="49"/>
  <c r="B52" i="49"/>
  <c r="A53" i="49"/>
  <c r="B53" i="49"/>
  <c r="A54" i="49"/>
  <c r="B54" i="49"/>
  <c r="A55" i="49"/>
  <c r="B55" i="49"/>
  <c r="A56" i="49"/>
  <c r="B56" i="49"/>
  <c r="A57" i="49"/>
  <c r="B57" i="49"/>
  <c r="A58" i="49"/>
  <c r="B58" i="49"/>
  <c r="A59" i="49"/>
  <c r="B59" i="49"/>
  <c r="A60" i="49"/>
  <c r="B60" i="49"/>
  <c r="A61" i="49"/>
  <c r="B61" i="49"/>
  <c r="A62" i="49"/>
  <c r="B62" i="49"/>
  <c r="A63" i="49"/>
  <c r="B63" i="49"/>
  <c r="A64" i="49"/>
  <c r="B64" i="49"/>
  <c r="A65" i="49"/>
  <c r="B65" i="49"/>
  <c r="A66" i="49"/>
  <c r="B66" i="49"/>
  <c r="A67" i="49"/>
  <c r="B67" i="49"/>
  <c r="A68" i="49"/>
  <c r="B68" i="49"/>
  <c r="A69" i="49"/>
  <c r="B69" i="49"/>
  <c r="A70" i="49"/>
  <c r="B70" i="49"/>
  <c r="A71" i="49"/>
  <c r="B71" i="49"/>
  <c r="A72" i="49"/>
  <c r="B72" i="49"/>
  <c r="A73" i="49"/>
  <c r="B73" i="49"/>
  <c r="A74" i="49"/>
  <c r="B74" i="49"/>
  <c r="A75" i="49"/>
  <c r="B75" i="49"/>
  <c r="A76" i="49"/>
  <c r="B76" i="49"/>
  <c r="A77" i="49"/>
  <c r="B77" i="49"/>
  <c r="A78" i="49"/>
  <c r="B78" i="49"/>
  <c r="A79" i="49"/>
  <c r="B79" i="49"/>
  <c r="A80" i="49"/>
  <c r="B80" i="49"/>
  <c r="A81" i="49"/>
  <c r="B81" i="49"/>
  <c r="A82" i="49"/>
  <c r="B82" i="49"/>
  <c r="A83" i="49"/>
  <c r="B83" i="49"/>
  <c r="A84" i="49"/>
  <c r="B84" i="49"/>
  <c r="A85" i="49"/>
  <c r="B85" i="49"/>
  <c r="A86" i="49"/>
  <c r="B86" i="49"/>
  <c r="A87" i="49"/>
  <c r="B87" i="49"/>
  <c r="A88" i="49"/>
  <c r="B88" i="49"/>
  <c r="A89" i="49"/>
  <c r="B89" i="49"/>
  <c r="A90" i="49"/>
  <c r="B90" i="49"/>
  <c r="A91" i="49"/>
  <c r="B91" i="49"/>
  <c r="A92" i="49"/>
  <c r="B92" i="49"/>
  <c r="A93" i="49"/>
  <c r="B93" i="49"/>
  <c r="A94" i="49"/>
  <c r="B94" i="49"/>
  <c r="A95" i="49"/>
  <c r="B95" i="49"/>
  <c r="A96" i="49"/>
  <c r="B96" i="49"/>
  <c r="A97" i="49"/>
  <c r="B97" i="49"/>
  <c r="A98" i="49"/>
  <c r="B98" i="49"/>
  <c r="A99" i="49"/>
  <c r="B99" i="49"/>
  <c r="A100" i="49"/>
  <c r="B100" i="49"/>
  <c r="A101" i="49"/>
  <c r="B101" i="49"/>
  <c r="A102" i="49"/>
  <c r="B102" i="49"/>
  <c r="A103" i="49"/>
  <c r="B103" i="49"/>
  <c r="A104" i="49"/>
  <c r="B104" i="49"/>
  <c r="A105" i="49"/>
  <c r="B105" i="49"/>
  <c r="A106" i="49"/>
  <c r="B106" i="49"/>
  <c r="A107" i="49"/>
  <c r="B107" i="49"/>
  <c r="A108" i="49"/>
  <c r="B108" i="49"/>
  <c r="A109" i="49"/>
  <c r="B109" i="49"/>
  <c r="A110" i="49"/>
  <c r="B110" i="49"/>
  <c r="A111" i="49"/>
  <c r="B111" i="49"/>
  <c r="A112" i="49"/>
  <c r="B112" i="49"/>
  <c r="A113" i="49"/>
  <c r="B113" i="49"/>
  <c r="A114" i="49"/>
  <c r="B114" i="49"/>
  <c r="A115" i="49"/>
  <c r="B115" i="49"/>
  <c r="A116" i="49"/>
  <c r="B116" i="49"/>
  <c r="A117" i="49"/>
  <c r="B117" i="49"/>
  <c r="A118" i="49"/>
  <c r="B118" i="49"/>
  <c r="A119" i="49"/>
  <c r="B119" i="49"/>
  <c r="A120" i="49"/>
  <c r="B120" i="49"/>
  <c r="A121" i="49"/>
  <c r="B121" i="49"/>
  <c r="A122" i="49"/>
  <c r="B122" i="49"/>
  <c r="A123" i="49"/>
  <c r="B123" i="49"/>
  <c r="A124" i="49"/>
  <c r="B124" i="49"/>
  <c r="A125" i="49"/>
  <c r="B125" i="49"/>
  <c r="A126" i="49"/>
  <c r="B126" i="49"/>
  <c r="A127" i="49"/>
  <c r="B127" i="49"/>
  <c r="A128" i="49"/>
  <c r="B128" i="49"/>
  <c r="A129" i="49"/>
  <c r="B129" i="49"/>
  <c r="A130" i="49"/>
  <c r="B130" i="49"/>
  <c r="A131" i="49"/>
  <c r="B131" i="49"/>
  <c r="A132" i="49"/>
  <c r="B132" i="49"/>
  <c r="A133" i="49"/>
  <c r="B133" i="49"/>
  <c r="A134" i="49"/>
  <c r="B134" i="49"/>
  <c r="A135" i="49"/>
  <c r="B135" i="49"/>
  <c r="A136" i="49"/>
  <c r="B136" i="49"/>
  <c r="A137" i="49"/>
  <c r="B137" i="49"/>
  <c r="A138" i="49"/>
  <c r="B138" i="49"/>
  <c r="A139" i="49"/>
  <c r="B139" i="49"/>
  <c r="A140" i="49"/>
  <c r="B140" i="49"/>
  <c r="A141" i="49"/>
  <c r="B141" i="49"/>
  <c r="A142" i="49"/>
  <c r="B142" i="49"/>
  <c r="A143" i="49"/>
  <c r="B143" i="49"/>
  <c r="A144" i="49"/>
  <c r="B144" i="49"/>
  <c r="A145" i="49"/>
  <c r="B145" i="49"/>
  <c r="A146" i="49"/>
  <c r="B146" i="49"/>
  <c r="A147" i="49"/>
  <c r="B147" i="49"/>
  <c r="A148" i="49"/>
  <c r="B148" i="49"/>
  <c r="A149" i="49"/>
  <c r="B149" i="49"/>
  <c r="A150" i="49"/>
  <c r="B150" i="49"/>
  <c r="A151" i="49"/>
  <c r="B151" i="49"/>
  <c r="A152" i="49"/>
  <c r="B152" i="49"/>
  <c r="A153" i="49"/>
  <c r="B153" i="49"/>
  <c r="A154" i="49"/>
  <c r="B154" i="49"/>
  <c r="A155" i="49"/>
  <c r="B155" i="49"/>
  <c r="A156" i="49"/>
  <c r="B156" i="49"/>
  <c r="A157" i="49"/>
  <c r="B157" i="49"/>
  <c r="A158" i="49"/>
  <c r="B158" i="49"/>
  <c r="A159" i="49"/>
  <c r="B159" i="49"/>
  <c r="A160" i="49"/>
  <c r="B160" i="49"/>
  <c r="A161" i="49"/>
  <c r="B161" i="49"/>
  <c r="A162" i="49"/>
  <c r="B162" i="49"/>
  <c r="A163" i="49"/>
  <c r="B163" i="49"/>
  <c r="A164" i="49"/>
  <c r="B164" i="49"/>
  <c r="A165" i="49"/>
  <c r="B165" i="49"/>
  <c r="A166" i="49"/>
  <c r="B166" i="49"/>
  <c r="A167" i="49"/>
  <c r="B167" i="49"/>
  <c r="A168" i="49"/>
  <c r="B168" i="49"/>
  <c r="A170" i="49"/>
  <c r="B170" i="49"/>
  <c r="A171" i="49"/>
  <c r="B171" i="49"/>
  <c r="A172" i="49"/>
  <c r="B172" i="49"/>
  <c r="A173" i="49"/>
  <c r="B173" i="49"/>
  <c r="A174" i="49"/>
  <c r="B174" i="49"/>
  <c r="A175" i="49"/>
  <c r="B175" i="49"/>
  <c r="A176" i="49"/>
  <c r="B176" i="49"/>
  <c r="A177" i="49"/>
  <c r="B177" i="49"/>
  <c r="A178" i="49"/>
  <c r="B178" i="49"/>
  <c r="A179" i="49"/>
  <c r="B179" i="49"/>
  <c r="A180" i="49"/>
  <c r="B180" i="49"/>
  <c r="A181" i="49"/>
  <c r="B181" i="49"/>
  <c r="A182" i="49"/>
  <c r="B182" i="49"/>
  <c r="A183" i="49"/>
  <c r="B183" i="49"/>
  <c r="A184" i="49"/>
  <c r="B184" i="49"/>
  <c r="A185" i="49"/>
  <c r="B185" i="49"/>
  <c r="A186" i="49"/>
  <c r="B186" i="49"/>
  <c r="A187" i="49"/>
  <c r="B187" i="49"/>
  <c r="A188" i="49"/>
  <c r="B188" i="49"/>
  <c r="A189" i="49"/>
  <c r="B189" i="49"/>
  <c r="A190" i="49"/>
  <c r="B190" i="49"/>
  <c r="A191" i="49"/>
  <c r="B191" i="49"/>
  <c r="A192" i="49"/>
  <c r="B192" i="49"/>
  <c r="A193" i="49"/>
  <c r="B193" i="49"/>
  <c r="A194" i="49"/>
  <c r="B194" i="49"/>
  <c r="A195" i="49"/>
  <c r="B195" i="49"/>
  <c r="A196" i="49"/>
  <c r="B196" i="49"/>
  <c r="A197" i="49"/>
  <c r="B197" i="49"/>
  <c r="A198" i="49"/>
  <c r="B198" i="49"/>
  <c r="A199" i="49"/>
  <c r="B199" i="49"/>
  <c r="A200" i="49"/>
  <c r="B200" i="49"/>
  <c r="A201" i="49"/>
  <c r="B201" i="49"/>
  <c r="A202" i="49"/>
  <c r="B202" i="49"/>
  <c r="A203" i="49"/>
  <c r="B203" i="49"/>
  <c r="A204" i="49"/>
  <c r="B204" i="49"/>
  <c r="A205" i="49"/>
  <c r="B205" i="49"/>
  <c r="A206" i="49"/>
  <c r="B206" i="49"/>
  <c r="A207" i="49"/>
  <c r="B207" i="49"/>
  <c r="A208" i="49"/>
  <c r="B208" i="49"/>
  <c r="A209" i="49"/>
  <c r="B209" i="49"/>
  <c r="A210" i="49"/>
  <c r="B210" i="49"/>
  <c r="A211" i="49"/>
  <c r="B211" i="49"/>
  <c r="A212" i="49"/>
  <c r="B212" i="49"/>
  <c r="A213" i="49"/>
  <c r="B213" i="49"/>
  <c r="A214" i="49"/>
  <c r="B214" i="49"/>
  <c r="A215" i="49"/>
  <c r="B215" i="49"/>
  <c r="A216" i="49"/>
  <c r="B216" i="49"/>
  <c r="A217" i="49"/>
  <c r="B217" i="49"/>
  <c r="A219" i="49"/>
  <c r="B219" i="49"/>
  <c r="A220" i="49"/>
  <c r="B220" i="49"/>
  <c r="A221" i="49"/>
  <c r="B221" i="49"/>
  <c r="A222" i="49"/>
  <c r="B222" i="49"/>
  <c r="A223" i="49"/>
  <c r="B223" i="49"/>
  <c r="A224" i="49"/>
  <c r="B224" i="49"/>
  <c r="A225" i="49"/>
  <c r="B225" i="49"/>
  <c r="A226" i="49"/>
  <c r="B226" i="49"/>
  <c r="A227" i="49"/>
  <c r="B227" i="49"/>
  <c r="A228" i="49"/>
  <c r="B228" i="49"/>
  <c r="A229" i="49"/>
  <c r="B229" i="49"/>
  <c r="A230" i="49"/>
  <c r="B230" i="49"/>
  <c r="A231" i="49"/>
  <c r="B231" i="49"/>
  <c r="A232" i="49"/>
  <c r="B232" i="49"/>
  <c r="A233" i="49"/>
  <c r="B233" i="49"/>
  <c r="A234" i="49"/>
  <c r="B234" i="49"/>
  <c r="A235" i="49"/>
  <c r="B235" i="49"/>
  <c r="A236" i="49"/>
  <c r="B236" i="49"/>
  <c r="A237" i="49"/>
  <c r="B237" i="49"/>
  <c r="A238" i="49"/>
  <c r="B238" i="49"/>
  <c r="A239" i="49"/>
  <c r="B239" i="49"/>
  <c r="A240" i="49"/>
  <c r="B240" i="49"/>
  <c r="A241" i="49"/>
  <c r="B241" i="49"/>
  <c r="B242" i="49"/>
  <c r="B244" i="49"/>
  <c r="B245" i="49"/>
  <c r="B246" i="49"/>
  <c r="A247" i="49"/>
  <c r="B247" i="49"/>
  <c r="A248" i="49"/>
  <c r="B248" i="49"/>
  <c r="A249" i="49"/>
  <c r="B249" i="49"/>
  <c r="A250" i="49"/>
  <c r="B250" i="49"/>
  <c r="A251" i="49"/>
  <c r="B251" i="49"/>
  <c r="A252" i="49"/>
  <c r="B252" i="49"/>
  <c r="A253" i="49"/>
  <c r="B253" i="49"/>
  <c r="A254" i="49"/>
  <c r="B254" i="49"/>
  <c r="A255" i="49"/>
  <c r="B255" i="49"/>
  <c r="A256" i="49"/>
  <c r="B256" i="49"/>
  <c r="A257" i="49"/>
  <c r="B257" i="49"/>
  <c r="A258" i="49"/>
  <c r="B258" i="49"/>
  <c r="A259" i="49"/>
  <c r="B259" i="49"/>
  <c r="A260" i="49"/>
  <c r="B260" i="49"/>
  <c r="A261" i="49"/>
  <c r="B261" i="49"/>
  <c r="A262" i="49"/>
  <c r="B262" i="49"/>
  <c r="A263" i="49"/>
  <c r="B263" i="49"/>
  <c r="A264" i="49"/>
  <c r="B264" i="49"/>
  <c r="A265" i="49"/>
  <c r="B265" i="49"/>
  <c r="A266" i="49"/>
  <c r="B266" i="49"/>
  <c r="A267" i="49"/>
  <c r="B267" i="49"/>
  <c r="A268" i="49"/>
  <c r="B268" i="49"/>
  <c r="A269" i="49"/>
  <c r="B269" i="49"/>
  <c r="A270" i="49"/>
  <c r="B270" i="49"/>
  <c r="A271" i="49"/>
  <c r="B271" i="49"/>
  <c r="A272" i="49"/>
  <c r="B272" i="49"/>
  <c r="A273" i="49"/>
  <c r="B273" i="49"/>
  <c r="A274" i="49"/>
  <c r="B274" i="49"/>
  <c r="A275" i="49"/>
  <c r="B275" i="49"/>
  <c r="A276" i="49"/>
  <c r="B276" i="49"/>
  <c r="A277" i="49"/>
  <c r="B277" i="49"/>
  <c r="A278" i="49"/>
  <c r="B278" i="49"/>
  <c r="A279" i="49"/>
  <c r="B279" i="49"/>
  <c r="A280" i="49"/>
  <c r="B280" i="49"/>
  <c r="A281" i="49"/>
  <c r="B281" i="49"/>
  <c r="A282" i="49"/>
  <c r="B282" i="49"/>
  <c r="A283" i="49"/>
  <c r="B283" i="49"/>
  <c r="A284" i="49"/>
  <c r="B284" i="49"/>
  <c r="A285" i="49"/>
  <c r="B285" i="49"/>
  <c r="A286" i="49"/>
  <c r="B286" i="49"/>
  <c r="A287" i="49"/>
  <c r="B287" i="49"/>
  <c r="A288" i="49"/>
  <c r="B288" i="49"/>
  <c r="A289" i="49"/>
  <c r="B289" i="49"/>
  <c r="A290" i="49"/>
  <c r="B290" i="49"/>
  <c r="A291" i="49"/>
  <c r="B291" i="49"/>
  <c r="A292" i="49"/>
  <c r="B292" i="49"/>
  <c r="A293" i="49"/>
  <c r="B293" i="49"/>
  <c r="A294" i="49"/>
  <c r="B294" i="49"/>
  <c r="A295" i="49"/>
  <c r="B295" i="49"/>
  <c r="A296" i="49"/>
  <c r="B296" i="49"/>
  <c r="A297" i="49"/>
  <c r="B297" i="49"/>
  <c r="A298" i="49"/>
  <c r="B298" i="49"/>
  <c r="A299" i="49"/>
  <c r="B299" i="49"/>
  <c r="A300" i="49"/>
  <c r="B300" i="49"/>
  <c r="A301" i="49"/>
  <c r="B301" i="49"/>
  <c r="A302" i="49"/>
  <c r="B302" i="49"/>
  <c r="A303" i="49"/>
  <c r="B303" i="49"/>
  <c r="A304" i="49"/>
  <c r="B304" i="49"/>
  <c r="A305" i="49"/>
  <c r="B305" i="49"/>
  <c r="A306" i="49"/>
  <c r="B306" i="49"/>
  <c r="A307" i="49"/>
  <c r="B307" i="49"/>
  <c r="A308" i="49"/>
  <c r="B308" i="49"/>
  <c r="A309" i="49"/>
  <c r="B309" i="49"/>
  <c r="A310" i="49"/>
  <c r="B310" i="49"/>
  <c r="A311" i="49"/>
  <c r="B311" i="49"/>
  <c r="A312" i="49"/>
  <c r="B312" i="49"/>
  <c r="A313" i="49"/>
  <c r="B313" i="49"/>
  <c r="B6" i="49"/>
  <c r="A6" i="49"/>
  <c r="I169" i="49" l="1"/>
  <c r="I243" i="49"/>
  <c r="I218" i="49"/>
  <c r="B314" i="49"/>
  <c r="B7" i="48"/>
  <c r="B9" i="48" l="1"/>
  <c r="B8" i="48"/>
  <c r="F8" i="48"/>
  <c r="C8" i="34"/>
  <c r="U6" i="19" l="1"/>
  <c r="C29" i="40" l="1"/>
  <c r="A2" i="25"/>
  <c r="J5" i="13"/>
  <c r="A7" i="13"/>
  <c r="B7" i="13"/>
  <c r="A8" i="13"/>
  <c r="B8" i="13"/>
  <c r="A9" i="13"/>
  <c r="B9" i="13"/>
  <c r="A10" i="13"/>
  <c r="B10" i="13"/>
  <c r="A11" i="13"/>
  <c r="B11" i="13"/>
  <c r="A12" i="13"/>
  <c r="B12" i="13"/>
  <c r="A13" i="13"/>
  <c r="B13" i="13"/>
  <c r="A14" i="13"/>
  <c r="B14" i="13"/>
  <c r="A15" i="13"/>
  <c r="B15" i="13"/>
  <c r="A16" i="13"/>
  <c r="B16" i="13"/>
  <c r="A17" i="13"/>
  <c r="B17" i="13"/>
  <c r="A18" i="13"/>
  <c r="B18" i="13"/>
  <c r="A19" i="13"/>
  <c r="B19" i="13"/>
  <c r="A20" i="13"/>
  <c r="B20" i="13"/>
  <c r="A21" i="13"/>
  <c r="B21" i="13"/>
  <c r="A22" i="13"/>
  <c r="B22" i="13"/>
  <c r="A23" i="13"/>
  <c r="B23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A40" i="13"/>
  <c r="B40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70" i="13"/>
  <c r="B170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9" i="13"/>
  <c r="B219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4" i="13"/>
  <c r="B244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B6" i="13"/>
  <c r="A6" i="13"/>
  <c r="B5" i="39"/>
  <c r="A5" i="39"/>
  <c r="B5" i="12"/>
  <c r="A5" i="12"/>
  <c r="K313" i="11"/>
  <c r="F313" i="11"/>
  <c r="E313" i="11"/>
  <c r="D313" i="11"/>
  <c r="D16" i="34"/>
  <c r="B16" i="34"/>
  <c r="A16" i="34"/>
  <c r="C5" i="37"/>
  <c r="B5" i="37"/>
  <c r="A5" i="37"/>
  <c r="C8" i="36"/>
  <c r="B8" i="36"/>
  <c r="A8" i="36"/>
  <c r="C11" i="9"/>
  <c r="C319" i="9" s="1"/>
  <c r="B11" i="9"/>
  <c r="A11" i="9"/>
  <c r="D324" i="34" l="1"/>
  <c r="B313" i="37"/>
  <c r="C313" i="37"/>
  <c r="C316" i="36"/>
  <c r="B316" i="36"/>
  <c r="B313" i="12"/>
  <c r="B313" i="39"/>
  <c r="B314" i="13"/>
  <c r="B324" i="34"/>
  <c r="B319" i="9"/>
  <c r="T182" i="13" l="1"/>
  <c r="T154" i="13"/>
  <c r="T223" i="13"/>
  <c r="T32" i="13"/>
  <c r="T96" i="13"/>
  <c r="T23" i="13"/>
  <c r="T38" i="13"/>
  <c r="T54" i="13"/>
  <c r="T62" i="13"/>
  <c r="T100" i="13"/>
  <c r="T102" i="13"/>
  <c r="T106" i="13"/>
  <c r="T108" i="13"/>
  <c r="T116" i="13"/>
  <c r="T122" i="13"/>
  <c r="T124" i="13"/>
  <c r="T134" i="13"/>
  <c r="T136" i="13"/>
  <c r="T142" i="13"/>
  <c r="T144" i="13"/>
  <c r="T146" i="13"/>
  <c r="T150" i="13"/>
  <c r="T152" i="13"/>
  <c r="T158" i="13"/>
  <c r="T160" i="13"/>
  <c r="T162" i="13"/>
  <c r="T171" i="13"/>
  <c r="T187" i="13"/>
  <c r="T191" i="13"/>
  <c r="T203" i="13"/>
  <c r="T209" i="13"/>
  <c r="T217" i="13"/>
  <c r="T220" i="13"/>
  <c r="T222" i="13"/>
  <c r="T228" i="13"/>
  <c r="T253" i="13"/>
  <c r="T255" i="13"/>
  <c r="T263" i="13"/>
  <c r="T265" i="13"/>
  <c r="T269" i="13"/>
  <c r="T271" i="13"/>
  <c r="T273" i="13"/>
  <c r="T281" i="13"/>
  <c r="T313" i="13"/>
  <c r="E314" i="13"/>
  <c r="T18" i="13"/>
  <c r="T28" i="13"/>
  <c r="T30" i="13"/>
  <c r="T35" i="13"/>
  <c r="T43" i="13"/>
  <c r="T69" i="13"/>
  <c r="T77" i="13"/>
  <c r="T79" i="13"/>
  <c r="T81" i="13"/>
  <c r="T83" i="13"/>
  <c r="T87" i="13"/>
  <c r="T89" i="13"/>
  <c r="T91" i="13"/>
  <c r="T95" i="13"/>
  <c r="T97" i="13"/>
  <c r="T99" i="13"/>
  <c r="T111" i="13"/>
  <c r="T115" i="13"/>
  <c r="T117" i="13"/>
  <c r="T119" i="13"/>
  <c r="T123" i="13"/>
  <c r="T125" i="13"/>
  <c r="T127" i="13"/>
  <c r="T131" i="13"/>
  <c r="T139" i="13"/>
  <c r="T155" i="13"/>
  <c r="T159" i="13"/>
  <c r="T208" i="13"/>
  <c r="T212" i="13"/>
  <c r="T216" i="13"/>
  <c r="T225" i="13"/>
  <c r="T241" i="13"/>
  <c r="T246" i="13"/>
  <c r="T250" i="13"/>
  <c r="T254" i="13"/>
  <c r="T258" i="13"/>
  <c r="T260" i="13"/>
  <c r="T278" i="13"/>
  <c r="T282" i="13"/>
  <c r="T284" i="13"/>
  <c r="T286" i="13"/>
  <c r="T302" i="13"/>
  <c r="T306" i="13"/>
  <c r="T308" i="13"/>
  <c r="T310" i="13"/>
  <c r="T29" i="13"/>
  <c r="T40" i="13"/>
  <c r="T42" i="13"/>
  <c r="T46" i="13"/>
  <c r="T80" i="13"/>
  <c r="T90" i="13"/>
  <c r="T48" i="13"/>
  <c r="T52" i="13"/>
  <c r="T58" i="13"/>
  <c r="T60" i="13"/>
  <c r="T74" i="13"/>
  <c r="T164" i="13"/>
  <c r="T166" i="13"/>
  <c r="T168" i="13"/>
  <c r="T175" i="13"/>
  <c r="T177" i="13"/>
  <c r="T181" i="13"/>
  <c r="T183" i="13"/>
  <c r="T185" i="13"/>
  <c r="T189" i="13"/>
  <c r="T193" i="13"/>
  <c r="T197" i="13"/>
  <c r="T207" i="13"/>
  <c r="T211" i="13"/>
  <c r="T232" i="13"/>
  <c r="T236" i="13"/>
  <c r="T238" i="13"/>
  <c r="T242" i="13"/>
  <c r="T247" i="13"/>
  <c r="T251" i="13"/>
  <c r="T275" i="13"/>
  <c r="T279" i="13"/>
  <c r="T287" i="13"/>
  <c r="T303" i="13"/>
  <c r="T307" i="13"/>
  <c r="F314" i="13"/>
  <c r="T8" i="13"/>
  <c r="T12" i="13"/>
  <c r="T20" i="13"/>
  <c r="T26" i="13"/>
  <c r="T37" i="13"/>
  <c r="T41" i="13"/>
  <c r="T45" i="13"/>
  <c r="T47" i="13"/>
  <c r="T55" i="13"/>
  <c r="T63" i="13"/>
  <c r="T101" i="13"/>
  <c r="T103" i="13"/>
  <c r="T105" i="13"/>
  <c r="T107" i="13"/>
  <c r="T133" i="13"/>
  <c r="T137" i="13"/>
  <c r="T141" i="13"/>
  <c r="T145" i="13"/>
  <c r="T147" i="13"/>
  <c r="T149" i="13"/>
  <c r="T153" i="13"/>
  <c r="T157" i="13"/>
  <c r="T161" i="13"/>
  <c r="T167" i="13"/>
  <c r="T172" i="13"/>
  <c r="T174" i="13"/>
  <c r="T176" i="13"/>
  <c r="T184" i="13"/>
  <c r="T192" i="13"/>
  <c r="T200" i="13"/>
  <c r="T206" i="13"/>
  <c r="T210" i="13"/>
  <c r="T221" i="13"/>
  <c r="T227" i="13"/>
  <c r="T231" i="13"/>
  <c r="T235" i="13"/>
  <c r="T262" i="13"/>
  <c r="T264" i="13"/>
  <c r="T268" i="13"/>
  <c r="T270" i="13"/>
  <c r="T272" i="13"/>
  <c r="T290" i="13"/>
  <c r="T292" i="13"/>
  <c r="T294" i="13"/>
  <c r="T296" i="13"/>
  <c r="T298" i="13"/>
  <c r="T300" i="13"/>
  <c r="T19" i="13"/>
  <c r="T17" i="13"/>
  <c r="T25" i="13"/>
  <c r="T50" i="13"/>
  <c r="T56" i="13"/>
  <c r="T66" i="13"/>
  <c r="T70" i="13"/>
  <c r="T72" i="13"/>
  <c r="T78" i="13"/>
  <c r="T84" i="13"/>
  <c r="T88" i="13"/>
  <c r="T104" i="13"/>
  <c r="T112" i="13"/>
  <c r="T120" i="13"/>
  <c r="T128" i="13"/>
  <c r="T138" i="13"/>
  <c r="T179" i="13"/>
  <c r="T195" i="13"/>
  <c r="T199" i="13"/>
  <c r="T201" i="13"/>
  <c r="T205" i="13"/>
  <c r="T226" i="13"/>
  <c r="T230" i="13"/>
  <c r="T234" i="13"/>
  <c r="T240" i="13"/>
  <c r="T245" i="13"/>
  <c r="T249" i="13"/>
  <c r="T267" i="13"/>
  <c r="T277" i="13"/>
  <c r="T291" i="13"/>
  <c r="T293" i="13"/>
  <c r="T295" i="13"/>
  <c r="T297" i="13"/>
  <c r="T299" i="13"/>
  <c r="T301" i="13"/>
  <c r="T305" i="13"/>
  <c r="T311" i="13"/>
  <c r="T6" i="13"/>
  <c r="G314" i="13"/>
  <c r="T16" i="13"/>
  <c r="T22" i="13"/>
  <c r="T39" i="13"/>
  <c r="T49" i="13"/>
  <c r="T51" i="13"/>
  <c r="T53" i="13"/>
  <c r="T57" i="13"/>
  <c r="T59" i="13"/>
  <c r="T61" i="13"/>
  <c r="T65" i="13"/>
  <c r="T73" i="13"/>
  <c r="T109" i="13"/>
  <c r="T135" i="13"/>
  <c r="T143" i="13"/>
  <c r="T151" i="13"/>
  <c r="T163" i="13"/>
  <c r="T165" i="13"/>
  <c r="T178" i="13"/>
  <c r="T180" i="13"/>
  <c r="T186" i="13"/>
  <c r="T188" i="13"/>
  <c r="T190" i="13"/>
  <c r="T194" i="13"/>
  <c r="T196" i="13"/>
  <c r="T202" i="13"/>
  <c r="T204" i="13"/>
  <c r="T229" i="13"/>
  <c r="T233" i="13"/>
  <c r="T237" i="13"/>
  <c r="T248" i="13"/>
  <c r="T256" i="13"/>
  <c r="T266" i="13"/>
  <c r="T274" i="13"/>
  <c r="T276" i="13"/>
  <c r="T280" i="13"/>
  <c r="T288" i="13"/>
  <c r="T9" i="13"/>
  <c r="T13" i="13"/>
  <c r="T21" i="13"/>
  <c r="T64" i="13"/>
  <c r="T68" i="13"/>
  <c r="T76" i="13"/>
  <c r="T7" i="13"/>
  <c r="T11" i="13"/>
  <c r="T15" i="13"/>
  <c r="T27" i="13"/>
  <c r="T31" i="13"/>
  <c r="T34" i="13"/>
  <c r="T36" i="13"/>
  <c r="T44" i="13"/>
  <c r="T82" i="13"/>
  <c r="T86" i="13"/>
  <c r="T92" i="13"/>
  <c r="T94" i="13"/>
  <c r="T98" i="13"/>
  <c r="T110" i="13"/>
  <c r="T114" i="13"/>
  <c r="T118" i="13"/>
  <c r="T126" i="13"/>
  <c r="T130" i="13"/>
  <c r="T132" i="13"/>
  <c r="T140" i="13"/>
  <c r="T148" i="13"/>
  <c r="T156" i="13"/>
  <c r="T173" i="13"/>
  <c r="T213" i="13"/>
  <c r="T215" i="13"/>
  <c r="T224" i="13"/>
  <c r="T257" i="13"/>
  <c r="T259" i="13"/>
  <c r="T261" i="13"/>
  <c r="T283" i="13"/>
  <c r="T285" i="13"/>
  <c r="T289" i="13"/>
  <c r="T309" i="13"/>
  <c r="D314" i="13"/>
  <c r="B59" i="40"/>
  <c r="T10" i="13"/>
  <c r="T14" i="13"/>
  <c r="T24" i="13"/>
  <c r="T33" i="13"/>
  <c r="T67" i="13"/>
  <c r="T71" i="13"/>
  <c r="T75" i="13"/>
  <c r="T85" i="13"/>
  <c r="T93" i="13"/>
  <c r="T113" i="13"/>
  <c r="T121" i="13"/>
  <c r="T129" i="13"/>
  <c r="T170" i="13"/>
  <c r="T198" i="13"/>
  <c r="T214" i="13"/>
  <c r="T219" i="13"/>
  <c r="T239" i="13"/>
  <c r="T244" i="13"/>
  <c r="T252" i="13"/>
  <c r="T304" i="13"/>
  <c r="T312" i="13"/>
  <c r="G3" i="33"/>
  <c r="G4" i="33"/>
  <c r="H314" i="13" l="1"/>
  <c r="K6" i="13"/>
  <c r="C4" i="32"/>
  <c r="B5" i="33"/>
  <c r="A5" i="33"/>
  <c r="B5" i="32"/>
  <c r="A5" i="32"/>
  <c r="B7" i="19"/>
  <c r="A7" i="19"/>
  <c r="A2" i="19"/>
  <c r="A2" i="42"/>
  <c r="O7" i="19"/>
  <c r="S315" i="42"/>
  <c r="R315" i="42"/>
  <c r="Q315" i="42"/>
  <c r="P315" i="42"/>
  <c r="O315" i="42"/>
  <c r="B315" i="42"/>
  <c r="B313" i="32" l="1"/>
  <c r="B315" i="19"/>
  <c r="B313" i="33"/>
  <c r="E4" i="37" l="1"/>
  <c r="E7" i="36"/>
  <c r="D29" i="40"/>
  <c r="F7" i="36" s="1"/>
  <c r="E29" i="40"/>
  <c r="G7" i="36" s="1"/>
  <c r="F29" i="40"/>
  <c r="H7" i="36" s="1"/>
  <c r="G29" i="40"/>
  <c r="I7" i="36" s="1"/>
  <c r="H29" i="40"/>
  <c r="J7" i="36" s="1"/>
  <c r="D7" i="36"/>
  <c r="C4" i="9" l="1"/>
  <c r="N315" i="19"/>
  <c r="C7" i="19"/>
  <c r="D7" i="19"/>
  <c r="E7" i="19"/>
  <c r="F7" i="19"/>
  <c r="E11" i="49"/>
  <c r="E15" i="49"/>
  <c r="E19" i="49"/>
  <c r="E23" i="49"/>
  <c r="E24" i="49"/>
  <c r="E27" i="49"/>
  <c r="E28" i="49"/>
  <c r="E31" i="49"/>
  <c r="E34" i="49"/>
  <c r="E38" i="49"/>
  <c r="E42" i="49"/>
  <c r="E54" i="49"/>
  <c r="E62" i="49"/>
  <c r="E66" i="49"/>
  <c r="E70" i="49"/>
  <c r="E74" i="49"/>
  <c r="E78" i="49"/>
  <c r="E82" i="49"/>
  <c r="E85" i="49"/>
  <c r="E86" i="49"/>
  <c r="E90" i="49"/>
  <c r="E94" i="49"/>
  <c r="E95" i="49"/>
  <c r="E98" i="49"/>
  <c r="E102" i="49"/>
  <c r="E106" i="49"/>
  <c r="E110" i="49"/>
  <c r="E114" i="49"/>
  <c r="E117" i="49"/>
  <c r="E118" i="49"/>
  <c r="E119" i="49"/>
  <c r="E120" i="49"/>
  <c r="E122" i="49"/>
  <c r="E126" i="49"/>
  <c r="E127" i="49"/>
  <c r="E130" i="49"/>
  <c r="E131" i="49"/>
  <c r="E133" i="49"/>
  <c r="E135" i="49"/>
  <c r="E138" i="49"/>
  <c r="E141" i="49"/>
  <c r="E142" i="49"/>
  <c r="E145" i="49"/>
  <c r="E148" i="49"/>
  <c r="E151" i="49"/>
  <c r="E167" i="49"/>
  <c r="E170" i="49"/>
  <c r="E172" i="49"/>
  <c r="E179" i="49"/>
  <c r="E182" i="49"/>
  <c r="E194" i="49"/>
  <c r="E195" i="49"/>
  <c r="E196" i="49"/>
  <c r="E198" i="49"/>
  <c r="E214" i="49"/>
  <c r="E219" i="49"/>
  <c r="E220" i="49"/>
  <c r="E221" i="49"/>
  <c r="E226" i="49"/>
  <c r="E228" i="49"/>
  <c r="E233" i="49"/>
  <c r="E238" i="49"/>
  <c r="E241" i="49"/>
  <c r="E242" i="49"/>
  <c r="E244" i="49"/>
  <c r="E245" i="49"/>
  <c r="E255" i="49"/>
  <c r="E256" i="49"/>
  <c r="E260" i="49"/>
  <c r="E268" i="49"/>
  <c r="E269" i="49"/>
  <c r="E275" i="49"/>
  <c r="E287" i="49"/>
  <c r="E288" i="49"/>
  <c r="E292" i="49"/>
  <c r="E295" i="49"/>
  <c r="E296" i="49"/>
  <c r="E300" i="49"/>
  <c r="E303" i="49"/>
  <c r="E311" i="49"/>
  <c r="E312" i="49"/>
  <c r="D4" i="32"/>
  <c r="AA7" i="19"/>
  <c r="D6" i="49" s="1"/>
  <c r="D7" i="49"/>
  <c r="D8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D104" i="49"/>
  <c r="D105" i="49"/>
  <c r="D106" i="49"/>
  <c r="D107" i="49"/>
  <c r="D108" i="49"/>
  <c r="D109" i="49"/>
  <c r="D110" i="49"/>
  <c r="D111" i="49"/>
  <c r="D112" i="49"/>
  <c r="D113" i="49"/>
  <c r="D114" i="49"/>
  <c r="D115" i="49"/>
  <c r="D116" i="49"/>
  <c r="D117" i="49"/>
  <c r="D118" i="49"/>
  <c r="D119" i="49"/>
  <c r="D120" i="49"/>
  <c r="D121" i="49"/>
  <c r="D122" i="49"/>
  <c r="D123" i="49"/>
  <c r="D124" i="49"/>
  <c r="D125" i="49"/>
  <c r="D126" i="49"/>
  <c r="D127" i="49"/>
  <c r="D128" i="49"/>
  <c r="D129" i="49"/>
  <c r="D130" i="49"/>
  <c r="D131" i="49"/>
  <c r="D132" i="49"/>
  <c r="D133" i="49"/>
  <c r="D134" i="49"/>
  <c r="D135" i="49"/>
  <c r="D136" i="49"/>
  <c r="D137" i="49"/>
  <c r="D138" i="49"/>
  <c r="D139" i="49"/>
  <c r="D140" i="49"/>
  <c r="D141" i="49"/>
  <c r="D142" i="49"/>
  <c r="D143" i="49"/>
  <c r="D144" i="49"/>
  <c r="D145" i="49"/>
  <c r="D146" i="49"/>
  <c r="D147" i="49"/>
  <c r="D148" i="49"/>
  <c r="D149" i="49"/>
  <c r="D150" i="49"/>
  <c r="D151" i="49"/>
  <c r="D152" i="49"/>
  <c r="D153" i="49"/>
  <c r="D154" i="49"/>
  <c r="D155" i="49"/>
  <c r="D156" i="49"/>
  <c r="D157" i="49"/>
  <c r="D158" i="49"/>
  <c r="D159" i="49"/>
  <c r="D160" i="49"/>
  <c r="D161" i="49"/>
  <c r="D162" i="49"/>
  <c r="D163" i="49"/>
  <c r="D164" i="49"/>
  <c r="D165" i="49"/>
  <c r="D166" i="49"/>
  <c r="D167" i="49"/>
  <c r="D168" i="49"/>
  <c r="D170" i="49"/>
  <c r="D171" i="49"/>
  <c r="D172" i="49"/>
  <c r="D173" i="49"/>
  <c r="D174" i="49"/>
  <c r="D175" i="49"/>
  <c r="D176" i="49"/>
  <c r="D177" i="49"/>
  <c r="D178" i="49"/>
  <c r="D179" i="49"/>
  <c r="D180" i="49"/>
  <c r="D181" i="49"/>
  <c r="D182" i="49"/>
  <c r="D183" i="49"/>
  <c r="D184" i="49"/>
  <c r="D185" i="49"/>
  <c r="D186" i="49"/>
  <c r="D187" i="49"/>
  <c r="D188" i="49"/>
  <c r="D189" i="49"/>
  <c r="D190" i="49"/>
  <c r="D191" i="49"/>
  <c r="D192" i="49"/>
  <c r="D193" i="49"/>
  <c r="D194" i="49"/>
  <c r="D195" i="49"/>
  <c r="D196" i="49"/>
  <c r="D197" i="49"/>
  <c r="D198" i="49"/>
  <c r="D199" i="49"/>
  <c r="D200" i="49"/>
  <c r="D201" i="49"/>
  <c r="D202" i="49"/>
  <c r="D203" i="49"/>
  <c r="D204" i="49"/>
  <c r="D205" i="49"/>
  <c r="D206" i="49"/>
  <c r="D207" i="49"/>
  <c r="D208" i="49"/>
  <c r="D209" i="49"/>
  <c r="D210" i="49"/>
  <c r="D211" i="49"/>
  <c r="D212" i="49"/>
  <c r="D213" i="49"/>
  <c r="D214" i="49"/>
  <c r="D215" i="49"/>
  <c r="D216" i="49"/>
  <c r="D217" i="49"/>
  <c r="D219" i="49"/>
  <c r="D220" i="49"/>
  <c r="D221" i="49"/>
  <c r="D222" i="49"/>
  <c r="D223" i="49"/>
  <c r="D224" i="49"/>
  <c r="D225" i="49"/>
  <c r="D226" i="49"/>
  <c r="D227" i="49"/>
  <c r="D228" i="49"/>
  <c r="D229" i="49"/>
  <c r="D230" i="49"/>
  <c r="D231" i="49"/>
  <c r="D232" i="49"/>
  <c r="D233" i="49"/>
  <c r="D234" i="49"/>
  <c r="D235" i="49"/>
  <c r="D236" i="49"/>
  <c r="D237" i="49"/>
  <c r="D238" i="49"/>
  <c r="D239" i="49"/>
  <c r="D240" i="49"/>
  <c r="D241" i="49"/>
  <c r="D242" i="49"/>
  <c r="D244" i="49"/>
  <c r="D245" i="49"/>
  <c r="D246" i="49"/>
  <c r="D247" i="49"/>
  <c r="D248" i="49"/>
  <c r="D249" i="49"/>
  <c r="D250" i="49"/>
  <c r="D251" i="49"/>
  <c r="D252" i="49"/>
  <c r="D253" i="49"/>
  <c r="D254" i="49"/>
  <c r="D255" i="49"/>
  <c r="D256" i="49"/>
  <c r="D257" i="49"/>
  <c r="D258" i="49"/>
  <c r="D259" i="49"/>
  <c r="D260" i="49"/>
  <c r="D261" i="49"/>
  <c r="D262" i="49"/>
  <c r="D263" i="49"/>
  <c r="D264" i="49"/>
  <c r="D265" i="49"/>
  <c r="D266" i="49"/>
  <c r="D267" i="49"/>
  <c r="D268" i="49"/>
  <c r="D269" i="49"/>
  <c r="D270" i="49"/>
  <c r="D271" i="49"/>
  <c r="D272" i="49"/>
  <c r="D273" i="49"/>
  <c r="D274" i="49"/>
  <c r="D275" i="49"/>
  <c r="D276" i="49"/>
  <c r="D277" i="49"/>
  <c r="D278" i="49"/>
  <c r="D279" i="49"/>
  <c r="D280" i="49"/>
  <c r="D281" i="49"/>
  <c r="D282" i="49"/>
  <c r="D283" i="49"/>
  <c r="D284" i="49"/>
  <c r="D285" i="49"/>
  <c r="D286" i="49"/>
  <c r="D287" i="49"/>
  <c r="D288" i="49"/>
  <c r="D289" i="49"/>
  <c r="D290" i="49"/>
  <c r="D291" i="49"/>
  <c r="D292" i="49"/>
  <c r="D293" i="49"/>
  <c r="D294" i="49"/>
  <c r="D295" i="49"/>
  <c r="D296" i="49"/>
  <c r="D297" i="49"/>
  <c r="D298" i="49"/>
  <c r="D299" i="49"/>
  <c r="D300" i="49"/>
  <c r="D301" i="49"/>
  <c r="D302" i="49"/>
  <c r="D303" i="49"/>
  <c r="D304" i="49"/>
  <c r="D305" i="49"/>
  <c r="D306" i="49"/>
  <c r="D307" i="49"/>
  <c r="D308" i="49"/>
  <c r="D309" i="49"/>
  <c r="D310" i="49"/>
  <c r="D311" i="49"/>
  <c r="D312" i="49"/>
  <c r="D313" i="49"/>
  <c r="K14" i="13"/>
  <c r="K87" i="13"/>
  <c r="E4" i="36"/>
  <c r="G4" i="36"/>
  <c r="I4" i="36"/>
  <c r="H4" i="36"/>
  <c r="G5" i="36"/>
  <c r="C6" i="34"/>
  <c r="D4" i="36"/>
  <c r="D5" i="36"/>
  <c r="E5" i="36"/>
  <c r="F4" i="36"/>
  <c r="F5" i="36"/>
  <c r="H5" i="36"/>
  <c r="J4" i="36"/>
  <c r="I5" i="36"/>
  <c r="I4" i="39"/>
  <c r="K8" i="13"/>
  <c r="K9" i="13"/>
  <c r="K10" i="13"/>
  <c r="K11" i="13"/>
  <c r="K12" i="13"/>
  <c r="K13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A6" i="25"/>
  <c r="B6" i="25"/>
  <c r="H147" i="36" l="1"/>
  <c r="H215" i="36"/>
  <c r="H81" i="36"/>
  <c r="H271" i="36"/>
  <c r="H138" i="36"/>
  <c r="H54" i="36"/>
  <c r="H250" i="36"/>
  <c r="H212" i="36"/>
  <c r="H285" i="36"/>
  <c r="H210" i="36"/>
  <c r="H141" i="36"/>
  <c r="H283" i="36"/>
  <c r="H207" i="36"/>
  <c r="H174" i="36"/>
  <c r="H18" i="36"/>
  <c r="H310" i="36"/>
  <c r="H302" i="36"/>
  <c r="H243" i="36"/>
  <c r="H35" i="36"/>
  <c r="H57" i="36"/>
  <c r="H263" i="36"/>
  <c r="H130" i="36"/>
  <c r="H78" i="36"/>
  <c r="H242" i="36"/>
  <c r="H183" i="36"/>
  <c r="H154" i="36"/>
  <c r="H298" i="36"/>
  <c r="H168" i="36"/>
  <c r="H282" i="36"/>
  <c r="H202" i="36"/>
  <c r="H133" i="36"/>
  <c r="H142" i="36"/>
  <c r="H106" i="36"/>
  <c r="H58" i="36"/>
  <c r="H163" i="36"/>
  <c r="H75" i="36"/>
  <c r="H83" i="36"/>
  <c r="H216" i="36"/>
  <c r="H10" i="36"/>
  <c r="H115" i="36"/>
  <c r="H148" i="36"/>
  <c r="H91" i="36"/>
  <c r="H176" i="36"/>
  <c r="H123" i="36"/>
  <c r="H143" i="36"/>
  <c r="H51" i="36"/>
  <c r="H99" i="36"/>
  <c r="H66" i="36"/>
  <c r="H239" i="36"/>
  <c r="H53" i="36"/>
  <c r="H224" i="36"/>
  <c r="H134" i="36"/>
  <c r="H119" i="36"/>
  <c r="H79" i="36"/>
  <c r="H12" i="36"/>
  <c r="H194" i="36"/>
  <c r="H270" i="36"/>
  <c r="H135" i="36"/>
  <c r="H50" i="36"/>
  <c r="H198" i="36"/>
  <c r="H67" i="36"/>
  <c r="H313" i="36"/>
  <c r="H236" i="36"/>
  <c r="H55" i="36"/>
  <c r="H256" i="36"/>
  <c r="H24" i="36"/>
  <c r="H255" i="36"/>
  <c r="H34" i="36"/>
  <c r="H293" i="36"/>
  <c r="H196" i="36"/>
  <c r="H240" i="36"/>
  <c r="H164" i="36"/>
  <c r="H137" i="36"/>
  <c r="H244" i="36"/>
  <c r="H152" i="36"/>
  <c r="H94" i="36"/>
  <c r="H286" i="36"/>
  <c r="H11" i="36"/>
  <c r="H73" i="36"/>
  <c r="H297" i="36"/>
  <c r="H158" i="36"/>
  <c r="H264" i="36"/>
  <c r="H222" i="36"/>
  <c r="H47" i="36"/>
  <c r="H139" i="36"/>
  <c r="H20" i="36"/>
  <c r="H289" i="36"/>
  <c r="H268" i="36"/>
  <c r="H23" i="36"/>
  <c r="H309" i="36"/>
  <c r="H200" i="36"/>
  <c r="H59" i="36"/>
  <c r="H235" i="36"/>
  <c r="H275" i="36"/>
  <c r="H121" i="36"/>
  <c r="H294" i="36"/>
  <c r="H262" i="36"/>
  <c r="H226" i="36"/>
  <c r="H19" i="36"/>
  <c r="H131" i="36"/>
  <c r="H74" i="36"/>
  <c r="H184" i="36"/>
  <c r="H160" i="36"/>
  <c r="H281" i="36"/>
  <c r="H246" i="36"/>
  <c r="H167" i="36"/>
  <c r="H260" i="36"/>
  <c r="H267" i="36"/>
  <c r="H101" i="36"/>
  <c r="H85" i="36"/>
  <c r="H107" i="36"/>
  <c r="H232" i="36"/>
  <c r="H195" i="36"/>
  <c r="H306" i="36"/>
  <c r="H301" i="36"/>
  <c r="H314" i="36"/>
  <c r="H291" i="36"/>
  <c r="H238" i="36"/>
  <c r="H278" i="36"/>
  <c r="H219" i="36"/>
  <c r="H180" i="36"/>
  <c r="H89" i="36"/>
  <c r="H234" i="36"/>
  <c r="H206" i="36"/>
  <c r="H187" i="36"/>
  <c r="H178" i="36"/>
  <c r="H277" i="36"/>
  <c r="H259" i="36"/>
  <c r="H186" i="36"/>
  <c r="H252" i="36"/>
  <c r="H228" i="36"/>
  <c r="H172" i="36"/>
  <c r="H159" i="36"/>
  <c r="H127" i="36"/>
  <c r="H43" i="36"/>
  <c r="H109" i="36"/>
  <c r="H16" i="36"/>
  <c r="H27" i="36"/>
  <c r="H156" i="36"/>
  <c r="H102" i="36"/>
  <c r="H87" i="36"/>
  <c r="H311" i="36"/>
  <c r="H295" i="36"/>
  <c r="H279" i="36"/>
  <c r="H272" i="36"/>
  <c r="H249" i="36"/>
  <c r="H305" i="36"/>
  <c r="H290" i="36"/>
  <c r="H208" i="36"/>
  <c r="H171" i="36"/>
  <c r="H204" i="36"/>
  <c r="H248" i="36"/>
  <c r="H179" i="36"/>
  <c r="H220" i="36"/>
  <c r="H113" i="36"/>
  <c r="H103" i="36"/>
  <c r="H39" i="36"/>
  <c r="H192" i="36"/>
  <c r="H150" i="36"/>
  <c r="H86" i="36"/>
  <c r="H111" i="36"/>
  <c r="H122" i="36"/>
  <c r="H95" i="36"/>
  <c r="H63" i="36"/>
  <c r="H32" i="36"/>
  <c r="H276" i="36"/>
  <c r="H269" i="36"/>
  <c r="H45" i="36"/>
  <c r="H28" i="36"/>
  <c r="H287" i="36"/>
  <c r="H230" i="36"/>
  <c r="H225" i="36"/>
  <c r="H199" i="36"/>
  <c r="H315" i="36"/>
  <c r="H299" i="36"/>
  <c r="H211" i="36"/>
  <c r="H231" i="36"/>
  <c r="H185" i="36"/>
  <c r="H126" i="36"/>
  <c r="H233" i="36"/>
  <c r="H205" i="36"/>
  <c r="H161" i="36"/>
  <c r="H151" i="36"/>
  <c r="H61" i="36"/>
  <c r="H92" i="36"/>
  <c r="H71" i="36"/>
  <c r="H188" i="36"/>
  <c r="H31" i="36"/>
  <c r="H15" i="36"/>
  <c r="H129" i="36"/>
  <c r="H189" i="36"/>
  <c r="H170" i="36"/>
  <c r="H162" i="36"/>
  <c r="H292" i="36"/>
  <c r="H203" i="36"/>
  <c r="H209" i="36"/>
  <c r="H221" i="36"/>
  <c r="H217" i="36"/>
  <c r="H197" i="36"/>
  <c r="H173" i="36"/>
  <c r="H144" i="36"/>
  <c r="H201" i="36"/>
  <c r="H181" i="36"/>
  <c r="H120" i="36"/>
  <c r="H82" i="36"/>
  <c r="H146" i="36"/>
  <c r="H22" i="36"/>
  <c r="H303" i="36"/>
  <c r="H308" i="36"/>
  <c r="H251" i="36"/>
  <c r="H247" i="36"/>
  <c r="H175" i="36"/>
  <c r="H274" i="36"/>
  <c r="H177" i="36"/>
  <c r="H273" i="36"/>
  <c r="H191" i="36"/>
  <c r="H182" i="36"/>
  <c r="H307" i="36"/>
  <c r="H223" i="36"/>
  <c r="H218" i="36"/>
  <c r="H213" i="36"/>
  <c r="H140" i="36"/>
  <c r="H266" i="36"/>
  <c r="H190" i="36"/>
  <c r="H261" i="36"/>
  <c r="H241" i="36"/>
  <c r="H227" i="36"/>
  <c r="H257" i="36"/>
  <c r="H153" i="36"/>
  <c r="H149" i="36"/>
  <c r="H114" i="36"/>
  <c r="H253" i="36"/>
  <c r="H300" i="36"/>
  <c r="H284" i="36"/>
  <c r="H254" i="36"/>
  <c r="H214" i="36"/>
  <c r="H166" i="36"/>
  <c r="H193" i="36"/>
  <c r="H312" i="36"/>
  <c r="H304" i="36"/>
  <c r="H296" i="36"/>
  <c r="H288" i="36"/>
  <c r="H280" i="36"/>
  <c r="H265" i="36"/>
  <c r="H169" i="36"/>
  <c r="H155" i="36"/>
  <c r="H258" i="36"/>
  <c r="H245" i="36"/>
  <c r="H237" i="36"/>
  <c r="H157" i="36"/>
  <c r="H229" i="36"/>
  <c r="H165" i="36"/>
  <c r="H145" i="36"/>
  <c r="H68" i="36"/>
  <c r="H90" i="36"/>
  <c r="H77" i="36"/>
  <c r="H116" i="36"/>
  <c r="H88" i="36"/>
  <c r="H112" i="36"/>
  <c r="H72" i="36"/>
  <c r="H100" i="36"/>
  <c r="H65" i="36"/>
  <c r="H48" i="36"/>
  <c r="H29" i="36"/>
  <c r="H40" i="36"/>
  <c r="H46" i="36"/>
  <c r="H21" i="36"/>
  <c r="H124" i="36"/>
  <c r="H84" i="36"/>
  <c r="H60" i="36"/>
  <c r="H108" i="36"/>
  <c r="H128" i="36"/>
  <c r="H76" i="36"/>
  <c r="H62" i="36"/>
  <c r="H44" i="36"/>
  <c r="H30" i="36"/>
  <c r="H38" i="36"/>
  <c r="H9" i="36"/>
  <c r="H13" i="36"/>
  <c r="H93" i="36"/>
  <c r="H96" i="36"/>
  <c r="H98" i="36"/>
  <c r="H136" i="36"/>
  <c r="H125" i="36"/>
  <c r="H118" i="36"/>
  <c r="H64" i="36"/>
  <c r="H25" i="36"/>
  <c r="H36" i="36"/>
  <c r="H70" i="36"/>
  <c r="H42" i="36"/>
  <c r="H80" i="36"/>
  <c r="H69" i="36"/>
  <c r="H52" i="36"/>
  <c r="H26" i="36"/>
  <c r="H17" i="36"/>
  <c r="H56" i="36"/>
  <c r="H14" i="36"/>
  <c r="H132" i="36"/>
  <c r="H104" i="36"/>
  <c r="H105" i="36"/>
  <c r="H97" i="36"/>
  <c r="H117" i="36"/>
  <c r="H110" i="36"/>
  <c r="H33" i="36"/>
  <c r="H49" i="36"/>
  <c r="H41" i="36"/>
  <c r="H37" i="36"/>
  <c r="H202" i="32"/>
  <c r="H70" i="32"/>
  <c r="H142" i="32"/>
  <c r="H255" i="32"/>
  <c r="H115" i="32"/>
  <c r="H225" i="32"/>
  <c r="H166" i="32"/>
  <c r="H47" i="32"/>
  <c r="H308" i="32"/>
  <c r="H238" i="32"/>
  <c r="H84" i="32"/>
  <c r="H212" i="32"/>
  <c r="H275" i="32"/>
  <c r="H39" i="32"/>
  <c r="H285" i="32"/>
  <c r="H9" i="32"/>
  <c r="H124" i="32"/>
  <c r="H257" i="32"/>
  <c r="H278" i="32"/>
  <c r="H129" i="32"/>
  <c r="H120" i="32"/>
  <c r="H29" i="32"/>
  <c r="H141" i="32"/>
  <c r="H302" i="32"/>
  <c r="H135" i="32"/>
  <c r="H95" i="32"/>
  <c r="H22" i="32"/>
  <c r="H250" i="32"/>
  <c r="H294" i="32"/>
  <c r="H126" i="32"/>
  <c r="H148" i="32"/>
  <c r="H14" i="32"/>
  <c r="H265" i="32"/>
  <c r="H254" i="32"/>
  <c r="H164" i="32"/>
  <c r="H37" i="32"/>
  <c r="H193" i="32"/>
  <c r="H149" i="32"/>
  <c r="H58" i="32"/>
  <c r="H252" i="32"/>
  <c r="H307" i="32"/>
  <c r="H301" i="32"/>
  <c r="H299" i="32"/>
  <c r="H233" i="32"/>
  <c r="H295" i="32"/>
  <c r="H114" i="32"/>
  <c r="H27" i="32"/>
  <c r="H291" i="32"/>
  <c r="H63" i="32"/>
  <c r="H209" i="32"/>
  <c r="H89" i="32"/>
  <c r="H312" i="32"/>
  <c r="H24" i="32"/>
  <c r="H242" i="32"/>
  <c r="H247" i="32"/>
  <c r="H264" i="32"/>
  <c r="H28" i="32"/>
  <c r="H44" i="32"/>
  <c r="H91" i="32"/>
  <c r="H195" i="32"/>
  <c r="H67" i="32"/>
  <c r="H25" i="32"/>
  <c r="H292" i="32"/>
  <c r="H79" i="32"/>
  <c r="H75" i="32"/>
  <c r="H188" i="32"/>
  <c r="H311" i="32"/>
  <c r="H303" i="32"/>
  <c r="H182" i="32"/>
  <c r="H11" i="32"/>
  <c r="H51" i="32"/>
  <c r="H229" i="32"/>
  <c r="H306" i="32"/>
  <c r="H137" i="32"/>
  <c r="H246" i="32"/>
  <c r="H96" i="32"/>
  <c r="H77" i="32"/>
  <c r="H65" i="32"/>
  <c r="H249" i="32"/>
  <c r="H270" i="32"/>
  <c r="H163" i="32"/>
  <c r="H152" i="32"/>
  <c r="H21" i="32"/>
  <c r="H281" i="32"/>
  <c r="H262" i="32"/>
  <c r="H243" i="32"/>
  <c r="H85" i="32"/>
  <c r="H13" i="32"/>
  <c r="H151" i="32"/>
  <c r="H139" i="32"/>
  <c r="H144" i="32"/>
  <c r="H36" i="32"/>
  <c r="H185" i="32"/>
  <c r="H72" i="32"/>
  <c r="H210" i="32"/>
  <c r="H154" i="32"/>
  <c r="H33" i="32"/>
  <c r="H12" i="32"/>
  <c r="H172" i="32"/>
  <c r="H40" i="32"/>
  <c r="H138" i="32"/>
  <c r="H103" i="32"/>
  <c r="H38" i="32"/>
  <c r="H239" i="32"/>
  <c r="H199" i="32"/>
  <c r="H64" i="32"/>
  <c r="H304" i="32"/>
  <c r="H41" i="32"/>
  <c r="H98" i="32"/>
  <c r="H97" i="32"/>
  <c r="H187" i="32"/>
  <c r="H296" i="32"/>
  <c r="H171" i="32"/>
  <c r="H253" i="32"/>
  <c r="H271" i="32"/>
  <c r="H88" i="32"/>
  <c r="H176" i="32"/>
  <c r="H223" i="32"/>
  <c r="H235" i="32"/>
  <c r="H140" i="32"/>
  <c r="H192" i="32"/>
  <c r="H43" i="32"/>
  <c r="H224" i="32"/>
  <c r="H147" i="32"/>
  <c r="H217" i="32"/>
  <c r="H190" i="32"/>
  <c r="H17" i="32"/>
  <c r="H184" i="32"/>
  <c r="H86" i="32"/>
  <c r="H283" i="32"/>
  <c r="H119" i="32"/>
  <c r="H118" i="32"/>
  <c r="H179" i="32"/>
  <c r="H206" i="32"/>
  <c r="H93" i="32"/>
  <c r="H248" i="32"/>
  <c r="H309" i="32"/>
  <c r="H80" i="32"/>
  <c r="H222" i="32"/>
  <c r="H59" i="32"/>
  <c r="H277" i="32"/>
  <c r="H231" i="32"/>
  <c r="H42" i="32"/>
  <c r="H300" i="32"/>
  <c r="H241" i="32"/>
  <c r="H130" i="32"/>
  <c r="H117" i="32"/>
  <c r="H99" i="32"/>
  <c r="H56" i="32"/>
  <c r="H245" i="32"/>
  <c r="H78" i="32"/>
  <c r="H94" i="32"/>
  <c r="H293" i="32"/>
  <c r="H74" i="32"/>
  <c r="H82" i="32"/>
  <c r="H191" i="32"/>
  <c r="H158" i="32"/>
  <c r="H170" i="32"/>
  <c r="H87" i="32"/>
  <c r="H279" i="32"/>
  <c r="H272" i="32"/>
  <c r="H219" i="32"/>
  <c r="H150" i="32"/>
  <c r="H162" i="32"/>
  <c r="H276" i="32"/>
  <c r="H230" i="32"/>
  <c r="H31" i="32"/>
  <c r="H122" i="32"/>
  <c r="H34" i="32"/>
  <c r="H15" i="32"/>
  <c r="H274" i="32"/>
  <c r="H240" i="32"/>
  <c r="H178" i="32"/>
  <c r="H160" i="32"/>
  <c r="H61" i="32"/>
  <c r="H298" i="32"/>
  <c r="H133" i="32"/>
  <c r="H221" i="32"/>
  <c r="H159" i="32"/>
  <c r="H108" i="32"/>
  <c r="H49" i="32"/>
  <c r="H165" i="32"/>
  <c r="H213" i="32"/>
  <c r="H145" i="32"/>
  <c r="H69" i="32"/>
  <c r="H26" i="32"/>
  <c r="H161" i="32"/>
  <c r="H153" i="32"/>
  <c r="H121" i="32"/>
  <c r="H81" i="32"/>
  <c r="H155" i="32"/>
  <c r="H284" i="32"/>
  <c r="H251" i="32"/>
  <c r="H57" i="32"/>
  <c r="H90" i="32"/>
  <c r="H19" i="32"/>
  <c r="H60" i="32"/>
  <c r="H226" i="32"/>
  <c r="H107" i="32"/>
  <c r="H23" i="32"/>
  <c r="H68" i="32"/>
  <c r="H101" i="32"/>
  <c r="H220" i="32"/>
  <c r="H102" i="32"/>
  <c r="H256" i="32"/>
  <c r="H197" i="32"/>
  <c r="H203" i="32"/>
  <c r="H196" i="32"/>
  <c r="H50" i="32"/>
  <c r="H194" i="32"/>
  <c r="H287" i="32"/>
  <c r="H134" i="32"/>
  <c r="H146" i="32"/>
  <c r="H127" i="32"/>
  <c r="H227" i="32"/>
  <c r="H110" i="32"/>
  <c r="H83" i="32"/>
  <c r="H263" i="32"/>
  <c r="H128" i="32"/>
  <c r="H204" i="32"/>
  <c r="H48" i="32"/>
  <c r="H76" i="32"/>
  <c r="H8" i="32"/>
  <c r="H211" i="32"/>
  <c r="H100" i="32"/>
  <c r="H232" i="32"/>
  <c r="H310" i="32"/>
  <c r="H175" i="32"/>
  <c r="H136" i="32"/>
  <c r="H30" i="32"/>
  <c r="H266" i="32"/>
  <c r="H143" i="32"/>
  <c r="H157" i="32"/>
  <c r="H111" i="32"/>
  <c r="H53" i="32"/>
  <c r="H290" i="32"/>
  <c r="H125" i="32"/>
  <c r="H167" i="32"/>
  <c r="H168" i="32"/>
  <c r="H45" i="32"/>
  <c r="H282" i="32"/>
  <c r="H286" i="32"/>
  <c r="H104" i="32"/>
  <c r="H105" i="32"/>
  <c r="H18" i="32"/>
  <c r="H183" i="32"/>
  <c r="H218" i="32"/>
  <c r="H198" i="32"/>
  <c r="H66" i="32"/>
  <c r="H6" i="32"/>
  <c r="H109" i="32"/>
  <c r="H173" i="32"/>
  <c r="H261" i="32"/>
  <c r="H123" i="32"/>
  <c r="H297" i="32"/>
  <c r="H177" i="32"/>
  <c r="H201" i="32"/>
  <c r="H112" i="32"/>
  <c r="H237" i="32"/>
  <c r="H132" i="32"/>
  <c r="H258" i="32"/>
  <c r="H180" i="32"/>
  <c r="H52" i="32"/>
  <c r="H228" i="32"/>
  <c r="H20" i="32"/>
  <c r="H289" i="32"/>
  <c r="H267" i="32"/>
  <c r="H113" i="32"/>
  <c r="H186" i="32"/>
  <c r="H16" i="32"/>
  <c r="H32" i="32"/>
  <c r="H131" i="32"/>
  <c r="H62" i="32"/>
  <c r="H269" i="32"/>
  <c r="H260" i="32"/>
  <c r="H244" i="32"/>
  <c r="H71" i="32"/>
  <c r="H189" i="32"/>
  <c r="H10" i="32"/>
  <c r="H156" i="32"/>
  <c r="H273" i="32"/>
  <c r="H116" i="32"/>
  <c r="H200" i="32"/>
  <c r="H46" i="32"/>
  <c r="H268" i="32"/>
  <c r="H92" i="32"/>
  <c r="H207" i="32"/>
  <c r="H280" i="32"/>
  <c r="H216" i="32"/>
  <c r="H169" i="32"/>
  <c r="H205" i="32"/>
  <c r="H174" i="32"/>
  <c r="H35" i="32"/>
  <c r="H259" i="32"/>
  <c r="H305" i="32"/>
  <c r="H7" i="32"/>
  <c r="H208" i="32"/>
  <c r="H234" i="32"/>
  <c r="H215" i="32"/>
  <c r="H73" i="32"/>
  <c r="H54" i="32"/>
  <c r="H181" i="32"/>
  <c r="H214" i="32"/>
  <c r="H55" i="32"/>
  <c r="H106" i="32"/>
  <c r="H288" i="32"/>
  <c r="H236" i="32"/>
  <c r="D148" i="36"/>
  <c r="D224" i="36"/>
  <c r="D152" i="36"/>
  <c r="D294" i="36"/>
  <c r="D28" i="36"/>
  <c r="D295" i="36"/>
  <c r="D278" i="36"/>
  <c r="D262" i="36"/>
  <c r="D145" i="36"/>
  <c r="D129" i="36"/>
  <c r="D113" i="36"/>
  <c r="D22" i="36"/>
  <c r="D269" i="36"/>
  <c r="D251" i="36"/>
  <c r="D231" i="36"/>
  <c r="D274" i="36"/>
  <c r="D248" i="36"/>
  <c r="D232" i="36"/>
  <c r="D109" i="36"/>
  <c r="D296" i="36"/>
  <c r="D267" i="36"/>
  <c r="D190" i="36"/>
  <c r="D98" i="36"/>
  <c r="D246" i="36"/>
  <c r="D230" i="36"/>
  <c r="D281" i="36"/>
  <c r="D219" i="36"/>
  <c r="D206" i="36"/>
  <c r="D105" i="36"/>
  <c r="D203" i="36"/>
  <c r="D94" i="36"/>
  <c r="D62" i="36"/>
  <c r="D30" i="36"/>
  <c r="D293" i="36"/>
  <c r="D260" i="36"/>
  <c r="D167" i="36"/>
  <c r="D127" i="36"/>
  <c r="D47" i="36"/>
  <c r="D81" i="36"/>
  <c r="D24" i="36"/>
  <c r="D234" i="36"/>
  <c r="D210" i="36"/>
  <c r="D244" i="36"/>
  <c r="D204" i="36"/>
  <c r="D32" i="36"/>
  <c r="D16" i="36"/>
  <c r="D223" i="36"/>
  <c r="D101" i="36"/>
  <c r="D259" i="36"/>
  <c r="D198" i="36"/>
  <c r="D182" i="36"/>
  <c r="D162" i="36"/>
  <c r="D26" i="36"/>
  <c r="D305" i="36"/>
  <c r="D272" i="36"/>
  <c r="D199" i="36"/>
  <c r="D243" i="36"/>
  <c r="D268" i="36"/>
  <c r="D103" i="36"/>
  <c r="D39" i="36"/>
  <c r="D240" i="36"/>
  <c r="D123" i="36"/>
  <c r="D239" i="36"/>
  <c r="D194" i="36"/>
  <c r="D53" i="36"/>
  <c r="D38" i="36"/>
  <c r="D12" i="36"/>
  <c r="D255" i="36"/>
  <c r="D142" i="36"/>
  <c r="D20" i="36"/>
  <c r="D146" i="36"/>
  <c r="D67" i="36"/>
  <c r="D141" i="36"/>
  <c r="D23" i="36"/>
  <c r="D55" i="36"/>
  <c r="D187" i="36"/>
  <c r="D155" i="36"/>
  <c r="D41" i="36"/>
  <c r="D279" i="36"/>
  <c r="D115" i="36"/>
  <c r="D280" i="36"/>
  <c r="D156" i="36"/>
  <c r="D57" i="36"/>
  <c r="D288" i="36"/>
  <c r="D66" i="36"/>
  <c r="D79" i="36"/>
  <c r="D46" i="36"/>
  <c r="D304" i="36"/>
  <c r="D215" i="36"/>
  <c r="D159" i="36"/>
  <c r="D175" i="36"/>
  <c r="D87" i="36"/>
  <c r="D83" i="36"/>
  <c r="D289" i="36"/>
  <c r="D114" i="36"/>
  <c r="D228" i="36"/>
  <c r="D99" i="36"/>
  <c r="D118" i="36"/>
  <c r="D77" i="36"/>
  <c r="D277" i="36"/>
  <c r="D196" i="36"/>
  <c r="D180" i="36"/>
  <c r="D91" i="36"/>
  <c r="D117" i="36"/>
  <c r="D70" i="36"/>
  <c r="D82" i="36"/>
  <c r="D135" i="36"/>
  <c r="D11" i="36"/>
  <c r="D287" i="36"/>
  <c r="D227" i="36"/>
  <c r="D59" i="36"/>
  <c r="D97" i="36"/>
  <c r="D18" i="36"/>
  <c r="D270" i="36"/>
  <c r="D134" i="36"/>
  <c r="D183" i="36"/>
  <c r="D147" i="36"/>
  <c r="D311" i="36"/>
  <c r="D271" i="36"/>
  <c r="D301" i="36"/>
  <c r="D73" i="36"/>
  <c r="D192" i="36"/>
  <c r="D143" i="36"/>
  <c r="D35" i="36"/>
  <c r="D312" i="36"/>
  <c r="D252" i="36"/>
  <c r="D222" i="36"/>
  <c r="D163" i="36"/>
  <c r="D95" i="36"/>
  <c r="D297" i="36"/>
  <c r="D131" i="36"/>
  <c r="D188" i="36"/>
  <c r="D71" i="36"/>
  <c r="D49" i="36"/>
  <c r="D34" i="36"/>
  <c r="D14" i="36"/>
  <c r="D250" i="36"/>
  <c r="D202" i="36"/>
  <c r="D50" i="36"/>
  <c r="D19" i="36"/>
  <c r="D158" i="36"/>
  <c r="D151" i="36"/>
  <c r="D27" i="36"/>
  <c r="D200" i="36"/>
  <c r="D121" i="36"/>
  <c r="D226" i="36"/>
  <c r="D168" i="36"/>
  <c r="D74" i="36"/>
  <c r="D310" i="36"/>
  <c r="D256" i="36"/>
  <c r="D138" i="36"/>
  <c r="D286" i="36"/>
  <c r="D309" i="36"/>
  <c r="D264" i="36"/>
  <c r="D236" i="36"/>
  <c r="D313" i="36"/>
  <c r="D178" i="36"/>
  <c r="D238" i="36"/>
  <c r="D176" i="36"/>
  <c r="D164" i="36"/>
  <c r="D119" i="36"/>
  <c r="D42" i="36"/>
  <c r="D63" i="36"/>
  <c r="D184" i="36"/>
  <c r="D160" i="36"/>
  <c r="D273" i="36"/>
  <c r="D258" i="36"/>
  <c r="D303" i="36"/>
  <c r="D171" i="36"/>
  <c r="D85" i="36"/>
  <c r="D37" i="36"/>
  <c r="D174" i="36"/>
  <c r="D220" i="36"/>
  <c r="D302" i="36"/>
  <c r="D212" i="36"/>
  <c r="D179" i="36"/>
  <c r="D10" i="36"/>
  <c r="D89" i="36"/>
  <c r="D54" i="36"/>
  <c r="D122" i="36"/>
  <c r="D107" i="36"/>
  <c r="D111" i="36"/>
  <c r="D315" i="36"/>
  <c r="D299" i="36"/>
  <c r="D283" i="36"/>
  <c r="D253" i="36"/>
  <c r="D265" i="36"/>
  <c r="D216" i="36"/>
  <c r="D195" i="36"/>
  <c r="D285" i="36"/>
  <c r="D263" i="36"/>
  <c r="D208" i="36"/>
  <c r="D172" i="36"/>
  <c r="D154" i="36"/>
  <c r="D139" i="36"/>
  <c r="D106" i="36"/>
  <c r="D150" i="36"/>
  <c r="D78" i="36"/>
  <c r="D43" i="36"/>
  <c r="D45" i="36"/>
  <c r="D102" i="36"/>
  <c r="D31" i="36"/>
  <c r="D69" i="36"/>
  <c r="D15" i="36"/>
  <c r="D307" i="36"/>
  <c r="D209" i="36"/>
  <c r="D298" i="36"/>
  <c r="D217" i="36"/>
  <c r="D276" i="36"/>
  <c r="D166" i="36"/>
  <c r="D308" i="36"/>
  <c r="D300" i="36"/>
  <c r="D292" i="36"/>
  <c r="D284" i="36"/>
  <c r="D275" i="36"/>
  <c r="D245" i="36"/>
  <c r="D242" i="36"/>
  <c r="D237" i="36"/>
  <c r="D235" i="36"/>
  <c r="D157" i="36"/>
  <c r="D229" i="36"/>
  <c r="D165" i="36"/>
  <c r="D144" i="36"/>
  <c r="D201" i="36"/>
  <c r="D120" i="36"/>
  <c r="D68" i="36"/>
  <c r="D104" i="36"/>
  <c r="D116" i="36"/>
  <c r="D110" i="36"/>
  <c r="D249" i="36"/>
  <c r="D247" i="36"/>
  <c r="D177" i="36"/>
  <c r="D290" i="36"/>
  <c r="D191" i="36"/>
  <c r="D218" i="36"/>
  <c r="D214" i="36"/>
  <c r="D266" i="36"/>
  <c r="D241" i="36"/>
  <c r="D186" i="36"/>
  <c r="D257" i="36"/>
  <c r="D153" i="36"/>
  <c r="D137" i="36"/>
  <c r="D205" i="36"/>
  <c r="D75" i="36"/>
  <c r="D291" i="36"/>
  <c r="D189" i="36"/>
  <c r="D254" i="36"/>
  <c r="D314" i="36"/>
  <c r="D282" i="36"/>
  <c r="D221" i="36"/>
  <c r="D207" i="36"/>
  <c r="D197" i="36"/>
  <c r="D193" i="36"/>
  <c r="D169" i="36"/>
  <c r="D173" i="36"/>
  <c r="D126" i="36"/>
  <c r="D181" i="36"/>
  <c r="D130" i="36"/>
  <c r="D125" i="36"/>
  <c r="D51" i="36"/>
  <c r="D170" i="36"/>
  <c r="D225" i="36"/>
  <c r="D306" i="36"/>
  <c r="D213" i="36"/>
  <c r="D211" i="36"/>
  <c r="D140" i="36"/>
  <c r="D261" i="36"/>
  <c r="D185" i="36"/>
  <c r="D149" i="36"/>
  <c r="D233" i="36"/>
  <c r="D133" i="36"/>
  <c r="D161" i="36"/>
  <c r="D86" i="36"/>
  <c r="D132" i="36"/>
  <c r="D58" i="36"/>
  <c r="D88" i="36"/>
  <c r="D61" i="36"/>
  <c r="D128" i="36"/>
  <c r="D25" i="36"/>
  <c r="D17" i="36"/>
  <c r="D96" i="36"/>
  <c r="D92" i="36"/>
  <c r="D136" i="36"/>
  <c r="D100" i="36"/>
  <c r="D64" i="36"/>
  <c r="D33" i="36"/>
  <c r="D80" i="36"/>
  <c r="D56" i="36"/>
  <c r="D65" i="36"/>
  <c r="D124" i="36"/>
  <c r="D84" i="36"/>
  <c r="D60" i="36"/>
  <c r="D108" i="36"/>
  <c r="D93" i="36"/>
  <c r="D76" i="36"/>
  <c r="D29" i="36"/>
  <c r="D44" i="36"/>
  <c r="D21" i="36"/>
  <c r="D13" i="36"/>
  <c r="D112" i="36"/>
  <c r="D72" i="36"/>
  <c r="D90" i="36"/>
  <c r="D48" i="36"/>
  <c r="D40" i="36"/>
  <c r="D36" i="36"/>
  <c r="D52" i="36"/>
  <c r="D9" i="36"/>
  <c r="I35" i="36"/>
  <c r="I219" i="36"/>
  <c r="I152" i="36"/>
  <c r="I309" i="36"/>
  <c r="I151" i="36"/>
  <c r="I221" i="36"/>
  <c r="I161" i="36"/>
  <c r="I9" i="36"/>
  <c r="I224" i="36"/>
  <c r="I102" i="36"/>
  <c r="I70" i="36"/>
  <c r="I314" i="36"/>
  <c r="I205" i="36"/>
  <c r="I84" i="36"/>
  <c r="I52" i="36"/>
  <c r="I249" i="36"/>
  <c r="I82" i="36"/>
  <c r="I280" i="36"/>
  <c r="I204" i="36"/>
  <c r="I212" i="36"/>
  <c r="I184" i="36"/>
  <c r="I92" i="36"/>
  <c r="I266" i="36"/>
  <c r="I179" i="36"/>
  <c r="I15" i="36"/>
  <c r="I302" i="36"/>
  <c r="I87" i="36"/>
  <c r="I134" i="36"/>
  <c r="I24" i="36"/>
  <c r="I285" i="36"/>
  <c r="I59" i="36"/>
  <c r="I23" i="36"/>
  <c r="I55" i="36"/>
  <c r="I310" i="36"/>
  <c r="I195" i="36"/>
  <c r="I282" i="36"/>
  <c r="I232" i="36"/>
  <c r="I233" i="36"/>
  <c r="I99" i="36"/>
  <c r="I95" i="36"/>
  <c r="I11" i="36"/>
  <c r="I160" i="36"/>
  <c r="I139" i="36"/>
  <c r="I20" i="36"/>
  <c r="I148" i="36"/>
  <c r="I240" i="36"/>
  <c r="I211" i="36"/>
  <c r="I83" i="36"/>
  <c r="I60" i="36"/>
  <c r="I288" i="36"/>
  <c r="I19" i="36"/>
  <c r="I289" i="36"/>
  <c r="I257" i="36"/>
  <c r="I196" i="36"/>
  <c r="I265" i="36"/>
  <c r="I255" i="36"/>
  <c r="I147" i="36"/>
  <c r="I241" i="36"/>
  <c r="I153" i="36"/>
  <c r="I135" i="36"/>
  <c r="I120" i="36"/>
  <c r="I100" i="36"/>
  <c r="I176" i="36"/>
  <c r="I192" i="36"/>
  <c r="I106" i="36"/>
  <c r="I287" i="36"/>
  <c r="I66" i="36"/>
  <c r="I200" i="36"/>
  <c r="I305" i="36"/>
  <c r="I131" i="36"/>
  <c r="I74" i="36"/>
  <c r="I304" i="36"/>
  <c r="I272" i="36"/>
  <c r="I256" i="36"/>
  <c r="I118" i="36"/>
  <c r="I64" i="36"/>
  <c r="I51" i="36"/>
  <c r="I119" i="36"/>
  <c r="I71" i="36"/>
  <c r="I31" i="36"/>
  <c r="I275" i="36"/>
  <c r="I159" i="36"/>
  <c r="I72" i="36"/>
  <c r="I34" i="36"/>
  <c r="I62" i="36"/>
  <c r="I173" i="36"/>
  <c r="I27" i="36"/>
  <c r="I312" i="36"/>
  <c r="I298" i="36"/>
  <c r="I138" i="36"/>
  <c r="I67" i="36"/>
  <c r="I12" i="36"/>
  <c r="I236" i="36"/>
  <c r="I50" i="36"/>
  <c r="I271" i="36"/>
  <c r="I42" i="36"/>
  <c r="I123" i="36"/>
  <c r="I286" i="36"/>
  <c r="I165" i="36"/>
  <c r="I313" i="36"/>
  <c r="I103" i="36"/>
  <c r="I172" i="36"/>
  <c r="I46" i="36"/>
  <c r="I290" i="36"/>
  <c r="I228" i="36"/>
  <c r="I201" i="36"/>
  <c r="I303" i="36"/>
  <c r="I171" i="36"/>
  <c r="I270" i="36"/>
  <c r="I220" i="36"/>
  <c r="I301" i="36"/>
  <c r="I253" i="36"/>
  <c r="I107" i="36"/>
  <c r="I188" i="36"/>
  <c r="I128" i="36"/>
  <c r="I296" i="36"/>
  <c r="I278" i="36"/>
  <c r="I247" i="36"/>
  <c r="I217" i="36"/>
  <c r="I168" i="36"/>
  <c r="I244" i="36"/>
  <c r="I297" i="36"/>
  <c r="I252" i="36"/>
  <c r="I264" i="36"/>
  <c r="I181" i="36"/>
  <c r="I295" i="36"/>
  <c r="I294" i="36"/>
  <c r="I281" i="36"/>
  <c r="I311" i="36"/>
  <c r="I273" i="36"/>
  <c r="I208" i="36"/>
  <c r="I136" i="36"/>
  <c r="I44" i="36"/>
  <c r="I245" i="36"/>
  <c r="I306" i="36"/>
  <c r="I180" i="36"/>
  <c r="I193" i="36"/>
  <c r="I164" i="36"/>
  <c r="I227" i="36"/>
  <c r="I185" i="36"/>
  <c r="I143" i="36"/>
  <c r="I156" i="36"/>
  <c r="I122" i="36"/>
  <c r="I32" i="36"/>
  <c r="I16" i="36"/>
  <c r="I79" i="36"/>
  <c r="I279" i="36"/>
  <c r="I277" i="36"/>
  <c r="I248" i="36"/>
  <c r="I260" i="36"/>
  <c r="I207" i="36"/>
  <c r="I169" i="36"/>
  <c r="I229" i="36"/>
  <c r="I216" i="36"/>
  <c r="I293" i="36"/>
  <c r="I189" i="36"/>
  <c r="I88" i="36"/>
  <c r="I80" i="36"/>
  <c r="I145" i="36"/>
  <c r="I47" i="36"/>
  <c r="I114" i="36"/>
  <c r="I75" i="36"/>
  <c r="I28" i="36"/>
  <c r="I308" i="36"/>
  <c r="I292" i="36"/>
  <c r="I111" i="36"/>
  <c r="I127" i="36"/>
  <c r="I78" i="36"/>
  <c r="I39" i="36"/>
  <c r="I115" i="36"/>
  <c r="I170" i="36"/>
  <c r="I213" i="36"/>
  <c r="I190" i="36"/>
  <c r="I163" i="36"/>
  <c r="I291" i="36"/>
  <c r="I259" i="36"/>
  <c r="I210" i="36"/>
  <c r="I206" i="36"/>
  <c r="I191" i="36"/>
  <c r="I182" i="36"/>
  <c r="I214" i="36"/>
  <c r="I203" i="36"/>
  <c r="I140" i="36"/>
  <c r="I209" i="36"/>
  <c r="I157" i="36"/>
  <c r="I150" i="36"/>
  <c r="I146" i="36"/>
  <c r="I94" i="36"/>
  <c r="I65" i="36"/>
  <c r="I125" i="36"/>
  <c r="I58" i="36"/>
  <c r="I117" i="36"/>
  <c r="I86" i="36"/>
  <c r="I81" i="36"/>
  <c r="I91" i="36"/>
  <c r="I54" i="36"/>
  <c r="I284" i="36"/>
  <c r="I239" i="36"/>
  <c r="I254" i="36"/>
  <c r="I315" i="36"/>
  <c r="I283" i="36"/>
  <c r="I197" i="36"/>
  <c r="I183" i="36"/>
  <c r="I261" i="36"/>
  <c r="I258" i="36"/>
  <c r="I238" i="36"/>
  <c r="I237" i="36"/>
  <c r="I234" i="36"/>
  <c r="I194" i="36"/>
  <c r="I126" i="36"/>
  <c r="I262" i="36"/>
  <c r="I187" i="36"/>
  <c r="I158" i="36"/>
  <c r="I174" i="36"/>
  <c r="I130" i="36"/>
  <c r="I141" i="36"/>
  <c r="I57" i="36"/>
  <c r="I142" i="36"/>
  <c r="I116" i="36"/>
  <c r="I43" i="36"/>
  <c r="I267" i="36"/>
  <c r="I223" i="36"/>
  <c r="I162" i="36"/>
  <c r="I274" i="36"/>
  <c r="I199" i="36"/>
  <c r="I225" i="36"/>
  <c r="I177" i="36"/>
  <c r="I307" i="36"/>
  <c r="I202" i="36"/>
  <c r="I166" i="36"/>
  <c r="I251" i="36"/>
  <c r="I242" i="36"/>
  <c r="I186" i="36"/>
  <c r="I222" i="36"/>
  <c r="I243" i="36"/>
  <c r="I226" i="36"/>
  <c r="I178" i="36"/>
  <c r="I154" i="36"/>
  <c r="I149" i="36"/>
  <c r="I113" i="36"/>
  <c r="I108" i="36"/>
  <c r="I63" i="36"/>
  <c r="I300" i="36"/>
  <c r="I246" i="36"/>
  <c r="I230" i="36"/>
  <c r="I299" i="36"/>
  <c r="I263" i="36"/>
  <c r="I235" i="36"/>
  <c r="I155" i="36"/>
  <c r="I276" i="36"/>
  <c r="I269" i="36"/>
  <c r="I218" i="36"/>
  <c r="I231" i="36"/>
  <c r="I175" i="36"/>
  <c r="I250" i="36"/>
  <c r="I137" i="36"/>
  <c r="I268" i="36"/>
  <c r="I215" i="36"/>
  <c r="I198" i="36"/>
  <c r="I167" i="36"/>
  <c r="I133" i="36"/>
  <c r="I144" i="36"/>
  <c r="I105" i="36"/>
  <c r="I97" i="36"/>
  <c r="I85" i="36"/>
  <c r="I109" i="36"/>
  <c r="I98" i="36"/>
  <c r="I89" i="36"/>
  <c r="I112" i="36"/>
  <c r="I129" i="36"/>
  <c r="I121" i="36"/>
  <c r="I96" i="36"/>
  <c r="I69" i="36"/>
  <c r="I30" i="36"/>
  <c r="I37" i="36"/>
  <c r="I33" i="36"/>
  <c r="I73" i="36"/>
  <c r="I48" i="36"/>
  <c r="I18" i="36"/>
  <c r="I101" i="36"/>
  <c r="I61" i="36"/>
  <c r="I110" i="36"/>
  <c r="I41" i="36"/>
  <c r="I29" i="36"/>
  <c r="I53" i="36"/>
  <c r="I45" i="36"/>
  <c r="I40" i="36"/>
  <c r="I21" i="36"/>
  <c r="I14" i="36"/>
  <c r="I90" i="36"/>
  <c r="I26" i="36"/>
  <c r="I38" i="36"/>
  <c r="I22" i="36"/>
  <c r="I13" i="36"/>
  <c r="I10" i="36"/>
  <c r="I77" i="36"/>
  <c r="I93" i="36"/>
  <c r="I132" i="36"/>
  <c r="I104" i="36"/>
  <c r="I124" i="36"/>
  <c r="I68" i="36"/>
  <c r="I25" i="36"/>
  <c r="I56" i="36"/>
  <c r="I76" i="36"/>
  <c r="I17" i="36"/>
  <c r="I49" i="36"/>
  <c r="I36" i="36"/>
  <c r="F152" i="36"/>
  <c r="F287" i="36"/>
  <c r="F209" i="36"/>
  <c r="F164" i="36"/>
  <c r="F88" i="36"/>
  <c r="F252" i="36"/>
  <c r="F214" i="36"/>
  <c r="F197" i="36"/>
  <c r="F97" i="36"/>
  <c r="F49" i="36"/>
  <c r="F237" i="36"/>
  <c r="F194" i="36"/>
  <c r="F158" i="36"/>
  <c r="F306" i="36"/>
  <c r="F220" i="36"/>
  <c r="F176" i="36"/>
  <c r="F160" i="36"/>
  <c r="F136" i="36"/>
  <c r="F120" i="36"/>
  <c r="F312" i="36"/>
  <c r="F125" i="36"/>
  <c r="F93" i="36"/>
  <c r="F45" i="36"/>
  <c r="F25" i="36"/>
  <c r="F313" i="36"/>
  <c r="F233" i="36"/>
  <c r="F297" i="36"/>
  <c r="F201" i="36"/>
  <c r="F132" i="36"/>
  <c r="F270" i="36"/>
  <c r="F257" i="36"/>
  <c r="F173" i="36"/>
  <c r="F137" i="36"/>
  <c r="F41" i="36"/>
  <c r="F245" i="36"/>
  <c r="F226" i="36"/>
  <c r="F91" i="36"/>
  <c r="F256" i="36"/>
  <c r="F222" i="36"/>
  <c r="F150" i="36"/>
  <c r="F185" i="36"/>
  <c r="F165" i="36"/>
  <c r="F69" i="36"/>
  <c r="F37" i="36"/>
  <c r="F304" i="36"/>
  <c r="F288" i="36"/>
  <c r="F275" i="36"/>
  <c r="F10" i="36"/>
  <c r="F254" i="36"/>
  <c r="F238" i="36"/>
  <c r="F218" i="36"/>
  <c r="F149" i="36"/>
  <c r="F11" i="36"/>
  <c r="F208" i="36"/>
  <c r="F67" i="36"/>
  <c r="F99" i="36"/>
  <c r="F96" i="36"/>
  <c r="F75" i="36"/>
  <c r="F202" i="36"/>
  <c r="F172" i="36"/>
  <c r="F286" i="36"/>
  <c r="F103" i="36"/>
  <c r="F34" i="36"/>
  <c r="F24" i="36"/>
  <c r="F83" i="36"/>
  <c r="F77" i="36"/>
  <c r="F198" i="36"/>
  <c r="F305" i="36"/>
  <c r="F224" i="36"/>
  <c r="F184" i="36"/>
  <c r="F53" i="36"/>
  <c r="F52" i="36"/>
  <c r="F135" i="36"/>
  <c r="F311" i="36"/>
  <c r="F51" i="36"/>
  <c r="F19" i="36"/>
  <c r="F156" i="36"/>
  <c r="F113" i="36"/>
  <c r="F12" i="36"/>
  <c r="F71" i="36"/>
  <c r="F115" i="36"/>
  <c r="F192" i="36"/>
  <c r="F278" i="36"/>
  <c r="F232" i="36"/>
  <c r="F212" i="36"/>
  <c r="F162" i="36"/>
  <c r="F123" i="36"/>
  <c r="F76" i="36"/>
  <c r="F59" i="36"/>
  <c r="F153" i="36"/>
  <c r="F32" i="36"/>
  <c r="F20" i="36"/>
  <c r="F299" i="36"/>
  <c r="F73" i="36"/>
  <c r="F188" i="36"/>
  <c r="F310" i="36"/>
  <c r="F36" i="36"/>
  <c r="F240" i="36"/>
  <c r="F200" i="36"/>
  <c r="F250" i="36"/>
  <c r="F315" i="36"/>
  <c r="F303" i="36"/>
  <c r="F111" i="36"/>
  <c r="F55" i="36"/>
  <c r="F271" i="36"/>
  <c r="F131" i="36"/>
  <c r="F272" i="36"/>
  <c r="F143" i="36"/>
  <c r="F35" i="36"/>
  <c r="F221" i="36"/>
  <c r="F196" i="36"/>
  <c r="F144" i="36"/>
  <c r="F87" i="36"/>
  <c r="F174" i="36"/>
  <c r="F262" i="36"/>
  <c r="F21" i="36"/>
  <c r="F296" i="36"/>
  <c r="F216" i="36"/>
  <c r="F273" i="36"/>
  <c r="F258" i="36"/>
  <c r="F180" i="36"/>
  <c r="F281" i="36"/>
  <c r="F249" i="36"/>
  <c r="F139" i="36"/>
  <c r="F309" i="36"/>
  <c r="F264" i="36"/>
  <c r="F236" i="36"/>
  <c r="F182" i="36"/>
  <c r="F280" i="36"/>
  <c r="F178" i="36"/>
  <c r="F291" i="36"/>
  <c r="F244" i="36"/>
  <c r="F161" i="36"/>
  <c r="F119" i="36"/>
  <c r="F13" i="36"/>
  <c r="F104" i="36"/>
  <c r="F279" i="36"/>
  <c r="F277" i="36"/>
  <c r="F261" i="36"/>
  <c r="F294" i="36"/>
  <c r="F314" i="36"/>
  <c r="F266" i="36"/>
  <c r="F229" i="36"/>
  <c r="F285" i="36"/>
  <c r="F204" i="36"/>
  <c r="F295" i="36"/>
  <c r="F293" i="36"/>
  <c r="F205" i="36"/>
  <c r="F268" i="36"/>
  <c r="F117" i="36"/>
  <c r="F80" i="36"/>
  <c r="F28" i="36"/>
  <c r="F47" i="36"/>
  <c r="F81" i="36"/>
  <c r="F48" i="36"/>
  <c r="F121" i="36"/>
  <c r="F225" i="36"/>
  <c r="F168" i="36"/>
  <c r="F301" i="36"/>
  <c r="F248" i="36"/>
  <c r="F228" i="36"/>
  <c r="F302" i="36"/>
  <c r="F283" i="36"/>
  <c r="F189" i="36"/>
  <c r="F242" i="36"/>
  <c r="F181" i="36"/>
  <c r="F260" i="36"/>
  <c r="F267" i="36"/>
  <c r="F289" i="36"/>
  <c r="F148" i="36"/>
  <c r="F127" i="36"/>
  <c r="F128" i="36"/>
  <c r="F107" i="36"/>
  <c r="F100" i="36"/>
  <c r="F63" i="36"/>
  <c r="F33" i="36"/>
  <c r="F56" i="36"/>
  <c r="F253" i="36"/>
  <c r="F17" i="36"/>
  <c r="F129" i="36"/>
  <c r="F246" i="36"/>
  <c r="F170" i="36"/>
  <c r="F298" i="36"/>
  <c r="F282" i="36"/>
  <c r="F251" i="36"/>
  <c r="F247" i="36"/>
  <c r="F231" i="36"/>
  <c r="F175" i="36"/>
  <c r="F227" i="36"/>
  <c r="F163" i="36"/>
  <c r="F284" i="36"/>
  <c r="F193" i="36"/>
  <c r="F213" i="36"/>
  <c r="F140" i="36"/>
  <c r="F265" i="36"/>
  <c r="F169" i="36"/>
  <c r="F155" i="36"/>
  <c r="F263" i="36"/>
  <c r="F186" i="36"/>
  <c r="F215" i="36"/>
  <c r="F167" i="36"/>
  <c r="F255" i="36"/>
  <c r="F133" i="36"/>
  <c r="F130" i="36"/>
  <c r="F58" i="36"/>
  <c r="F101" i="36"/>
  <c r="F85" i="36"/>
  <c r="F60" i="36"/>
  <c r="F44" i="36"/>
  <c r="F109" i="36"/>
  <c r="F79" i="36"/>
  <c r="F16" i="36"/>
  <c r="F190" i="36"/>
  <c r="F276" i="36"/>
  <c r="F177" i="36"/>
  <c r="F308" i="36"/>
  <c r="F274" i="36"/>
  <c r="F207" i="36"/>
  <c r="F206" i="36"/>
  <c r="F223" i="36"/>
  <c r="F211" i="36"/>
  <c r="F203" i="36"/>
  <c r="F230" i="36"/>
  <c r="F243" i="36"/>
  <c r="F179" i="36"/>
  <c r="F151" i="36"/>
  <c r="F126" i="36"/>
  <c r="F219" i="36"/>
  <c r="F171" i="36"/>
  <c r="F106" i="36"/>
  <c r="F29" i="36"/>
  <c r="F43" i="36"/>
  <c r="F154" i="36"/>
  <c r="F290" i="36"/>
  <c r="F300" i="36"/>
  <c r="F217" i="36"/>
  <c r="F210" i="36"/>
  <c r="F269" i="36"/>
  <c r="F199" i="36"/>
  <c r="F183" i="36"/>
  <c r="F259" i="36"/>
  <c r="F235" i="36"/>
  <c r="F159" i="36"/>
  <c r="F195" i="36"/>
  <c r="F95" i="36"/>
  <c r="F27" i="36"/>
  <c r="F141" i="36"/>
  <c r="F84" i="36"/>
  <c r="F145" i="36"/>
  <c r="F147" i="36"/>
  <c r="F116" i="36"/>
  <c r="F39" i="36"/>
  <c r="F124" i="36"/>
  <c r="F239" i="36"/>
  <c r="F292" i="36"/>
  <c r="F191" i="36"/>
  <c r="F166" i="36"/>
  <c r="F307" i="36"/>
  <c r="F241" i="36"/>
  <c r="F234" i="36"/>
  <c r="F157" i="36"/>
  <c r="F187" i="36"/>
  <c r="F146" i="36"/>
  <c r="F134" i="36"/>
  <c r="F57" i="36"/>
  <c r="F65" i="36"/>
  <c r="F108" i="36"/>
  <c r="F110" i="36"/>
  <c r="F102" i="36"/>
  <c r="F78" i="36"/>
  <c r="F94" i="36"/>
  <c r="F90" i="36"/>
  <c r="F122" i="36"/>
  <c r="F114" i="36"/>
  <c r="F105" i="36"/>
  <c r="F74" i="36"/>
  <c r="F70" i="36"/>
  <c r="F40" i="36"/>
  <c r="F31" i="36"/>
  <c r="F15" i="36"/>
  <c r="F9" i="36"/>
  <c r="F98" i="36"/>
  <c r="F26" i="36"/>
  <c r="F38" i="36"/>
  <c r="F22" i="36"/>
  <c r="F14" i="36"/>
  <c r="F118" i="36"/>
  <c r="F92" i="36"/>
  <c r="F86" i="36"/>
  <c r="F72" i="36"/>
  <c r="F61" i="36"/>
  <c r="F142" i="36"/>
  <c r="F112" i="36"/>
  <c r="F54" i="36"/>
  <c r="F62" i="36"/>
  <c r="F46" i="36"/>
  <c r="F50" i="36"/>
  <c r="F42" i="36"/>
  <c r="F23" i="36"/>
  <c r="F68" i="36"/>
  <c r="F138" i="36"/>
  <c r="F89" i="36"/>
  <c r="F82" i="36"/>
  <c r="F64" i="36"/>
  <c r="F30" i="36"/>
  <c r="F66" i="36"/>
  <c r="F18" i="36"/>
  <c r="G200" i="36"/>
  <c r="G221" i="36"/>
  <c r="G257" i="36"/>
  <c r="G273" i="36"/>
  <c r="G235" i="36"/>
  <c r="G144" i="36"/>
  <c r="G124" i="36"/>
  <c r="G72" i="36"/>
  <c r="G56" i="36"/>
  <c r="G181" i="36"/>
  <c r="G65" i="36"/>
  <c r="G29" i="36"/>
  <c r="G253" i="36"/>
  <c r="G178" i="36"/>
  <c r="G86" i="36"/>
  <c r="G301" i="36"/>
  <c r="G234" i="36"/>
  <c r="G192" i="36"/>
  <c r="G100" i="36"/>
  <c r="G68" i="36"/>
  <c r="G36" i="36"/>
  <c r="G24" i="36"/>
  <c r="G258" i="36"/>
  <c r="G193" i="36"/>
  <c r="G177" i="36"/>
  <c r="G157" i="36"/>
  <c r="G61" i="36"/>
  <c r="G217" i="36"/>
  <c r="G208" i="36"/>
  <c r="G265" i="36"/>
  <c r="G227" i="36"/>
  <c r="G188" i="36"/>
  <c r="G156" i="36"/>
  <c r="G96" i="36"/>
  <c r="G80" i="36"/>
  <c r="G48" i="36"/>
  <c r="G121" i="36"/>
  <c r="G73" i="36"/>
  <c r="G21" i="36"/>
  <c r="G279" i="36"/>
  <c r="G229" i="36"/>
  <c r="G170" i="36"/>
  <c r="G146" i="36"/>
  <c r="G110" i="36"/>
  <c r="G277" i="36"/>
  <c r="G261" i="36"/>
  <c r="G239" i="36"/>
  <c r="G117" i="36"/>
  <c r="G85" i="36"/>
  <c r="G53" i="36"/>
  <c r="G241" i="36"/>
  <c r="G225" i="36"/>
  <c r="G122" i="36"/>
  <c r="G74" i="36"/>
  <c r="G216" i="36"/>
  <c r="G243" i="36"/>
  <c r="G195" i="36"/>
  <c r="G135" i="36"/>
  <c r="G226" i="36"/>
  <c r="G58" i="36"/>
  <c r="G129" i="36"/>
  <c r="G296" i="36"/>
  <c r="G67" i="36"/>
  <c r="G248" i="36"/>
  <c r="G173" i="36"/>
  <c r="G272" i="36"/>
  <c r="G256" i="36"/>
  <c r="G99" i="36"/>
  <c r="G41" i="36"/>
  <c r="G76" i="36"/>
  <c r="G137" i="36"/>
  <c r="G255" i="36"/>
  <c r="G262" i="36"/>
  <c r="G197" i="36"/>
  <c r="G139" i="36"/>
  <c r="G52" i="36"/>
  <c r="G23" i="36"/>
  <c r="G14" i="36"/>
  <c r="G309" i="36"/>
  <c r="G154" i="36"/>
  <c r="G75" i="36"/>
  <c r="G164" i="36"/>
  <c r="G59" i="36"/>
  <c r="G19" i="36"/>
  <c r="G240" i="36"/>
  <c r="G158" i="36"/>
  <c r="G134" i="36"/>
  <c r="G43" i="36"/>
  <c r="G11" i="36"/>
  <c r="G171" i="36"/>
  <c r="G83" i="36"/>
  <c r="G287" i="36"/>
  <c r="G25" i="36"/>
  <c r="G288" i="36"/>
  <c r="G66" i="36"/>
  <c r="G196" i="36"/>
  <c r="G152" i="36"/>
  <c r="G310" i="36"/>
  <c r="G20" i="36"/>
  <c r="G27" i="36"/>
  <c r="G194" i="36"/>
  <c r="G116" i="36"/>
  <c r="G224" i="36"/>
  <c r="G35" i="36"/>
  <c r="G34" i="36"/>
  <c r="G153" i="36"/>
  <c r="G18" i="36"/>
  <c r="G303" i="36"/>
  <c r="G267" i="36"/>
  <c r="G286" i="36"/>
  <c r="G12" i="36"/>
  <c r="G215" i="36"/>
  <c r="G136" i="36"/>
  <c r="G44" i="36"/>
  <c r="G305" i="36"/>
  <c r="G302" i="36"/>
  <c r="G264" i="36"/>
  <c r="G222" i="36"/>
  <c r="G138" i="36"/>
  <c r="G271" i="36"/>
  <c r="G161" i="36"/>
  <c r="G89" i="36"/>
  <c r="G62" i="36"/>
  <c r="G120" i="36"/>
  <c r="G312" i="36"/>
  <c r="G131" i="36"/>
  <c r="G278" i="36"/>
  <c r="G168" i="36"/>
  <c r="G244" i="36"/>
  <c r="G297" i="36"/>
  <c r="G212" i="36"/>
  <c r="G207" i="36"/>
  <c r="G285" i="36"/>
  <c r="G294" i="36"/>
  <c r="G167" i="36"/>
  <c r="G252" i="36"/>
  <c r="G219" i="36"/>
  <c r="G198" i="36"/>
  <c r="G149" i="36"/>
  <c r="G16" i="36"/>
  <c r="G270" i="36"/>
  <c r="G187" i="36"/>
  <c r="G220" i="36"/>
  <c r="G201" i="36"/>
  <c r="G180" i="36"/>
  <c r="G266" i="36"/>
  <c r="G246" i="36"/>
  <c r="G204" i="36"/>
  <c r="G176" i="36"/>
  <c r="G186" i="36"/>
  <c r="G172" i="36"/>
  <c r="G237" i="36"/>
  <c r="G143" i="36"/>
  <c r="G103" i="36"/>
  <c r="G47" i="36"/>
  <c r="G39" i="36"/>
  <c r="G145" i="36"/>
  <c r="G166" i="36"/>
  <c r="G260" i="36"/>
  <c r="G280" i="36"/>
  <c r="G228" i="36"/>
  <c r="G295" i="36"/>
  <c r="G249" i="36"/>
  <c r="G242" i="36"/>
  <c r="G232" i="36"/>
  <c r="G263" i="36"/>
  <c r="G191" i="36"/>
  <c r="G304" i="36"/>
  <c r="G148" i="36"/>
  <c r="G141" i="36"/>
  <c r="G107" i="36"/>
  <c r="G127" i="36"/>
  <c r="G82" i="36"/>
  <c r="G28" i="36"/>
  <c r="G128" i="36"/>
  <c r="G45" i="36"/>
  <c r="G95" i="36"/>
  <c r="G49" i="36"/>
  <c r="G147" i="36"/>
  <c r="G33" i="36"/>
  <c r="G13" i="36"/>
  <c r="G236" i="36"/>
  <c r="G233" i="36"/>
  <c r="G184" i="36"/>
  <c r="G160" i="36"/>
  <c r="G206" i="36"/>
  <c r="G313" i="36"/>
  <c r="G293" i="36"/>
  <c r="G268" i="36"/>
  <c r="G311" i="36"/>
  <c r="G250" i="36"/>
  <c r="G205" i="36"/>
  <c r="G210" i="36"/>
  <c r="G174" i="36"/>
  <c r="G119" i="36"/>
  <c r="G42" i="36"/>
  <c r="G109" i="36"/>
  <c r="G63" i="36"/>
  <c r="G92" i="36"/>
  <c r="G17" i="36"/>
  <c r="G31" i="36"/>
  <c r="G142" i="36"/>
  <c r="G15" i="36"/>
  <c r="G123" i="36"/>
  <c r="G115" i="36"/>
  <c r="G10" i="36"/>
  <c r="G314" i="36"/>
  <c r="G298" i="36"/>
  <c r="G282" i="36"/>
  <c r="G91" i="36"/>
  <c r="G71" i="36"/>
  <c r="G102" i="36"/>
  <c r="G79" i="36"/>
  <c r="G162" i="36"/>
  <c r="G300" i="36"/>
  <c r="G218" i="36"/>
  <c r="G202" i="36"/>
  <c r="G183" i="36"/>
  <c r="G274" i="36"/>
  <c r="G259" i="36"/>
  <c r="G254" i="36"/>
  <c r="G185" i="36"/>
  <c r="G130" i="36"/>
  <c r="G57" i="36"/>
  <c r="G93" i="36"/>
  <c r="G88" i="36"/>
  <c r="G113" i="36"/>
  <c r="G69" i="36"/>
  <c r="G32" i="36"/>
  <c r="G55" i="36"/>
  <c r="G306" i="36"/>
  <c r="G276" i="36"/>
  <c r="G231" i="36"/>
  <c r="G223" i="36"/>
  <c r="G175" i="36"/>
  <c r="G308" i="36"/>
  <c r="G214" i="36"/>
  <c r="G182" i="36"/>
  <c r="G140" i="36"/>
  <c r="G315" i="36"/>
  <c r="G307" i="36"/>
  <c r="G299" i="36"/>
  <c r="G291" i="36"/>
  <c r="G283" i="36"/>
  <c r="G275" i="36"/>
  <c r="G169" i="36"/>
  <c r="G230" i="36"/>
  <c r="G245" i="36"/>
  <c r="G190" i="36"/>
  <c r="G133" i="36"/>
  <c r="G159" i="36"/>
  <c r="G150" i="36"/>
  <c r="G106" i="36"/>
  <c r="G51" i="36"/>
  <c r="G114" i="36"/>
  <c r="G284" i="36"/>
  <c r="G213" i="36"/>
  <c r="G209" i="36"/>
  <c r="G289" i="36"/>
  <c r="G155" i="36"/>
  <c r="G247" i="36"/>
  <c r="G238" i="36"/>
  <c r="G165" i="36"/>
  <c r="G111" i="36"/>
  <c r="G22" i="36"/>
  <c r="G87" i="36"/>
  <c r="G70" i="36"/>
  <c r="G290" i="36"/>
  <c r="G189" i="36"/>
  <c r="G269" i="36"/>
  <c r="G292" i="36"/>
  <c r="G211" i="36"/>
  <c r="G203" i="36"/>
  <c r="G163" i="36"/>
  <c r="G281" i="36"/>
  <c r="G199" i="36"/>
  <c r="G251" i="36"/>
  <c r="G151" i="36"/>
  <c r="G126" i="36"/>
  <c r="G179" i="36"/>
  <c r="G108" i="36"/>
  <c r="G84" i="36"/>
  <c r="G60" i="36"/>
  <c r="G101" i="36"/>
  <c r="G77" i="36"/>
  <c r="G112" i="36"/>
  <c r="G64" i="36"/>
  <c r="G94" i="36"/>
  <c r="G104" i="36"/>
  <c r="G40" i="36"/>
  <c r="G46" i="36"/>
  <c r="G30" i="36"/>
  <c r="G81" i="36"/>
  <c r="G78" i="36"/>
  <c r="G105" i="36"/>
  <c r="G98" i="36"/>
  <c r="G125" i="36"/>
  <c r="G118" i="36"/>
  <c r="G50" i="36"/>
  <c r="G37" i="36"/>
  <c r="G26" i="36"/>
  <c r="G90" i="36"/>
  <c r="G132" i="36"/>
  <c r="G97" i="36"/>
  <c r="G54" i="36"/>
  <c r="G38" i="36"/>
  <c r="G9" i="36"/>
  <c r="J154" i="36"/>
  <c r="J152" i="36"/>
  <c r="J256" i="36"/>
  <c r="J104" i="36"/>
  <c r="J300" i="36"/>
  <c r="J284" i="36"/>
  <c r="J77" i="36"/>
  <c r="J172" i="36"/>
  <c r="J64" i="36"/>
  <c r="J89" i="36"/>
  <c r="J308" i="36"/>
  <c r="J292" i="36"/>
  <c r="J216" i="36"/>
  <c r="J186" i="36"/>
  <c r="J14" i="36"/>
  <c r="J309" i="36"/>
  <c r="J143" i="36"/>
  <c r="J79" i="36"/>
  <c r="J287" i="36"/>
  <c r="J200" i="36"/>
  <c r="J76" i="36"/>
  <c r="J60" i="36"/>
  <c r="J303" i="36"/>
  <c r="J123" i="36"/>
  <c r="J285" i="36"/>
  <c r="J80" i="36"/>
  <c r="J97" i="36"/>
  <c r="J262" i="36"/>
  <c r="J264" i="36"/>
  <c r="J302" i="36"/>
  <c r="J221" i="36"/>
  <c r="J9" i="36"/>
  <c r="J127" i="36"/>
  <c r="J188" i="36"/>
  <c r="J52" i="36"/>
  <c r="J29" i="36"/>
  <c r="J286" i="36"/>
  <c r="J55" i="36"/>
  <c r="J278" i="36"/>
  <c r="J184" i="36"/>
  <c r="J12" i="36"/>
  <c r="J279" i="36"/>
  <c r="J99" i="36"/>
  <c r="J83" i="36"/>
  <c r="J198" i="36"/>
  <c r="J148" i="36"/>
  <c r="J67" i="36"/>
  <c r="J115" i="36"/>
  <c r="J185" i="36"/>
  <c r="J129" i="36"/>
  <c r="J244" i="36"/>
  <c r="J41" i="36"/>
  <c r="J270" i="36"/>
  <c r="J224" i="36"/>
  <c r="J63" i="36"/>
  <c r="J158" i="36"/>
  <c r="J56" i="36"/>
  <c r="J209" i="36"/>
  <c r="J119" i="36"/>
  <c r="J120" i="36"/>
  <c r="J226" i="36"/>
  <c r="J103" i="36"/>
  <c r="J73" i="36"/>
  <c r="J293" i="36"/>
  <c r="J139" i="36"/>
  <c r="J121" i="36"/>
  <c r="J310" i="36"/>
  <c r="J202" i="36"/>
  <c r="J160" i="36"/>
  <c r="J240" i="36"/>
  <c r="J161" i="36"/>
  <c r="J93" i="36"/>
  <c r="J59" i="36"/>
  <c r="J301" i="36"/>
  <c r="J277" i="36"/>
  <c r="J125" i="36"/>
  <c r="J131" i="36"/>
  <c r="J28" i="36"/>
  <c r="J271" i="36"/>
  <c r="J51" i="36"/>
  <c r="J196" i="36"/>
  <c r="J132" i="36"/>
  <c r="J91" i="36"/>
  <c r="J165" i="36"/>
  <c r="J156" i="36"/>
  <c r="J135" i="36"/>
  <c r="J43" i="36"/>
  <c r="J20" i="36"/>
  <c r="J35" i="36"/>
  <c r="J220" i="36"/>
  <c r="J109" i="36"/>
  <c r="J53" i="36"/>
  <c r="J233" i="36"/>
  <c r="J182" i="36"/>
  <c r="J206" i="36"/>
  <c r="J268" i="36"/>
  <c r="J263" i="36"/>
  <c r="J204" i="36"/>
  <c r="J181" i="36"/>
  <c r="J248" i="36"/>
  <c r="J189" i="36"/>
  <c r="J205" i="36"/>
  <c r="J162" i="36"/>
  <c r="J145" i="36"/>
  <c r="J57" i="36"/>
  <c r="J141" i="36"/>
  <c r="J45" i="36"/>
  <c r="J146" i="36"/>
  <c r="J252" i="36"/>
  <c r="J212" i="36"/>
  <c r="J193" i="36"/>
  <c r="J236" i="36"/>
  <c r="J261" i="36"/>
  <c r="J192" i="36"/>
  <c r="J149" i="36"/>
  <c r="J111" i="36"/>
  <c r="J294" i="36"/>
  <c r="J232" i="36"/>
  <c r="J168" i="36"/>
  <c r="J249" i="36"/>
  <c r="J201" i="36"/>
  <c r="J260" i="36"/>
  <c r="J311" i="36"/>
  <c r="J208" i="36"/>
  <c r="J88" i="36"/>
  <c r="J92" i="36"/>
  <c r="J71" i="36"/>
  <c r="J113" i="36"/>
  <c r="J16" i="36"/>
  <c r="J13" i="36"/>
  <c r="J116" i="36"/>
  <c r="J107" i="36"/>
  <c r="J305" i="36"/>
  <c r="J289" i="36"/>
  <c r="J166" i="36"/>
  <c r="J180" i="36"/>
  <c r="J178" i="36"/>
  <c r="J266" i="36"/>
  <c r="J272" i="36"/>
  <c r="J176" i="36"/>
  <c r="J164" i="36"/>
  <c r="J295" i="36"/>
  <c r="J228" i="36"/>
  <c r="J25" i="36"/>
  <c r="J69" i="36"/>
  <c r="J48" i="36"/>
  <c r="J32" i="36"/>
  <c r="J49" i="36"/>
  <c r="J174" i="36"/>
  <c r="J136" i="36"/>
  <c r="J87" i="36"/>
  <c r="J75" i="36"/>
  <c r="J44" i="36"/>
  <c r="J128" i="36"/>
  <c r="J47" i="36"/>
  <c r="J297" i="36"/>
  <c r="J275" i="36"/>
  <c r="J253" i="36"/>
  <c r="J213" i="36"/>
  <c r="J291" i="36"/>
  <c r="J304" i="36"/>
  <c r="J280" i="36"/>
  <c r="J241" i="36"/>
  <c r="J234" i="36"/>
  <c r="J207" i="36"/>
  <c r="J223" i="36"/>
  <c r="J230" i="36"/>
  <c r="J276" i="36"/>
  <c r="J187" i="36"/>
  <c r="J151" i="36"/>
  <c r="J126" i="36"/>
  <c r="J222" i="36"/>
  <c r="J194" i="36"/>
  <c r="J173" i="36"/>
  <c r="J108" i="36"/>
  <c r="J65" i="36"/>
  <c r="J105" i="36"/>
  <c r="J39" i="36"/>
  <c r="J24" i="36"/>
  <c r="J246" i="36"/>
  <c r="J251" i="36"/>
  <c r="J299" i="36"/>
  <c r="J227" i="36"/>
  <c r="J163" i="36"/>
  <c r="J296" i="36"/>
  <c r="J258" i="36"/>
  <c r="J238" i="36"/>
  <c r="J199" i="36"/>
  <c r="J265" i="36"/>
  <c r="J183" i="36"/>
  <c r="J274" i="36"/>
  <c r="J155" i="36"/>
  <c r="J273" i="36"/>
  <c r="J157" i="36"/>
  <c r="J159" i="36"/>
  <c r="J250" i="36"/>
  <c r="J229" i="36"/>
  <c r="J130" i="36"/>
  <c r="J95" i="36"/>
  <c r="J100" i="36"/>
  <c r="J313" i="36"/>
  <c r="J281" i="36"/>
  <c r="J239" i="36"/>
  <c r="J170" i="36"/>
  <c r="J218" i="36"/>
  <c r="J190" i="36"/>
  <c r="J307" i="36"/>
  <c r="J245" i="36"/>
  <c r="J237" i="36"/>
  <c r="J191" i="36"/>
  <c r="J211" i="36"/>
  <c r="J203" i="36"/>
  <c r="J140" i="36"/>
  <c r="J314" i="36"/>
  <c r="J306" i="36"/>
  <c r="J298" i="36"/>
  <c r="J290" i="36"/>
  <c r="J282" i="36"/>
  <c r="J267" i="36"/>
  <c r="J169" i="36"/>
  <c r="J254" i="36"/>
  <c r="J243" i="36"/>
  <c r="J137" i="36"/>
  <c r="J179" i="36"/>
  <c r="J150" i="36"/>
  <c r="J257" i="36"/>
  <c r="J219" i="36"/>
  <c r="J171" i="36"/>
  <c r="J153" i="36"/>
  <c r="J133" i="36"/>
  <c r="J147" i="36"/>
  <c r="J134" i="36"/>
  <c r="J106" i="36"/>
  <c r="J81" i="36"/>
  <c r="J214" i="36"/>
  <c r="J247" i="36"/>
  <c r="J231" i="36"/>
  <c r="J175" i="36"/>
  <c r="J315" i="36"/>
  <c r="J283" i="36"/>
  <c r="J177" i="36"/>
  <c r="J312" i="36"/>
  <c r="J288" i="36"/>
  <c r="J242" i="36"/>
  <c r="J217" i="36"/>
  <c r="J210" i="36"/>
  <c r="J197" i="36"/>
  <c r="J269" i="36"/>
  <c r="J259" i="36"/>
  <c r="J235" i="36"/>
  <c r="J225" i="36"/>
  <c r="J215" i="36"/>
  <c r="J167" i="36"/>
  <c r="J144" i="36"/>
  <c r="J255" i="36"/>
  <c r="J195" i="36"/>
  <c r="J101" i="36"/>
  <c r="J68" i="36"/>
  <c r="J138" i="36"/>
  <c r="J82" i="36"/>
  <c r="J96" i="36"/>
  <c r="J38" i="36"/>
  <c r="J17" i="36"/>
  <c r="J66" i="36"/>
  <c r="J40" i="36"/>
  <c r="J36" i="36"/>
  <c r="J33" i="36"/>
  <c r="J118" i="36"/>
  <c r="J112" i="36"/>
  <c r="J86" i="36"/>
  <c r="J90" i="36"/>
  <c r="J122" i="36"/>
  <c r="J142" i="36"/>
  <c r="J114" i="36"/>
  <c r="J85" i="36"/>
  <c r="J54" i="36"/>
  <c r="J62" i="36"/>
  <c r="J30" i="36"/>
  <c r="J46" i="36"/>
  <c r="J74" i="36"/>
  <c r="J18" i="36"/>
  <c r="J27" i="36"/>
  <c r="J31" i="36"/>
  <c r="J98" i="36"/>
  <c r="J84" i="36"/>
  <c r="J37" i="36"/>
  <c r="J23" i="36"/>
  <c r="J58" i="36"/>
  <c r="J110" i="36"/>
  <c r="J102" i="36"/>
  <c r="J78" i="36"/>
  <c r="J72" i="36"/>
  <c r="J94" i="36"/>
  <c r="J61" i="36"/>
  <c r="J124" i="36"/>
  <c r="J117" i="36"/>
  <c r="J26" i="36"/>
  <c r="J21" i="36"/>
  <c r="J50" i="36"/>
  <c r="J70" i="36"/>
  <c r="J42" i="36"/>
  <c r="J22" i="36"/>
  <c r="J34" i="36"/>
  <c r="J19" i="36"/>
  <c r="J11" i="36"/>
  <c r="J10" i="36"/>
  <c r="J15" i="36"/>
  <c r="E220" i="36"/>
  <c r="E216" i="36"/>
  <c r="E315" i="36"/>
  <c r="E255" i="36"/>
  <c r="E196" i="36"/>
  <c r="E180" i="36"/>
  <c r="E40" i="36"/>
  <c r="E12" i="36"/>
  <c r="E236" i="36"/>
  <c r="E287" i="36"/>
  <c r="E211" i="36"/>
  <c r="E118" i="36"/>
  <c r="E38" i="36"/>
  <c r="E268" i="36"/>
  <c r="E291" i="36"/>
  <c r="E153" i="36"/>
  <c r="E134" i="36"/>
  <c r="E114" i="36"/>
  <c r="E66" i="36"/>
  <c r="E50" i="36"/>
  <c r="E264" i="36"/>
  <c r="E116" i="36"/>
  <c r="E20" i="36"/>
  <c r="E307" i="36"/>
  <c r="E286" i="36"/>
  <c r="E244" i="36"/>
  <c r="E228" i="36"/>
  <c r="E189" i="36"/>
  <c r="E152" i="36"/>
  <c r="E46" i="36"/>
  <c r="E276" i="36"/>
  <c r="E111" i="36"/>
  <c r="E95" i="36"/>
  <c r="E63" i="36"/>
  <c r="E31" i="36"/>
  <c r="E15" i="36"/>
  <c r="E277" i="36"/>
  <c r="E213" i="36"/>
  <c r="E128" i="36"/>
  <c r="E112" i="36"/>
  <c r="E44" i="36"/>
  <c r="E256" i="36"/>
  <c r="E240" i="36"/>
  <c r="E151" i="36"/>
  <c r="E13" i="36"/>
  <c r="E215" i="36"/>
  <c r="E90" i="36"/>
  <c r="E42" i="36"/>
  <c r="E289" i="36"/>
  <c r="E139" i="36"/>
  <c r="E107" i="36"/>
  <c r="E91" i="36"/>
  <c r="E59" i="36"/>
  <c r="E43" i="36"/>
  <c r="E27" i="36"/>
  <c r="E208" i="36"/>
  <c r="E185" i="36"/>
  <c r="E159" i="36"/>
  <c r="E71" i="36"/>
  <c r="E235" i="36"/>
  <c r="E233" i="36"/>
  <c r="E100" i="36"/>
  <c r="E75" i="36"/>
  <c r="E285" i="36"/>
  <c r="E127" i="36"/>
  <c r="E79" i="36"/>
  <c r="E243" i="36"/>
  <c r="E188" i="36"/>
  <c r="E106" i="36"/>
  <c r="E24" i="36"/>
  <c r="E74" i="36"/>
  <c r="E131" i="36"/>
  <c r="E67" i="36"/>
  <c r="E212" i="36"/>
  <c r="E229" i="36"/>
  <c r="E310" i="36"/>
  <c r="E245" i="36"/>
  <c r="E120" i="36"/>
  <c r="E64" i="36"/>
  <c r="E84" i="36"/>
  <c r="E119" i="36"/>
  <c r="E204" i="36"/>
  <c r="E205" i="36"/>
  <c r="E62" i="36"/>
  <c r="E35" i="36"/>
  <c r="E192" i="36"/>
  <c r="E302" i="36"/>
  <c r="E52" i="36"/>
  <c r="E88" i="36"/>
  <c r="E76" i="36"/>
  <c r="E257" i="36"/>
  <c r="E99" i="36"/>
  <c r="E132" i="36"/>
  <c r="E83" i="36"/>
  <c r="E148" i="36"/>
  <c r="E156" i="36"/>
  <c r="E80" i="36"/>
  <c r="E143" i="36"/>
  <c r="E34" i="36"/>
  <c r="E297" i="36"/>
  <c r="E56" i="36"/>
  <c r="E309" i="36"/>
  <c r="E102" i="36"/>
  <c r="E165" i="36"/>
  <c r="E168" i="36"/>
  <c r="E237" i="36"/>
  <c r="E161" i="36"/>
  <c r="E51" i="36"/>
  <c r="E241" i="36"/>
  <c r="E224" i="36"/>
  <c r="E201" i="36"/>
  <c r="E87" i="36"/>
  <c r="E275" i="36"/>
  <c r="E124" i="36"/>
  <c r="E28" i="36"/>
  <c r="E135" i="36"/>
  <c r="E115" i="36"/>
  <c r="E209" i="36"/>
  <c r="E173" i="36"/>
  <c r="E92" i="36"/>
  <c r="E278" i="36"/>
  <c r="E200" i="36"/>
  <c r="E147" i="36"/>
  <c r="E48" i="36"/>
  <c r="E11" i="36"/>
  <c r="E110" i="36"/>
  <c r="E60" i="36"/>
  <c r="E232" i="36"/>
  <c r="E313" i="36"/>
  <c r="E142" i="36"/>
  <c r="E299" i="36"/>
  <c r="E270" i="36"/>
  <c r="E247" i="36"/>
  <c r="E219" i="36"/>
  <c r="E301" i="36"/>
  <c r="E169" i="36"/>
  <c r="E293" i="36"/>
  <c r="E207" i="36"/>
  <c r="E281" i="36"/>
  <c r="E187" i="36"/>
  <c r="E172" i="36"/>
  <c r="E271" i="36"/>
  <c r="E23" i="36"/>
  <c r="E279" i="36"/>
  <c r="E164" i="36"/>
  <c r="E259" i="36"/>
  <c r="E191" i="36"/>
  <c r="E252" i="36"/>
  <c r="E179" i="36"/>
  <c r="E16" i="36"/>
  <c r="E305" i="36"/>
  <c r="E265" i="36"/>
  <c r="E217" i="36"/>
  <c r="E195" i="36"/>
  <c r="E184" i="36"/>
  <c r="E160" i="36"/>
  <c r="E283" i="36"/>
  <c r="E171" i="36"/>
  <c r="E181" i="36"/>
  <c r="E176" i="36"/>
  <c r="E260" i="36"/>
  <c r="E103" i="36"/>
  <c r="E104" i="36"/>
  <c r="E39" i="36"/>
  <c r="E32" i="36"/>
  <c r="E123" i="36"/>
  <c r="E70" i="36"/>
  <c r="E47" i="36"/>
  <c r="E294" i="36"/>
  <c r="E248" i="36"/>
  <c r="E167" i="36"/>
  <c r="E253" i="36"/>
  <c r="E136" i="36"/>
  <c r="E304" i="36"/>
  <c r="E288" i="36"/>
  <c r="E249" i="36"/>
  <c r="E55" i="36"/>
  <c r="E19" i="36"/>
  <c r="E239" i="36"/>
  <c r="E254" i="36"/>
  <c r="E314" i="36"/>
  <c r="E282" i="36"/>
  <c r="E177" i="36"/>
  <c r="E311" i="36"/>
  <c r="E197" i="36"/>
  <c r="E218" i="36"/>
  <c r="E199" i="36"/>
  <c r="E266" i="36"/>
  <c r="E261" i="36"/>
  <c r="E238" i="36"/>
  <c r="E231" i="36"/>
  <c r="E250" i="36"/>
  <c r="E137" i="36"/>
  <c r="E262" i="36"/>
  <c r="E158" i="36"/>
  <c r="E174" i="36"/>
  <c r="E141" i="36"/>
  <c r="E105" i="36"/>
  <c r="E97" i="36"/>
  <c r="E77" i="36"/>
  <c r="E89" i="36"/>
  <c r="E122" i="36"/>
  <c r="E96" i="36"/>
  <c r="E296" i="36"/>
  <c r="E272" i="36"/>
  <c r="E170" i="36"/>
  <c r="E290" i="36"/>
  <c r="E225" i="36"/>
  <c r="E303" i="36"/>
  <c r="E210" i="36"/>
  <c r="E193" i="36"/>
  <c r="E308" i="36"/>
  <c r="E292" i="36"/>
  <c r="E274" i="36"/>
  <c r="E166" i="36"/>
  <c r="E155" i="36"/>
  <c r="E263" i="36"/>
  <c r="E251" i="36"/>
  <c r="E222" i="36"/>
  <c r="E149" i="36"/>
  <c r="E146" i="36"/>
  <c r="E86" i="36"/>
  <c r="E145" i="36"/>
  <c r="E108" i="36"/>
  <c r="E138" i="36"/>
  <c r="E246" i="36"/>
  <c r="E230" i="36"/>
  <c r="E298" i="36"/>
  <c r="E227" i="36"/>
  <c r="E163" i="36"/>
  <c r="E295" i="36"/>
  <c r="E284" i="36"/>
  <c r="E273" i="36"/>
  <c r="E258" i="36"/>
  <c r="E234" i="36"/>
  <c r="E175" i="36"/>
  <c r="E157" i="36"/>
  <c r="E194" i="36"/>
  <c r="E144" i="36"/>
  <c r="E126" i="36"/>
  <c r="E198" i="36"/>
  <c r="E133" i="36"/>
  <c r="E57" i="36"/>
  <c r="E312" i="36"/>
  <c r="E280" i="36"/>
  <c r="E162" i="36"/>
  <c r="E190" i="36"/>
  <c r="E306" i="36"/>
  <c r="E269" i="36"/>
  <c r="E223" i="36"/>
  <c r="E221" i="36"/>
  <c r="E206" i="36"/>
  <c r="E202" i="36"/>
  <c r="E182" i="36"/>
  <c r="E300" i="36"/>
  <c r="E214" i="36"/>
  <c r="E203" i="36"/>
  <c r="E140" i="36"/>
  <c r="E267" i="36"/>
  <c r="E183" i="36"/>
  <c r="E242" i="36"/>
  <c r="E186" i="36"/>
  <c r="E150" i="36"/>
  <c r="E226" i="36"/>
  <c r="E178" i="36"/>
  <c r="E154" i="36"/>
  <c r="E130" i="36"/>
  <c r="E113" i="36"/>
  <c r="E68" i="36"/>
  <c r="E125" i="36"/>
  <c r="E58" i="36"/>
  <c r="E117" i="36"/>
  <c r="E94" i="36"/>
  <c r="E82" i="36"/>
  <c r="E85" i="36"/>
  <c r="E101" i="36"/>
  <c r="E61" i="36"/>
  <c r="E54" i="36"/>
  <c r="E26" i="36"/>
  <c r="E53" i="36"/>
  <c r="E45" i="36"/>
  <c r="E49" i="36"/>
  <c r="E22" i="36"/>
  <c r="E10" i="36"/>
  <c r="E9" i="36"/>
  <c r="E14" i="36"/>
  <c r="E65" i="36"/>
  <c r="E81" i="36"/>
  <c r="E78" i="36"/>
  <c r="E72" i="36"/>
  <c r="E93" i="36"/>
  <c r="E129" i="36"/>
  <c r="E121" i="36"/>
  <c r="E25" i="36"/>
  <c r="E36" i="36"/>
  <c r="E73" i="36"/>
  <c r="E17" i="36"/>
  <c r="E109" i="36"/>
  <c r="E98" i="36"/>
  <c r="E41" i="36"/>
  <c r="E30" i="36"/>
  <c r="E33" i="36"/>
  <c r="E18" i="36"/>
  <c r="E69" i="36"/>
  <c r="E29" i="36"/>
  <c r="E37" i="36"/>
  <c r="E21" i="36"/>
  <c r="V315" i="42"/>
  <c r="K7" i="13"/>
  <c r="K314" i="13"/>
  <c r="G313" i="11"/>
  <c r="E313" i="49"/>
  <c r="E306" i="49"/>
  <c r="E302" i="49"/>
  <c r="E291" i="49"/>
  <c r="E283" i="49"/>
  <c r="E267" i="49"/>
  <c r="E259" i="49"/>
  <c r="E251" i="49"/>
  <c r="E229" i="49"/>
  <c r="E225" i="49"/>
  <c r="E206" i="49"/>
  <c r="E186" i="49"/>
  <c r="E178" i="49"/>
  <c r="E159" i="49"/>
  <c r="E155" i="49"/>
  <c r="E147" i="49"/>
  <c r="E139" i="49"/>
  <c r="E123" i="49"/>
  <c r="E115" i="49"/>
  <c r="E111" i="49"/>
  <c r="E103" i="49"/>
  <c r="E99" i="49"/>
  <c r="E91" i="49"/>
  <c r="E83" i="49"/>
  <c r="E75" i="49"/>
  <c r="E67" i="49"/>
  <c r="E59" i="49"/>
  <c r="E51" i="49"/>
  <c r="E43" i="49"/>
  <c r="E35" i="49"/>
  <c r="E20" i="49"/>
  <c r="E16" i="49"/>
  <c r="E8" i="49"/>
  <c r="E305" i="49"/>
  <c r="E290" i="49"/>
  <c r="E282" i="49"/>
  <c r="E278" i="49"/>
  <c r="E270" i="49"/>
  <c r="E262" i="49"/>
  <c r="E254" i="49"/>
  <c r="E250" i="49"/>
  <c r="E235" i="49"/>
  <c r="E232" i="49"/>
  <c r="E213" i="49"/>
  <c r="E205" i="49"/>
  <c r="E197" i="49"/>
  <c r="E185" i="49"/>
  <c r="E177" i="49"/>
  <c r="E158" i="49"/>
  <c r="E150" i="49"/>
  <c r="E58" i="49"/>
  <c r="E50" i="49"/>
  <c r="E7" i="49"/>
  <c r="E308" i="49"/>
  <c r="E304" i="49"/>
  <c r="E293" i="49"/>
  <c r="E289" i="49"/>
  <c r="E285" i="49"/>
  <c r="E281" i="49"/>
  <c r="E277" i="49"/>
  <c r="E273" i="49"/>
  <c r="E265" i="49"/>
  <c r="E261" i="49"/>
  <c r="E257" i="49"/>
  <c r="E253" i="49"/>
  <c r="E249" i="49"/>
  <c r="E240" i="49"/>
  <c r="E234" i="49"/>
  <c r="E231" i="49"/>
  <c r="E227" i="49"/>
  <c r="E223" i="49"/>
  <c r="E216" i="49"/>
  <c r="E212" i="49"/>
  <c r="E208" i="49"/>
  <c r="E204" i="49"/>
  <c r="E200" i="49"/>
  <c r="E192" i="49"/>
  <c r="E188" i="49"/>
  <c r="E184" i="49"/>
  <c r="E180" i="49"/>
  <c r="E176" i="49"/>
  <c r="E173" i="49"/>
  <c r="E166" i="49"/>
  <c r="E164" i="49"/>
  <c r="E161" i="49"/>
  <c r="E157" i="49"/>
  <c r="E153" i="49"/>
  <c r="E149" i="49"/>
  <c r="E137" i="49"/>
  <c r="E129" i="49"/>
  <c r="E125" i="49"/>
  <c r="E121" i="49"/>
  <c r="E113" i="49"/>
  <c r="E109" i="49"/>
  <c r="E105" i="49"/>
  <c r="E101" i="49"/>
  <c r="E97" i="49"/>
  <c r="E93" i="49"/>
  <c r="E89" i="49"/>
  <c r="E81" i="49"/>
  <c r="E77" i="49"/>
  <c r="E73" i="49"/>
  <c r="E69" i="49"/>
  <c r="E65" i="49"/>
  <c r="E61" i="49"/>
  <c r="E57" i="49"/>
  <c r="E53" i="49"/>
  <c r="E49" i="49"/>
  <c r="E45" i="49"/>
  <c r="E41" i="49"/>
  <c r="E37" i="49"/>
  <c r="E33" i="49"/>
  <c r="E30" i="49"/>
  <c r="E26" i="49"/>
  <c r="E22" i="49"/>
  <c r="E18" i="49"/>
  <c r="E14" i="49"/>
  <c r="E10" i="49"/>
  <c r="C6" i="25"/>
  <c r="E6" i="49"/>
  <c r="E310" i="49"/>
  <c r="E298" i="49"/>
  <c r="E279" i="49"/>
  <c r="E271" i="49"/>
  <c r="E263" i="49"/>
  <c r="E247" i="49"/>
  <c r="E210" i="49"/>
  <c r="E202" i="49"/>
  <c r="E190" i="49"/>
  <c r="E174" i="49"/>
  <c r="E171" i="49"/>
  <c r="E143" i="49"/>
  <c r="E107" i="49"/>
  <c r="E87" i="49"/>
  <c r="E79" i="49"/>
  <c r="E71" i="49"/>
  <c r="E63" i="49"/>
  <c r="E55" i="49"/>
  <c r="E47" i="49"/>
  <c r="E39" i="49"/>
  <c r="E12" i="49"/>
  <c r="E309" i="49"/>
  <c r="E301" i="49"/>
  <c r="E297" i="49"/>
  <c r="E294" i="49"/>
  <c r="E286" i="49"/>
  <c r="E274" i="49"/>
  <c r="E266" i="49"/>
  <c r="E258" i="49"/>
  <c r="E246" i="49"/>
  <c r="E237" i="49"/>
  <c r="E224" i="49"/>
  <c r="E217" i="49"/>
  <c r="E209" i="49"/>
  <c r="E201" i="49"/>
  <c r="E193" i="49"/>
  <c r="E189" i="49"/>
  <c r="E181" i="49"/>
  <c r="E162" i="49"/>
  <c r="E154" i="49"/>
  <c r="E146" i="49"/>
  <c r="E134" i="49"/>
  <c r="E46" i="49"/>
  <c r="D314" i="49"/>
  <c r="E307" i="49"/>
  <c r="E299" i="49"/>
  <c r="E284" i="49"/>
  <c r="E280" i="49"/>
  <c r="E276" i="49"/>
  <c r="E272" i="49"/>
  <c r="E264" i="49"/>
  <c r="E252" i="49"/>
  <c r="E248" i="49"/>
  <c r="E239" i="49"/>
  <c r="E236" i="49"/>
  <c r="E230" i="49"/>
  <c r="E222" i="49"/>
  <c r="E215" i="49"/>
  <c r="E211" i="49"/>
  <c r="E207" i="49"/>
  <c r="E203" i="49"/>
  <c r="E199" i="49"/>
  <c r="E191" i="49"/>
  <c r="E187" i="49"/>
  <c r="E183" i="49"/>
  <c r="E175" i="49"/>
  <c r="E168" i="49"/>
  <c r="E165" i="49"/>
  <c r="E163" i="49"/>
  <c r="E160" i="49"/>
  <c r="E156" i="49"/>
  <c r="E152" i="49"/>
  <c r="E144" i="49"/>
  <c r="E140" i="49"/>
  <c r="E136" i="49"/>
  <c r="E132" i="49"/>
  <c r="E128" i="49"/>
  <c r="E124" i="49"/>
  <c r="E116" i="49"/>
  <c r="E112" i="49"/>
  <c r="E108" i="49"/>
  <c r="E104" i="49"/>
  <c r="E100" i="49"/>
  <c r="E96" i="49"/>
  <c r="E92" i="49"/>
  <c r="E88" i="49"/>
  <c r="E84" i="49"/>
  <c r="E80" i="49"/>
  <c r="E76" i="49"/>
  <c r="E72" i="49"/>
  <c r="E68" i="49"/>
  <c r="E64" i="49"/>
  <c r="E60" i="49"/>
  <c r="E56" i="49"/>
  <c r="E52" i="49"/>
  <c r="E48" i="49"/>
  <c r="E44" i="49"/>
  <c r="E40" i="49"/>
  <c r="E36" i="49"/>
  <c r="E32" i="49"/>
  <c r="E29" i="49"/>
  <c r="E25" i="49"/>
  <c r="E21" i="49"/>
  <c r="E17" i="49"/>
  <c r="E13" i="49"/>
  <c r="E9" i="49"/>
  <c r="D6" i="25"/>
  <c r="D5" i="33"/>
  <c r="L288" i="13"/>
  <c r="M288" i="13" s="1"/>
  <c r="L256" i="13"/>
  <c r="M256" i="13" s="1"/>
  <c r="L244" i="13"/>
  <c r="M244" i="13" s="1"/>
  <c r="L195" i="13"/>
  <c r="M195" i="13" s="1"/>
  <c r="L179" i="13"/>
  <c r="M179" i="13" s="1"/>
  <c r="L148" i="13"/>
  <c r="M148" i="13" s="1"/>
  <c r="L120" i="13"/>
  <c r="M120" i="13" s="1"/>
  <c r="L295" i="13"/>
  <c r="M295" i="13" s="1"/>
  <c r="L275" i="13"/>
  <c r="M275" i="13" s="1"/>
  <c r="L255" i="13"/>
  <c r="M255" i="13" s="1"/>
  <c r="L242" i="13"/>
  <c r="M242" i="13" s="1"/>
  <c r="L233" i="13"/>
  <c r="M233" i="13" s="1"/>
  <c r="L221" i="13"/>
  <c r="M221" i="13" s="1"/>
  <c r="L214" i="13"/>
  <c r="M214" i="13" s="1"/>
  <c r="L198" i="13"/>
  <c r="M198" i="13" s="1"/>
  <c r="L167" i="13"/>
  <c r="M167" i="13" s="1"/>
  <c r="L151" i="13"/>
  <c r="M151" i="13" s="1"/>
  <c r="L131" i="13"/>
  <c r="M131" i="13" s="1"/>
  <c r="L127" i="13"/>
  <c r="M127" i="13" s="1"/>
  <c r="L119" i="13"/>
  <c r="M119" i="13" s="1"/>
  <c r="L95" i="13"/>
  <c r="M95" i="13" s="1"/>
  <c r="L241" i="13"/>
  <c r="M241" i="13" s="1"/>
  <c r="L228" i="13"/>
  <c r="M228" i="13" s="1"/>
  <c r="L220" i="13"/>
  <c r="M220" i="13" s="1"/>
  <c r="L170" i="13"/>
  <c r="M170" i="13" s="1"/>
  <c r="L138" i="13"/>
  <c r="M138" i="13" s="1"/>
  <c r="L126" i="13"/>
  <c r="M126" i="13" s="1"/>
  <c r="L118" i="13"/>
  <c r="M118" i="13" s="1"/>
  <c r="L110" i="13"/>
  <c r="M110" i="13" s="1"/>
  <c r="L102" i="13"/>
  <c r="M102" i="13" s="1"/>
  <c r="L94" i="13"/>
  <c r="M94" i="13" s="1"/>
  <c r="L86" i="13"/>
  <c r="M86" i="13" s="1"/>
  <c r="L82" i="13"/>
  <c r="M82" i="13" s="1"/>
  <c r="L74" i="13"/>
  <c r="M74" i="13" s="1"/>
  <c r="L66" i="13"/>
  <c r="M66" i="13" s="1"/>
  <c r="L62" i="13"/>
  <c r="M62" i="13" s="1"/>
  <c r="L54" i="13"/>
  <c r="M54" i="13" s="1"/>
  <c r="L38" i="13"/>
  <c r="M38" i="13" s="1"/>
  <c r="L31" i="13"/>
  <c r="M31" i="13" s="1"/>
  <c r="L27" i="13"/>
  <c r="M27" i="13" s="1"/>
  <c r="L23" i="13"/>
  <c r="M23" i="13" s="1"/>
  <c r="L19" i="13"/>
  <c r="M19" i="13" s="1"/>
  <c r="L117" i="13"/>
  <c r="M117" i="13" s="1"/>
  <c r="L85" i="13"/>
  <c r="M85" i="13" s="1"/>
  <c r="B313" i="11"/>
  <c r="L134" i="13"/>
  <c r="M134" i="13" s="1"/>
  <c r="L58" i="13"/>
  <c r="M58" i="13" s="1"/>
  <c r="L50" i="13"/>
  <c r="M50" i="13" s="1"/>
  <c r="L8" i="13"/>
  <c r="M8" i="13" s="1"/>
  <c r="L142" i="13"/>
  <c r="M142" i="13" s="1"/>
  <c r="L130" i="13"/>
  <c r="M130" i="13" s="1"/>
  <c r="L122" i="13"/>
  <c r="M122" i="13" s="1"/>
  <c r="L114" i="13"/>
  <c r="M114" i="13" s="1"/>
  <c r="L106" i="13"/>
  <c r="M106" i="13" s="1"/>
  <c r="L98" i="13"/>
  <c r="M98" i="13" s="1"/>
  <c r="L90" i="13"/>
  <c r="M90" i="13" s="1"/>
  <c r="L78" i="13"/>
  <c r="M78" i="13" s="1"/>
  <c r="L70" i="13"/>
  <c r="M70" i="13" s="1"/>
  <c r="L46" i="13"/>
  <c r="M46" i="13" s="1"/>
  <c r="L42" i="13"/>
  <c r="M42" i="13" s="1"/>
  <c r="L34" i="13"/>
  <c r="M34" i="13" s="1"/>
  <c r="L15" i="13"/>
  <c r="M15" i="13" s="1"/>
  <c r="L11" i="13"/>
  <c r="M11" i="13" s="1"/>
  <c r="Y7" i="19"/>
  <c r="L174" i="13"/>
  <c r="M174" i="13" s="1"/>
  <c r="L271" i="13"/>
  <c r="M271" i="13" s="1"/>
  <c r="L298" i="13"/>
  <c r="M298" i="13" s="1"/>
  <c r="L190" i="13"/>
  <c r="M190" i="13" s="1"/>
  <c r="L67" i="13"/>
  <c r="M67" i="13" s="1"/>
  <c r="L35" i="13"/>
  <c r="M35" i="13" s="1"/>
  <c r="L276" i="13"/>
  <c r="M276" i="13" s="1"/>
  <c r="L248" i="13"/>
  <c r="M248" i="13" s="1"/>
  <c r="L239" i="13"/>
  <c r="M239" i="13" s="1"/>
  <c r="L313" i="13"/>
  <c r="M313" i="13" s="1"/>
  <c r="L306" i="13"/>
  <c r="M306" i="13" s="1"/>
  <c r="L302" i="13"/>
  <c r="M302" i="13" s="1"/>
  <c r="L283" i="13"/>
  <c r="M283" i="13" s="1"/>
  <c r="L259" i="13"/>
  <c r="M259" i="13" s="1"/>
  <c r="L251" i="13"/>
  <c r="M251" i="13" s="1"/>
  <c r="L238" i="13"/>
  <c r="M238" i="13" s="1"/>
  <c r="L225" i="13"/>
  <c r="M225" i="13" s="1"/>
  <c r="L206" i="13"/>
  <c r="M206" i="13" s="1"/>
  <c r="L182" i="13"/>
  <c r="M182" i="13" s="1"/>
  <c r="L171" i="13"/>
  <c r="M171" i="13" s="1"/>
  <c r="L59" i="13"/>
  <c r="M59" i="13" s="1"/>
  <c r="L55" i="13"/>
  <c r="M55" i="13" s="1"/>
  <c r="L47" i="13"/>
  <c r="M47" i="13" s="1"/>
  <c r="L28" i="13"/>
  <c r="M28" i="13" s="1"/>
  <c r="L16" i="13"/>
  <c r="M16" i="13" s="1"/>
  <c r="L247" i="13"/>
  <c r="M247" i="13" s="1"/>
  <c r="L229" i="13"/>
  <c r="M229" i="13" s="1"/>
  <c r="L263" i="13"/>
  <c r="M263" i="13" s="1"/>
  <c r="L310" i="13"/>
  <c r="M310" i="13" s="1"/>
  <c r="L291" i="13"/>
  <c r="M291" i="13" s="1"/>
  <c r="L287" i="13"/>
  <c r="M287" i="13" s="1"/>
  <c r="L279" i="13"/>
  <c r="M279" i="13" s="1"/>
  <c r="L267" i="13"/>
  <c r="M267" i="13" s="1"/>
  <c r="L210" i="13"/>
  <c r="M210" i="13" s="1"/>
  <c r="L202" i="13"/>
  <c r="M202" i="13" s="1"/>
  <c r="L194" i="13"/>
  <c r="M194" i="13" s="1"/>
  <c r="L186" i="13"/>
  <c r="M186" i="13" s="1"/>
  <c r="L43" i="13"/>
  <c r="M43" i="13" s="1"/>
  <c r="L24" i="13"/>
  <c r="M24" i="13" s="1"/>
  <c r="L178" i="13"/>
  <c r="M178" i="13" s="1"/>
  <c r="L161" i="13"/>
  <c r="M161" i="13" s="1"/>
  <c r="L153" i="13"/>
  <c r="M153" i="13" s="1"/>
  <c r="L145" i="13"/>
  <c r="M145" i="13" s="1"/>
  <c r="L137" i="13"/>
  <c r="M137" i="13" s="1"/>
  <c r="L129" i="13"/>
  <c r="M129" i="13" s="1"/>
  <c r="L113" i="13"/>
  <c r="M113" i="13" s="1"/>
  <c r="L105" i="13"/>
  <c r="M105" i="13" s="1"/>
  <c r="L97" i="13"/>
  <c r="M97" i="13" s="1"/>
  <c r="L89" i="13"/>
  <c r="M89" i="13" s="1"/>
  <c r="L81" i="13"/>
  <c r="M81" i="13" s="1"/>
  <c r="L121" i="13"/>
  <c r="M121" i="13" s="1"/>
  <c r="L303" i="13"/>
  <c r="M303" i="13" s="1"/>
  <c r="L157" i="13"/>
  <c r="M157" i="13" s="1"/>
  <c r="L149" i="13"/>
  <c r="M149" i="13" s="1"/>
  <c r="L141" i="13"/>
  <c r="M141" i="13" s="1"/>
  <c r="L133" i="13"/>
  <c r="M133" i="13" s="1"/>
  <c r="L101" i="13"/>
  <c r="M101" i="13" s="1"/>
  <c r="L93" i="13"/>
  <c r="M93" i="13" s="1"/>
  <c r="L77" i="13"/>
  <c r="M77" i="13" s="1"/>
  <c r="L109" i="13"/>
  <c r="M109" i="13" s="1"/>
  <c r="L311" i="13"/>
  <c r="M311" i="13" s="1"/>
  <c r="L307" i="13"/>
  <c r="M307" i="13" s="1"/>
  <c r="L299" i="13"/>
  <c r="M299" i="13" s="1"/>
  <c r="L125" i="13"/>
  <c r="M125" i="13" s="1"/>
  <c r="L284" i="13"/>
  <c r="M284" i="13" s="1"/>
  <c r="L268" i="13"/>
  <c r="M268" i="13" s="1"/>
  <c r="L260" i="13"/>
  <c r="M260" i="13" s="1"/>
  <c r="L252" i="13"/>
  <c r="M252" i="13" s="1"/>
  <c r="L215" i="13"/>
  <c r="M215" i="13" s="1"/>
  <c r="L207" i="13"/>
  <c r="M207" i="13" s="1"/>
  <c r="L191" i="13"/>
  <c r="M191" i="13" s="1"/>
  <c r="L172" i="13"/>
  <c r="M172" i="13" s="1"/>
  <c r="L168" i="13"/>
  <c r="M168" i="13" s="1"/>
  <c r="L163" i="13"/>
  <c r="M163" i="13" s="1"/>
  <c r="L160" i="13"/>
  <c r="M160" i="13" s="1"/>
  <c r="L175" i="13"/>
  <c r="M175" i="13" s="1"/>
  <c r="L292" i="13"/>
  <c r="M292" i="13" s="1"/>
  <c r="L280" i="13"/>
  <c r="M280" i="13" s="1"/>
  <c r="L272" i="13"/>
  <c r="M272" i="13" s="1"/>
  <c r="L264" i="13"/>
  <c r="M264" i="13" s="1"/>
  <c r="L236" i="13"/>
  <c r="M236" i="13" s="1"/>
  <c r="L226" i="13"/>
  <c r="M226" i="13" s="1"/>
  <c r="L219" i="13"/>
  <c r="M219" i="13" s="1"/>
  <c r="L211" i="13"/>
  <c r="M211" i="13" s="1"/>
  <c r="L203" i="13"/>
  <c r="M203" i="13" s="1"/>
  <c r="L187" i="13"/>
  <c r="M187" i="13" s="1"/>
  <c r="L165" i="13"/>
  <c r="M165" i="13" s="1"/>
  <c r="L156" i="13"/>
  <c r="M156" i="13" s="1"/>
  <c r="L199" i="13"/>
  <c r="M199" i="13" s="1"/>
  <c r="L230" i="13"/>
  <c r="M230" i="13" s="1"/>
  <c r="L222" i="13"/>
  <c r="M222" i="13" s="1"/>
  <c r="L183" i="13"/>
  <c r="M183" i="13" s="1"/>
  <c r="L152" i="13"/>
  <c r="M152" i="13" s="1"/>
  <c r="L13" i="13"/>
  <c r="M13" i="13" s="1"/>
  <c r="L20" i="13"/>
  <c r="M20" i="13" s="1"/>
  <c r="L71" i="13"/>
  <c r="M71" i="13" s="1"/>
  <c r="L63" i="13"/>
  <c r="M63" i="13" s="1"/>
  <c r="L51" i="13"/>
  <c r="M51" i="13" s="1"/>
  <c r="K315" i="19"/>
  <c r="E315" i="19"/>
  <c r="H194" i="49"/>
  <c r="I194" i="49" s="1"/>
  <c r="L12" i="13"/>
  <c r="M12" i="13" s="1"/>
  <c r="L39" i="13"/>
  <c r="M39" i="13" s="1"/>
  <c r="H164" i="49"/>
  <c r="H163" i="49"/>
  <c r="L37" i="13"/>
  <c r="M37" i="13" s="1"/>
  <c r="F315" i="19"/>
  <c r="M315" i="19"/>
  <c r="P315" i="19"/>
  <c r="V315" i="19"/>
  <c r="C315" i="19"/>
  <c r="L269" i="13"/>
  <c r="M269" i="13" s="1"/>
  <c r="J315" i="19"/>
  <c r="D5" i="32"/>
  <c r="D313" i="32" s="1"/>
  <c r="Z315" i="19"/>
  <c r="L309" i="13"/>
  <c r="M309" i="13" s="1"/>
  <c r="L301" i="13"/>
  <c r="M301" i="13" s="1"/>
  <c r="L297" i="13"/>
  <c r="M297" i="13" s="1"/>
  <c r="L290" i="13"/>
  <c r="M290" i="13" s="1"/>
  <c r="L286" i="13"/>
  <c r="M286" i="13" s="1"/>
  <c r="L282" i="13"/>
  <c r="M282" i="13" s="1"/>
  <c r="L274" i="13"/>
  <c r="M274" i="13" s="1"/>
  <c r="L270" i="13"/>
  <c r="M270" i="13" s="1"/>
  <c r="L266" i="13"/>
  <c r="M266" i="13" s="1"/>
  <c r="L262" i="13"/>
  <c r="M262" i="13" s="1"/>
  <c r="L254" i="13"/>
  <c r="M254" i="13" s="1"/>
  <c r="L246" i="13"/>
  <c r="M246" i="13" s="1"/>
  <c r="L237" i="13"/>
  <c r="M237" i="13" s="1"/>
  <c r="L232" i="13"/>
  <c r="M232" i="13" s="1"/>
  <c r="L224" i="13"/>
  <c r="M224" i="13" s="1"/>
  <c r="L217" i="13"/>
  <c r="M217" i="13" s="1"/>
  <c r="L201" i="13"/>
  <c r="M201" i="13" s="1"/>
  <c r="L197" i="13"/>
  <c r="M197" i="13" s="1"/>
  <c r="L193" i="13"/>
  <c r="M193" i="13" s="1"/>
  <c r="L185" i="13"/>
  <c r="M185" i="13" s="1"/>
  <c r="L181" i="13"/>
  <c r="M181" i="13" s="1"/>
  <c r="L177" i="13"/>
  <c r="M177" i="13" s="1"/>
  <c r="L159" i="13"/>
  <c r="M159" i="13" s="1"/>
  <c r="L155" i="13"/>
  <c r="M155" i="13" s="1"/>
  <c r="L147" i="13"/>
  <c r="M147" i="13" s="1"/>
  <c r="L144" i="13"/>
  <c r="M144" i="13" s="1"/>
  <c r="L136" i="13"/>
  <c r="M136" i="13" s="1"/>
  <c r="L132" i="13"/>
  <c r="M132" i="13" s="1"/>
  <c r="L128" i="13"/>
  <c r="M128" i="13" s="1"/>
  <c r="L124" i="13"/>
  <c r="M124" i="13" s="1"/>
  <c r="L112" i="13"/>
  <c r="M112" i="13" s="1"/>
  <c r="L108" i="13"/>
  <c r="M108" i="13" s="1"/>
  <c r="L104" i="13"/>
  <c r="M104" i="13" s="1"/>
  <c r="L100" i="13"/>
  <c r="M100" i="13" s="1"/>
  <c r="L96" i="13"/>
  <c r="M96" i="13" s="1"/>
  <c r="L88" i="13"/>
  <c r="M88" i="13" s="1"/>
  <c r="L80" i="13"/>
  <c r="M80" i="13" s="1"/>
  <c r="L69" i="13"/>
  <c r="M69" i="13" s="1"/>
  <c r="L65" i="13"/>
  <c r="M65" i="13" s="1"/>
  <c r="L61" i="13"/>
  <c r="M61" i="13" s="1"/>
  <c r="L57" i="13"/>
  <c r="M57" i="13" s="1"/>
  <c r="L53" i="13"/>
  <c r="M53" i="13" s="1"/>
  <c r="L49" i="13"/>
  <c r="M49" i="13" s="1"/>
  <c r="L45" i="13"/>
  <c r="M45" i="13" s="1"/>
  <c r="L41" i="13"/>
  <c r="M41" i="13" s="1"/>
  <c r="L33" i="13"/>
  <c r="M33" i="13" s="1"/>
  <c r="L30" i="13"/>
  <c r="M30" i="13" s="1"/>
  <c r="L26" i="13"/>
  <c r="M26" i="13" s="1"/>
  <c r="L22" i="13"/>
  <c r="M22" i="13" s="1"/>
  <c r="L18" i="13"/>
  <c r="M18" i="13" s="1"/>
  <c r="L10" i="13"/>
  <c r="M10" i="13" s="1"/>
  <c r="L7" i="13"/>
  <c r="H315" i="19"/>
  <c r="I315" i="19"/>
  <c r="L205" i="13"/>
  <c r="M205" i="13" s="1"/>
  <c r="L84" i="13"/>
  <c r="M84" i="13" s="1"/>
  <c r="AA315" i="19"/>
  <c r="L308" i="13"/>
  <c r="M308" i="13" s="1"/>
  <c r="L300" i="13"/>
  <c r="M300" i="13" s="1"/>
  <c r="L293" i="13"/>
  <c r="M293" i="13" s="1"/>
  <c r="L285" i="13"/>
  <c r="M285" i="13" s="1"/>
  <c r="L277" i="13"/>
  <c r="M277" i="13" s="1"/>
  <c r="L273" i="13"/>
  <c r="M273" i="13" s="1"/>
  <c r="L265" i="13"/>
  <c r="M265" i="13" s="1"/>
  <c r="L257" i="13"/>
  <c r="M257" i="13" s="1"/>
  <c r="L249" i="13"/>
  <c r="M249" i="13" s="1"/>
  <c r="L240" i="13"/>
  <c r="M240" i="13" s="1"/>
  <c r="L234" i="13"/>
  <c r="M234" i="13" s="1"/>
  <c r="L227" i="13"/>
  <c r="M227" i="13" s="1"/>
  <c r="L208" i="13"/>
  <c r="M208" i="13" s="1"/>
  <c r="L196" i="13"/>
  <c r="M196" i="13" s="1"/>
  <c r="L188" i="13"/>
  <c r="M188" i="13" s="1"/>
  <c r="L180" i="13"/>
  <c r="M180" i="13" s="1"/>
  <c r="L176" i="13"/>
  <c r="M176" i="13" s="1"/>
  <c r="L164" i="13"/>
  <c r="M164" i="13" s="1"/>
  <c r="L162" i="13"/>
  <c r="M162" i="13" s="1"/>
  <c r="L154" i="13"/>
  <c r="M154" i="13" s="1"/>
  <c r="L123" i="13"/>
  <c r="M123" i="13" s="1"/>
  <c r="L115" i="13"/>
  <c r="M115" i="13" s="1"/>
  <c r="L107" i="13"/>
  <c r="M107" i="13" s="1"/>
  <c r="L99" i="13"/>
  <c r="M99" i="13" s="1"/>
  <c r="L91" i="13"/>
  <c r="M91" i="13" s="1"/>
  <c r="L75" i="13"/>
  <c r="M75" i="13" s="1"/>
  <c r="L68" i="13"/>
  <c r="M68" i="13" s="1"/>
  <c r="L64" i="13"/>
  <c r="M64" i="13" s="1"/>
  <c r="L56" i="13"/>
  <c r="M56" i="13" s="1"/>
  <c r="L48" i="13"/>
  <c r="M48" i="13" s="1"/>
  <c r="L40" i="13"/>
  <c r="M40" i="13" s="1"/>
  <c r="L36" i="13"/>
  <c r="M36" i="13" s="1"/>
  <c r="L29" i="13"/>
  <c r="M29" i="13" s="1"/>
  <c r="L21" i="13"/>
  <c r="M21" i="13" s="1"/>
  <c r="L9" i="13"/>
  <c r="M9" i="13" s="1"/>
  <c r="D315" i="19"/>
  <c r="H149" i="49"/>
  <c r="H19" i="49"/>
  <c r="I19" i="49" s="1"/>
  <c r="L315" i="19"/>
  <c r="L200" i="13"/>
  <c r="M200" i="13" s="1"/>
  <c r="L212" i="13"/>
  <c r="M212" i="13" s="1"/>
  <c r="L92" i="13"/>
  <c r="M92" i="13" s="1"/>
  <c r="L140" i="13"/>
  <c r="M140" i="13" s="1"/>
  <c r="L76" i="13"/>
  <c r="M76" i="13" s="1"/>
  <c r="L73" i="13"/>
  <c r="M73" i="13" s="1"/>
  <c r="L14" i="13"/>
  <c r="M14" i="13" s="1"/>
  <c r="L305" i="13"/>
  <c r="M305" i="13" s="1"/>
  <c r="L294" i="13"/>
  <c r="M294" i="13" s="1"/>
  <c r="L278" i="13"/>
  <c r="M278" i="13" s="1"/>
  <c r="L250" i="13"/>
  <c r="M250" i="13" s="1"/>
  <c r="L235" i="13"/>
  <c r="M235" i="13" s="1"/>
  <c r="L213" i="13"/>
  <c r="M213" i="13" s="1"/>
  <c r="L209" i="13"/>
  <c r="M209" i="13" s="1"/>
  <c r="L189" i="13"/>
  <c r="M189" i="13" s="1"/>
  <c r="L116" i="13"/>
  <c r="M116" i="13" s="1"/>
  <c r="W315" i="19"/>
  <c r="X315" i="19"/>
  <c r="L312" i="13"/>
  <c r="M312" i="13" s="1"/>
  <c r="L304" i="13"/>
  <c r="M304" i="13" s="1"/>
  <c r="L296" i="13"/>
  <c r="M296" i="13" s="1"/>
  <c r="L289" i="13"/>
  <c r="M289" i="13" s="1"/>
  <c r="L281" i="13"/>
  <c r="M281" i="13" s="1"/>
  <c r="L261" i="13"/>
  <c r="M261" i="13" s="1"/>
  <c r="L253" i="13"/>
  <c r="M253" i="13" s="1"/>
  <c r="L245" i="13"/>
  <c r="M245" i="13" s="1"/>
  <c r="L231" i="13"/>
  <c r="M231" i="13" s="1"/>
  <c r="L223" i="13"/>
  <c r="M223" i="13" s="1"/>
  <c r="L216" i="13"/>
  <c r="M216" i="13" s="1"/>
  <c r="L204" i="13"/>
  <c r="M204" i="13" s="1"/>
  <c r="L192" i="13"/>
  <c r="M192" i="13" s="1"/>
  <c r="L184" i="13"/>
  <c r="M184" i="13" s="1"/>
  <c r="L150" i="13"/>
  <c r="M150" i="13" s="1"/>
  <c r="L143" i="13"/>
  <c r="M143" i="13" s="1"/>
  <c r="L135" i="13"/>
  <c r="M135" i="13" s="1"/>
  <c r="L111" i="13"/>
  <c r="M111" i="13" s="1"/>
  <c r="L103" i="13"/>
  <c r="M103" i="13" s="1"/>
  <c r="L87" i="13"/>
  <c r="M87" i="13" s="1"/>
  <c r="L83" i="13"/>
  <c r="M83" i="13" s="1"/>
  <c r="L72" i="13"/>
  <c r="M72" i="13" s="1"/>
  <c r="L60" i="13"/>
  <c r="M60" i="13" s="1"/>
  <c r="L52" i="13"/>
  <c r="M52" i="13" s="1"/>
  <c r="L44" i="13"/>
  <c r="M44" i="13" s="1"/>
  <c r="L32" i="13"/>
  <c r="M32" i="13" s="1"/>
  <c r="L25" i="13"/>
  <c r="M25" i="13" s="1"/>
  <c r="L258" i="13"/>
  <c r="M258" i="13" s="1"/>
  <c r="L166" i="13"/>
  <c r="M166" i="13" s="1"/>
  <c r="L79" i="13"/>
  <c r="M79" i="13" s="1"/>
  <c r="L17" i="13"/>
  <c r="M17" i="13" s="1"/>
  <c r="L139" i="13"/>
  <c r="M139" i="13" s="1"/>
  <c r="L158" i="13"/>
  <c r="M158" i="13" s="1"/>
  <c r="L173" i="13"/>
  <c r="M173" i="13" s="1"/>
  <c r="L146" i="13"/>
  <c r="M146" i="13" s="1"/>
  <c r="G7" i="19"/>
  <c r="R7" i="19" s="1"/>
  <c r="H106" i="49"/>
  <c r="I106" i="49" s="1"/>
  <c r="H54" i="49"/>
  <c r="I54" i="49" s="1"/>
  <c r="H8" i="49"/>
  <c r="H105" i="49"/>
  <c r="H129" i="49"/>
  <c r="H171" i="49"/>
  <c r="H38" i="49"/>
  <c r="I38" i="49" s="1"/>
  <c r="H287" i="49"/>
  <c r="I287" i="49" s="1"/>
  <c r="H206" i="49"/>
  <c r="H190" i="49"/>
  <c r="H142" i="49"/>
  <c r="I142" i="49" s="1"/>
  <c r="H58" i="49"/>
  <c r="H46" i="49"/>
  <c r="H295" i="49"/>
  <c r="I295" i="49" s="1"/>
  <c r="H230" i="49"/>
  <c r="H229" i="49"/>
  <c r="H225" i="49"/>
  <c r="H205" i="49"/>
  <c r="H162" i="49"/>
  <c r="H125" i="49"/>
  <c r="H113" i="49"/>
  <c r="H89" i="49"/>
  <c r="H86" i="49"/>
  <c r="I86" i="49" s="1"/>
  <c r="H79" i="49"/>
  <c r="H71" i="49"/>
  <c r="H67" i="49"/>
  <c r="H62" i="49"/>
  <c r="I62" i="49" s="1"/>
  <c r="H35" i="49"/>
  <c r="H28" i="49"/>
  <c r="I28" i="49" s="1"/>
  <c r="H13" i="49"/>
  <c r="H11" i="49"/>
  <c r="I11" i="49" s="1"/>
  <c r="H66" i="49"/>
  <c r="I66" i="49" s="1"/>
  <c r="H265" i="49"/>
  <c r="H239" i="49"/>
  <c r="H175" i="49"/>
  <c r="H174" i="49"/>
  <c r="H124" i="49"/>
  <c r="H94" i="49"/>
  <c r="I94" i="49" s="1"/>
  <c r="H84" i="49"/>
  <c r="H83" i="49"/>
  <c r="H82" i="49"/>
  <c r="I82" i="49" s="1"/>
  <c r="H78" i="49"/>
  <c r="I78" i="49" s="1"/>
  <c r="H74" i="49"/>
  <c r="I74" i="49" s="1"/>
  <c r="H70" i="49"/>
  <c r="I70" i="49" s="1"/>
  <c r="H55" i="49"/>
  <c r="H51" i="49"/>
  <c r="H50" i="49"/>
  <c r="H31" i="49"/>
  <c r="I31" i="49" s="1"/>
  <c r="H14" i="49"/>
  <c r="H302" i="49"/>
  <c r="H298" i="49"/>
  <c r="H288" i="49"/>
  <c r="I288" i="49" s="1"/>
  <c r="H272" i="49"/>
  <c r="H264" i="49"/>
  <c r="H247" i="49"/>
  <c r="H238" i="49"/>
  <c r="I238" i="49" s="1"/>
  <c r="H219" i="49"/>
  <c r="I219" i="49" s="1"/>
  <c r="H195" i="49"/>
  <c r="I195" i="49" s="1"/>
  <c r="H156" i="49"/>
  <c r="H138" i="49"/>
  <c r="I138" i="49" s="1"/>
  <c r="H134" i="49"/>
  <c r="H59" i="49"/>
  <c r="H47" i="49"/>
  <c r="H15" i="49"/>
  <c r="I15" i="49" s="1"/>
  <c r="H279" i="49"/>
  <c r="H275" i="49"/>
  <c r="I275" i="49" s="1"/>
  <c r="H258" i="49"/>
  <c r="H234" i="49"/>
  <c r="H222" i="49"/>
  <c r="H182" i="49"/>
  <c r="I182" i="49" s="1"/>
  <c r="H126" i="49"/>
  <c r="I126" i="49" s="1"/>
  <c r="H122" i="49"/>
  <c r="I122" i="49" s="1"/>
  <c r="H118" i="49"/>
  <c r="I118" i="49" s="1"/>
  <c r="H114" i="49"/>
  <c r="I114" i="49" s="1"/>
  <c r="H102" i="49"/>
  <c r="I102" i="49" s="1"/>
  <c r="H90" i="49"/>
  <c r="I90" i="49" s="1"/>
  <c r="H76" i="49"/>
  <c r="H34" i="49"/>
  <c r="I34" i="49" s="1"/>
  <c r="H16" i="49"/>
  <c r="B314" i="25"/>
  <c r="L6" i="13"/>
  <c r="M6" i="13" s="1"/>
  <c r="D8" i="36"/>
  <c r="J8" i="36"/>
  <c r="I8" i="36"/>
  <c r="F8" i="36"/>
  <c r="H8" i="36"/>
  <c r="E8" i="36"/>
  <c r="G8" i="36"/>
  <c r="K257" i="36" l="1"/>
  <c r="F265" i="34" s="1"/>
  <c r="K177" i="36"/>
  <c r="F185" i="34" s="1"/>
  <c r="K157" i="36"/>
  <c r="F165" i="34" s="1"/>
  <c r="K45" i="36"/>
  <c r="F53" i="34" s="1"/>
  <c r="K106" i="36"/>
  <c r="F114" i="34" s="1"/>
  <c r="K286" i="36"/>
  <c r="F294" i="34" s="1"/>
  <c r="K228" i="36"/>
  <c r="F236" i="34" s="1"/>
  <c r="K288" i="36"/>
  <c r="F296" i="34" s="1"/>
  <c r="K67" i="36"/>
  <c r="F75" i="34" s="1"/>
  <c r="K13" i="36"/>
  <c r="F21" i="34" s="1"/>
  <c r="K80" i="36"/>
  <c r="F88" i="34" s="1"/>
  <c r="K25" i="36"/>
  <c r="F33" i="34" s="1"/>
  <c r="K261" i="36"/>
  <c r="F269" i="34" s="1"/>
  <c r="K51" i="36"/>
  <c r="F59" i="34" s="1"/>
  <c r="K197" i="36"/>
  <c r="F205" i="34" s="1"/>
  <c r="K75" i="36"/>
  <c r="F83" i="34" s="1"/>
  <c r="K214" i="36"/>
  <c r="F222" i="34" s="1"/>
  <c r="K300" i="36"/>
  <c r="F308" i="34" s="1"/>
  <c r="K15" i="36"/>
  <c r="F23" i="34" s="1"/>
  <c r="K216" i="36"/>
  <c r="F224" i="34" s="1"/>
  <c r="K179" i="36"/>
  <c r="F187" i="34" s="1"/>
  <c r="K303" i="36"/>
  <c r="F311" i="34" s="1"/>
  <c r="K184" i="36"/>
  <c r="F192" i="34" s="1"/>
  <c r="K164" i="36"/>
  <c r="F172" i="34" s="1"/>
  <c r="K313" i="36"/>
  <c r="F321" i="34" s="1"/>
  <c r="K74" i="36"/>
  <c r="F82" i="34" s="1"/>
  <c r="K200" i="36"/>
  <c r="F208" i="34" s="1"/>
  <c r="K19" i="36"/>
  <c r="F27" i="34" s="1"/>
  <c r="K14" i="36"/>
  <c r="F22" i="34" s="1"/>
  <c r="K188" i="36"/>
  <c r="F196" i="34" s="1"/>
  <c r="K163" i="36"/>
  <c r="F171" i="34" s="1"/>
  <c r="K35" i="36"/>
  <c r="F43" i="34" s="1"/>
  <c r="K301" i="36"/>
  <c r="F309" i="34" s="1"/>
  <c r="K183" i="36"/>
  <c r="F191" i="34" s="1"/>
  <c r="K97" i="36"/>
  <c r="F105" i="34" s="1"/>
  <c r="K11" i="36"/>
  <c r="F19" i="34" s="1"/>
  <c r="K117" i="36"/>
  <c r="F125" i="34" s="1"/>
  <c r="K277" i="36"/>
  <c r="F285" i="34" s="1"/>
  <c r="K304" i="36"/>
  <c r="F312" i="34" s="1"/>
  <c r="K115" i="36"/>
  <c r="F123" i="34" s="1"/>
  <c r="K187" i="36"/>
  <c r="F195" i="34" s="1"/>
  <c r="K255" i="36"/>
  <c r="F263" i="34" s="1"/>
  <c r="K194" i="36"/>
  <c r="F202" i="34" s="1"/>
  <c r="K39" i="36"/>
  <c r="F47" i="34" s="1"/>
  <c r="K199" i="36"/>
  <c r="F207" i="34" s="1"/>
  <c r="K162" i="36"/>
  <c r="F170" i="34" s="1"/>
  <c r="K101" i="36"/>
  <c r="F109" i="34" s="1"/>
  <c r="K204" i="36"/>
  <c r="F212" i="34" s="1"/>
  <c r="K24" i="36"/>
  <c r="F32" i="34" s="1"/>
  <c r="K167" i="36"/>
  <c r="F175" i="34" s="1"/>
  <c r="K62" i="36"/>
  <c r="F70" i="34" s="1"/>
  <c r="K206" i="36"/>
  <c r="F214" i="34" s="1"/>
  <c r="K246" i="36"/>
  <c r="F254" i="34" s="1"/>
  <c r="K296" i="36"/>
  <c r="F304" i="34" s="1"/>
  <c r="K274" i="36"/>
  <c r="F282" i="34" s="1"/>
  <c r="K22" i="36"/>
  <c r="F30" i="34" s="1"/>
  <c r="K262" i="36"/>
  <c r="F270" i="34" s="1"/>
  <c r="K294" i="36"/>
  <c r="F302" i="34" s="1"/>
  <c r="D242" i="9"/>
  <c r="I236" i="32"/>
  <c r="D220" i="9"/>
  <c r="I214" i="32"/>
  <c r="D221" i="9"/>
  <c r="I215" i="32"/>
  <c r="D311" i="9"/>
  <c r="I305" i="32"/>
  <c r="D211" i="9"/>
  <c r="I205" i="32"/>
  <c r="D213" i="9"/>
  <c r="I207" i="32"/>
  <c r="I200" i="32"/>
  <c r="D206" i="9"/>
  <c r="D16" i="9"/>
  <c r="I10" i="32"/>
  <c r="I260" i="32"/>
  <c r="D266" i="9"/>
  <c r="D38" i="9"/>
  <c r="I32" i="32"/>
  <c r="D273" i="9"/>
  <c r="I267" i="32"/>
  <c r="I52" i="32"/>
  <c r="D58" i="9"/>
  <c r="D243" i="9"/>
  <c r="I237" i="32"/>
  <c r="I297" i="32"/>
  <c r="D303" i="9"/>
  <c r="I109" i="32"/>
  <c r="D115" i="9"/>
  <c r="D224" i="9"/>
  <c r="I218" i="32"/>
  <c r="D110" i="9"/>
  <c r="I104" i="32"/>
  <c r="D174" i="9"/>
  <c r="I168" i="32"/>
  <c r="D59" i="9"/>
  <c r="I53" i="32"/>
  <c r="I266" i="32"/>
  <c r="D272" i="9"/>
  <c r="D316" i="9"/>
  <c r="I310" i="32"/>
  <c r="D14" i="9"/>
  <c r="I8" i="32"/>
  <c r="D134" i="9"/>
  <c r="I128" i="32"/>
  <c r="D233" i="9"/>
  <c r="I227" i="32"/>
  <c r="D293" i="9"/>
  <c r="I287" i="32"/>
  <c r="D209" i="9"/>
  <c r="I203" i="32"/>
  <c r="D226" i="9"/>
  <c r="I220" i="32"/>
  <c r="D113" i="9"/>
  <c r="I107" i="32"/>
  <c r="I90" i="32"/>
  <c r="D96" i="9"/>
  <c r="D161" i="9"/>
  <c r="I155" i="32"/>
  <c r="D167" i="9"/>
  <c r="I161" i="32"/>
  <c r="D219" i="9"/>
  <c r="I213" i="32"/>
  <c r="D165" i="9"/>
  <c r="I159" i="32"/>
  <c r="D67" i="9"/>
  <c r="I61" i="32"/>
  <c r="D280" i="9"/>
  <c r="I274" i="32"/>
  <c r="D37" i="9"/>
  <c r="I31" i="32"/>
  <c r="D156" i="9"/>
  <c r="I150" i="32"/>
  <c r="I87" i="32"/>
  <c r="D93" i="9"/>
  <c r="D197" i="9"/>
  <c r="I191" i="32"/>
  <c r="D100" i="9"/>
  <c r="I94" i="32"/>
  <c r="D105" i="9"/>
  <c r="I99" i="32"/>
  <c r="D306" i="9"/>
  <c r="I300" i="32"/>
  <c r="D65" i="9"/>
  <c r="I59" i="32"/>
  <c r="I248" i="32"/>
  <c r="D254" i="9"/>
  <c r="I118" i="32"/>
  <c r="D124" i="9"/>
  <c r="D190" i="9"/>
  <c r="I184" i="32"/>
  <c r="D153" i="9"/>
  <c r="I147" i="32"/>
  <c r="D146" i="9"/>
  <c r="I140" i="32"/>
  <c r="D94" i="9"/>
  <c r="I88" i="32"/>
  <c r="D302" i="9"/>
  <c r="I296" i="32"/>
  <c r="D47" i="9"/>
  <c r="I41" i="32"/>
  <c r="D245" i="9"/>
  <c r="I239" i="32"/>
  <c r="I40" i="32"/>
  <c r="D46" i="9"/>
  <c r="I154" i="32"/>
  <c r="D160" i="9"/>
  <c r="D42" i="9"/>
  <c r="I36" i="32"/>
  <c r="I13" i="32"/>
  <c r="D19" i="9"/>
  <c r="D287" i="9"/>
  <c r="I281" i="32"/>
  <c r="D276" i="9"/>
  <c r="I270" i="32"/>
  <c r="D102" i="9"/>
  <c r="I96" i="32"/>
  <c r="I229" i="32"/>
  <c r="D235" i="9"/>
  <c r="D309" i="9"/>
  <c r="I303" i="32"/>
  <c r="D85" i="9"/>
  <c r="I79" i="32"/>
  <c r="D201" i="9"/>
  <c r="I195" i="32"/>
  <c r="D270" i="9"/>
  <c r="I264" i="32"/>
  <c r="I312" i="32"/>
  <c r="D318" i="9"/>
  <c r="D297" i="9"/>
  <c r="I291" i="32"/>
  <c r="D239" i="9"/>
  <c r="I233" i="32"/>
  <c r="D258" i="9"/>
  <c r="I252" i="32"/>
  <c r="D43" i="9"/>
  <c r="I37" i="32"/>
  <c r="D20" i="9"/>
  <c r="I14" i="32"/>
  <c r="D256" i="9"/>
  <c r="I250" i="32"/>
  <c r="D308" i="9"/>
  <c r="I302" i="32"/>
  <c r="I129" i="32"/>
  <c r="D135" i="9"/>
  <c r="D15" i="9"/>
  <c r="I9" i="32"/>
  <c r="I212" i="32"/>
  <c r="D218" i="9"/>
  <c r="D53" i="9"/>
  <c r="I47" i="32"/>
  <c r="D261" i="9"/>
  <c r="I255" i="32"/>
  <c r="K9" i="36"/>
  <c r="F17" i="34" s="1"/>
  <c r="K48" i="36"/>
  <c r="F56" i="34" s="1"/>
  <c r="K76" i="36"/>
  <c r="F84" i="34" s="1"/>
  <c r="K84" i="36"/>
  <c r="F92" i="34" s="1"/>
  <c r="K136" i="36"/>
  <c r="F144" i="34" s="1"/>
  <c r="K58" i="36"/>
  <c r="F66" i="34" s="1"/>
  <c r="K133" i="36"/>
  <c r="F141" i="34" s="1"/>
  <c r="K306" i="36"/>
  <c r="F314" i="34" s="1"/>
  <c r="K126" i="36"/>
  <c r="F134" i="34" s="1"/>
  <c r="K314" i="36"/>
  <c r="F322" i="34" s="1"/>
  <c r="K116" i="36"/>
  <c r="F124" i="34" s="1"/>
  <c r="K201" i="36"/>
  <c r="F209" i="34" s="1"/>
  <c r="K245" i="36"/>
  <c r="F253" i="34" s="1"/>
  <c r="K217" i="36"/>
  <c r="F225" i="34" s="1"/>
  <c r="K208" i="36"/>
  <c r="F216" i="34" s="1"/>
  <c r="K299" i="36"/>
  <c r="F307" i="34" s="1"/>
  <c r="K122" i="36"/>
  <c r="F130" i="34" s="1"/>
  <c r="K174" i="36"/>
  <c r="F182" i="34" s="1"/>
  <c r="K87" i="36"/>
  <c r="F95" i="34" s="1"/>
  <c r="K52" i="36"/>
  <c r="F60" i="34" s="1"/>
  <c r="K90" i="36"/>
  <c r="F98" i="34" s="1"/>
  <c r="K21" i="36"/>
  <c r="F29" i="34" s="1"/>
  <c r="K93" i="36"/>
  <c r="F101" i="34" s="1"/>
  <c r="K124" i="36"/>
  <c r="F132" i="34" s="1"/>
  <c r="K33" i="36"/>
  <c r="F41" i="34" s="1"/>
  <c r="K92" i="36"/>
  <c r="F100" i="34" s="1"/>
  <c r="K128" i="36"/>
  <c r="F136" i="34" s="1"/>
  <c r="K132" i="36"/>
  <c r="F140" i="34" s="1"/>
  <c r="K233" i="36"/>
  <c r="F241" i="34" s="1"/>
  <c r="K140" i="36"/>
  <c r="F148" i="34" s="1"/>
  <c r="K225" i="36"/>
  <c r="F233" i="34" s="1"/>
  <c r="K125" i="36"/>
  <c r="F133" i="34" s="1"/>
  <c r="K173" i="36"/>
  <c r="F181" i="34" s="1"/>
  <c r="K207" i="36"/>
  <c r="F215" i="34" s="1"/>
  <c r="K254" i="36"/>
  <c r="F262" i="34" s="1"/>
  <c r="K205" i="36"/>
  <c r="F213" i="34" s="1"/>
  <c r="K186" i="36"/>
  <c r="F194" i="34" s="1"/>
  <c r="K218" i="36"/>
  <c r="F226" i="34" s="1"/>
  <c r="K247" i="36"/>
  <c r="F255" i="34" s="1"/>
  <c r="K104" i="36"/>
  <c r="F112" i="34" s="1"/>
  <c r="K144" i="36"/>
  <c r="F152" i="34" s="1"/>
  <c r="K235" i="36"/>
  <c r="F243" i="34" s="1"/>
  <c r="K275" i="36"/>
  <c r="F283" i="34" s="1"/>
  <c r="K308" i="36"/>
  <c r="F316" i="34" s="1"/>
  <c r="K298" i="36"/>
  <c r="F306" i="34" s="1"/>
  <c r="K69" i="36"/>
  <c r="F77" i="34" s="1"/>
  <c r="K43" i="36"/>
  <c r="F51" i="34" s="1"/>
  <c r="K139" i="36"/>
  <c r="F147" i="34" s="1"/>
  <c r="K263" i="36"/>
  <c r="F271" i="34" s="1"/>
  <c r="K265" i="36"/>
  <c r="F273" i="34" s="1"/>
  <c r="K315" i="36"/>
  <c r="F323" i="34" s="1"/>
  <c r="K54" i="36"/>
  <c r="F62" i="34" s="1"/>
  <c r="K212" i="36"/>
  <c r="F220" i="34" s="1"/>
  <c r="K37" i="36"/>
  <c r="F45" i="34" s="1"/>
  <c r="K258" i="36"/>
  <c r="F266" i="34" s="1"/>
  <c r="K63" i="36"/>
  <c r="F71" i="34" s="1"/>
  <c r="K176" i="36"/>
  <c r="F184" i="34" s="1"/>
  <c r="K236" i="36"/>
  <c r="F244" i="34" s="1"/>
  <c r="K138" i="36"/>
  <c r="F146" i="34" s="1"/>
  <c r="K168" i="36"/>
  <c r="F176" i="34" s="1"/>
  <c r="K27" i="36"/>
  <c r="F35" i="34" s="1"/>
  <c r="K50" i="36"/>
  <c r="F58" i="34" s="1"/>
  <c r="K34" i="36"/>
  <c r="F42" i="34" s="1"/>
  <c r="K131" i="36"/>
  <c r="F139" i="34" s="1"/>
  <c r="K222" i="36"/>
  <c r="F230" i="34" s="1"/>
  <c r="K143" i="36"/>
  <c r="F151" i="34" s="1"/>
  <c r="K271" i="36"/>
  <c r="F279" i="34" s="1"/>
  <c r="K134" i="36"/>
  <c r="F142" i="34" s="1"/>
  <c r="K59" i="36"/>
  <c r="F67" i="34" s="1"/>
  <c r="K135" i="36"/>
  <c r="F143" i="34" s="1"/>
  <c r="K91" i="36"/>
  <c r="F99" i="34" s="1"/>
  <c r="K77" i="36"/>
  <c r="F85" i="34" s="1"/>
  <c r="K114" i="36"/>
  <c r="F122" i="34" s="1"/>
  <c r="K175" i="36"/>
  <c r="F183" i="34" s="1"/>
  <c r="K46" i="36"/>
  <c r="F54" i="34" s="1"/>
  <c r="K57" i="36"/>
  <c r="F65" i="34" s="1"/>
  <c r="K279" i="36"/>
  <c r="F287" i="34" s="1"/>
  <c r="K55" i="36"/>
  <c r="F63" i="34" s="1"/>
  <c r="K146" i="36"/>
  <c r="F154" i="34" s="1"/>
  <c r="K12" i="36"/>
  <c r="F20" i="34" s="1"/>
  <c r="K239" i="36"/>
  <c r="F247" i="34" s="1"/>
  <c r="K103" i="36"/>
  <c r="F111" i="34" s="1"/>
  <c r="K272" i="36"/>
  <c r="F280" i="34" s="1"/>
  <c r="K182" i="36"/>
  <c r="F190" i="34" s="1"/>
  <c r="K223" i="36"/>
  <c r="F231" i="34" s="1"/>
  <c r="K244" i="36"/>
  <c r="F252" i="34" s="1"/>
  <c r="K81" i="36"/>
  <c r="F89" i="34" s="1"/>
  <c r="K260" i="36"/>
  <c r="F268" i="34" s="1"/>
  <c r="K94" i="36"/>
  <c r="F102" i="34" s="1"/>
  <c r="K219" i="36"/>
  <c r="F227" i="34" s="1"/>
  <c r="K98" i="36"/>
  <c r="F106" i="34" s="1"/>
  <c r="K109" i="36"/>
  <c r="F117" i="34" s="1"/>
  <c r="K231" i="36"/>
  <c r="F239" i="34" s="1"/>
  <c r="K113" i="36"/>
  <c r="F121" i="34" s="1"/>
  <c r="K278" i="36"/>
  <c r="F286" i="34" s="1"/>
  <c r="K152" i="36"/>
  <c r="F160" i="34" s="1"/>
  <c r="D294" i="9"/>
  <c r="I288" i="32"/>
  <c r="D187" i="9"/>
  <c r="I181" i="32"/>
  <c r="D240" i="9"/>
  <c r="I234" i="32"/>
  <c r="D265" i="9"/>
  <c r="I259" i="32"/>
  <c r="I169" i="32"/>
  <c r="D175" i="9"/>
  <c r="D98" i="9"/>
  <c r="I92" i="32"/>
  <c r="I116" i="32"/>
  <c r="D122" i="9"/>
  <c r="D195" i="9"/>
  <c r="I189" i="32"/>
  <c r="I269" i="32"/>
  <c r="D275" i="9"/>
  <c r="D22" i="9"/>
  <c r="I16" i="32"/>
  <c r="I289" i="32"/>
  <c r="D295" i="9"/>
  <c r="D186" i="9"/>
  <c r="I180" i="32"/>
  <c r="D118" i="9"/>
  <c r="I112" i="32"/>
  <c r="D129" i="9"/>
  <c r="I123" i="32"/>
  <c r="D12" i="9"/>
  <c r="I6" i="32"/>
  <c r="D189" i="9"/>
  <c r="I183" i="32"/>
  <c r="I286" i="32"/>
  <c r="D292" i="9"/>
  <c r="D173" i="9"/>
  <c r="I167" i="32"/>
  <c r="D117" i="9"/>
  <c r="I111" i="32"/>
  <c r="D36" i="9"/>
  <c r="I30" i="32"/>
  <c r="D238" i="9"/>
  <c r="I232" i="32"/>
  <c r="I76" i="32"/>
  <c r="D82" i="9"/>
  <c r="D269" i="9"/>
  <c r="I263" i="32"/>
  <c r="I127" i="32"/>
  <c r="D133" i="9"/>
  <c r="D200" i="9"/>
  <c r="I194" i="32"/>
  <c r="D203" i="9"/>
  <c r="I197" i="32"/>
  <c r="D107" i="9"/>
  <c r="I101" i="32"/>
  <c r="I226" i="32"/>
  <c r="D232" i="9"/>
  <c r="I57" i="32"/>
  <c r="D63" i="9"/>
  <c r="D87" i="9"/>
  <c r="I81" i="32"/>
  <c r="I26" i="32"/>
  <c r="D32" i="9"/>
  <c r="D171" i="9"/>
  <c r="I165" i="32"/>
  <c r="D227" i="9"/>
  <c r="I221" i="32"/>
  <c r="D166" i="9"/>
  <c r="I160" i="32"/>
  <c r="D21" i="9"/>
  <c r="I15" i="32"/>
  <c r="D236" i="9"/>
  <c r="I230" i="32"/>
  <c r="I219" i="32"/>
  <c r="D225" i="9"/>
  <c r="D176" i="9"/>
  <c r="I170" i="32"/>
  <c r="D88" i="9"/>
  <c r="I82" i="32"/>
  <c r="D84" i="9"/>
  <c r="I78" i="32"/>
  <c r="I117" i="32"/>
  <c r="D123" i="9"/>
  <c r="D48" i="9"/>
  <c r="I42" i="32"/>
  <c r="D228" i="9"/>
  <c r="I222" i="32"/>
  <c r="D99" i="9"/>
  <c r="I93" i="32"/>
  <c r="I119" i="32"/>
  <c r="D125" i="9"/>
  <c r="D23" i="9"/>
  <c r="I17" i="32"/>
  <c r="D230" i="9"/>
  <c r="I224" i="32"/>
  <c r="D241" i="9"/>
  <c r="I235" i="32"/>
  <c r="D277" i="9"/>
  <c r="I271" i="32"/>
  <c r="D193" i="9"/>
  <c r="I187" i="32"/>
  <c r="D310" i="9"/>
  <c r="I304" i="32"/>
  <c r="I38" i="32"/>
  <c r="D44" i="9"/>
  <c r="I172" i="32"/>
  <c r="D178" i="9"/>
  <c r="D216" i="9"/>
  <c r="I210" i="32"/>
  <c r="D150" i="9"/>
  <c r="I144" i="32"/>
  <c r="D91" i="9"/>
  <c r="I85" i="32"/>
  <c r="D27" i="9"/>
  <c r="I21" i="32"/>
  <c r="D255" i="9"/>
  <c r="I249" i="32"/>
  <c r="D252" i="9"/>
  <c r="I246" i="32"/>
  <c r="I51" i="32"/>
  <c r="D57" i="9"/>
  <c r="D317" i="9"/>
  <c r="I311" i="32"/>
  <c r="D298" i="9"/>
  <c r="I292" i="32"/>
  <c r="I91" i="32"/>
  <c r="D97" i="9"/>
  <c r="D253" i="9"/>
  <c r="I247" i="32"/>
  <c r="D95" i="9"/>
  <c r="I89" i="32"/>
  <c r="I27" i="32"/>
  <c r="D33" i="9"/>
  <c r="D305" i="9"/>
  <c r="I299" i="32"/>
  <c r="D64" i="9"/>
  <c r="I58" i="32"/>
  <c r="D170" i="9"/>
  <c r="I164" i="32"/>
  <c r="D154" i="9"/>
  <c r="I148" i="32"/>
  <c r="D28" i="9"/>
  <c r="I22" i="32"/>
  <c r="D147" i="9"/>
  <c r="I141" i="32"/>
  <c r="D284" i="9"/>
  <c r="I278" i="32"/>
  <c r="I285" i="32"/>
  <c r="D291" i="9"/>
  <c r="D90" i="9"/>
  <c r="I84" i="32"/>
  <c r="D172" i="9"/>
  <c r="I166" i="32"/>
  <c r="D148" i="9"/>
  <c r="I142" i="32"/>
  <c r="K36" i="36"/>
  <c r="F44" i="34" s="1"/>
  <c r="K72" i="36"/>
  <c r="F80" i="34" s="1"/>
  <c r="K44" i="36"/>
  <c r="F52" i="34" s="1"/>
  <c r="K108" i="36"/>
  <c r="F116" i="34" s="1"/>
  <c r="K65" i="36"/>
  <c r="F73" i="34" s="1"/>
  <c r="K64" i="36"/>
  <c r="F72" i="34" s="1"/>
  <c r="K96" i="36"/>
  <c r="F104" i="34" s="1"/>
  <c r="K61" i="36"/>
  <c r="F69" i="34" s="1"/>
  <c r="K86" i="36"/>
  <c r="F94" i="34" s="1"/>
  <c r="K149" i="36"/>
  <c r="F157" i="34" s="1"/>
  <c r="K211" i="36"/>
  <c r="F219" i="34" s="1"/>
  <c r="K170" i="36"/>
  <c r="F178" i="34" s="1"/>
  <c r="K130" i="36"/>
  <c r="F138" i="34" s="1"/>
  <c r="K169" i="36"/>
  <c r="F177" i="34" s="1"/>
  <c r="K221" i="36"/>
  <c r="F229" i="34" s="1"/>
  <c r="K189" i="36"/>
  <c r="F197" i="34" s="1"/>
  <c r="K137" i="36"/>
  <c r="F145" i="34" s="1"/>
  <c r="K241" i="36"/>
  <c r="F249" i="34" s="1"/>
  <c r="K191" i="36"/>
  <c r="F199" i="34" s="1"/>
  <c r="K249" i="36"/>
  <c r="F257" i="34" s="1"/>
  <c r="K68" i="36"/>
  <c r="F76" i="34" s="1"/>
  <c r="K165" i="36"/>
  <c r="F173" i="34" s="1"/>
  <c r="K237" i="36"/>
  <c r="F245" i="34" s="1"/>
  <c r="K284" i="36"/>
  <c r="F292" i="34" s="1"/>
  <c r="K166" i="36"/>
  <c r="F174" i="34" s="1"/>
  <c r="K209" i="36"/>
  <c r="F217" i="34" s="1"/>
  <c r="K31" i="36"/>
  <c r="F39" i="34" s="1"/>
  <c r="K78" i="36"/>
  <c r="F86" i="34" s="1"/>
  <c r="K154" i="36"/>
  <c r="F162" i="34" s="1"/>
  <c r="K285" i="36"/>
  <c r="F293" i="34" s="1"/>
  <c r="K253" i="36"/>
  <c r="F261" i="34" s="1"/>
  <c r="K111" i="36"/>
  <c r="F119" i="34" s="1"/>
  <c r="K89" i="36"/>
  <c r="F97" i="34" s="1"/>
  <c r="K302" i="36"/>
  <c r="F310" i="34" s="1"/>
  <c r="K85" i="36"/>
  <c r="F93" i="34" s="1"/>
  <c r="K273" i="36"/>
  <c r="F281" i="34" s="1"/>
  <c r="K42" i="36"/>
  <c r="F50" i="34" s="1"/>
  <c r="K238" i="36"/>
  <c r="F246" i="34" s="1"/>
  <c r="K264" i="36"/>
  <c r="F272" i="34" s="1"/>
  <c r="K256" i="36"/>
  <c r="F264" i="34" s="1"/>
  <c r="K226" i="36"/>
  <c r="F234" i="34" s="1"/>
  <c r="K151" i="36"/>
  <c r="F159" i="34" s="1"/>
  <c r="K202" i="36"/>
  <c r="F210" i="34" s="1"/>
  <c r="K49" i="36"/>
  <c r="F57" i="34" s="1"/>
  <c r="K297" i="36"/>
  <c r="F305" i="34" s="1"/>
  <c r="K252" i="36"/>
  <c r="F260" i="34" s="1"/>
  <c r="K192" i="36"/>
  <c r="F200" i="34" s="1"/>
  <c r="K311" i="36"/>
  <c r="F319" i="34" s="1"/>
  <c r="K270" i="36"/>
  <c r="F278" i="34" s="1"/>
  <c r="K227" i="36"/>
  <c r="F235" i="34" s="1"/>
  <c r="K82" i="36"/>
  <c r="F90" i="34" s="1"/>
  <c r="K180" i="36"/>
  <c r="F188" i="34" s="1"/>
  <c r="K118" i="36"/>
  <c r="F126" i="34" s="1"/>
  <c r="K289" i="36"/>
  <c r="F297" i="34" s="1"/>
  <c r="K159" i="36"/>
  <c r="F167" i="34" s="1"/>
  <c r="K79" i="36"/>
  <c r="F87" i="34" s="1"/>
  <c r="K156" i="36"/>
  <c r="F164" i="34" s="1"/>
  <c r="K41" i="36"/>
  <c r="F49" i="34" s="1"/>
  <c r="K23" i="36"/>
  <c r="F31" i="34" s="1"/>
  <c r="K20" i="36"/>
  <c r="F28" i="34" s="1"/>
  <c r="K38" i="36"/>
  <c r="F46" i="34" s="1"/>
  <c r="K123" i="36"/>
  <c r="F131" i="34" s="1"/>
  <c r="K268" i="36"/>
  <c r="F276" i="34" s="1"/>
  <c r="K305" i="36"/>
  <c r="F313" i="34" s="1"/>
  <c r="K198" i="36"/>
  <c r="F206" i="34" s="1"/>
  <c r="K16" i="36"/>
  <c r="F24" i="34" s="1"/>
  <c r="K210" i="36"/>
  <c r="F218" i="34" s="1"/>
  <c r="K47" i="36"/>
  <c r="F55" i="34" s="1"/>
  <c r="K293" i="36"/>
  <c r="F301" i="34" s="1"/>
  <c r="K203" i="36"/>
  <c r="F211" i="34" s="1"/>
  <c r="K281" i="36"/>
  <c r="F289" i="34" s="1"/>
  <c r="K190" i="36"/>
  <c r="F198" i="34" s="1"/>
  <c r="K232" i="36"/>
  <c r="F240" i="34" s="1"/>
  <c r="K251" i="36"/>
  <c r="F259" i="34" s="1"/>
  <c r="K129" i="36"/>
  <c r="F137" i="34" s="1"/>
  <c r="K295" i="36"/>
  <c r="F303" i="34" s="1"/>
  <c r="K224" i="36"/>
  <c r="F232" i="34" s="1"/>
  <c r="D112" i="9"/>
  <c r="I106" i="32"/>
  <c r="I54" i="32"/>
  <c r="D60" i="9"/>
  <c r="D214" i="9"/>
  <c r="I208" i="32"/>
  <c r="D41" i="9"/>
  <c r="I35" i="32"/>
  <c r="D222" i="9"/>
  <c r="I216" i="32"/>
  <c r="D274" i="9"/>
  <c r="I268" i="32"/>
  <c r="D279" i="9"/>
  <c r="I273" i="32"/>
  <c r="D77" i="9"/>
  <c r="I71" i="32"/>
  <c r="D68" i="9"/>
  <c r="I62" i="32"/>
  <c r="D192" i="9"/>
  <c r="I186" i="32"/>
  <c r="I20" i="32"/>
  <c r="D26" i="9"/>
  <c r="D264" i="9"/>
  <c r="I258" i="32"/>
  <c r="D207" i="9"/>
  <c r="I201" i="32"/>
  <c r="D267" i="9"/>
  <c r="I261" i="32"/>
  <c r="D72" i="9"/>
  <c r="I66" i="32"/>
  <c r="D24" i="9"/>
  <c r="I18" i="32"/>
  <c r="D288" i="9"/>
  <c r="I282" i="32"/>
  <c r="D131" i="9"/>
  <c r="I125" i="32"/>
  <c r="D163" i="9"/>
  <c r="I157" i="32"/>
  <c r="D142" i="9"/>
  <c r="I136" i="32"/>
  <c r="D106" i="9"/>
  <c r="I100" i="32"/>
  <c r="D54" i="9"/>
  <c r="I48" i="32"/>
  <c r="D89" i="9"/>
  <c r="I83" i="32"/>
  <c r="D152" i="9"/>
  <c r="I146" i="32"/>
  <c r="D56" i="9"/>
  <c r="I50" i="32"/>
  <c r="I256" i="32"/>
  <c r="D262" i="9"/>
  <c r="I68" i="32"/>
  <c r="D74" i="9"/>
  <c r="I60" i="32"/>
  <c r="D66" i="9"/>
  <c r="D257" i="9"/>
  <c r="I251" i="32"/>
  <c r="D127" i="9"/>
  <c r="I121" i="32"/>
  <c r="D75" i="9"/>
  <c r="I69" i="32"/>
  <c r="D55" i="9"/>
  <c r="I49" i="32"/>
  <c r="D139" i="9"/>
  <c r="I133" i="32"/>
  <c r="D184" i="9"/>
  <c r="I178" i="32"/>
  <c r="D40" i="9"/>
  <c r="I34" i="32"/>
  <c r="D282" i="9"/>
  <c r="I276" i="32"/>
  <c r="D278" i="9"/>
  <c r="I272" i="32"/>
  <c r="D164" i="9"/>
  <c r="I158" i="32"/>
  <c r="D80" i="9"/>
  <c r="I74" i="32"/>
  <c r="D251" i="9"/>
  <c r="I245" i="32"/>
  <c r="I130" i="32"/>
  <c r="D136" i="9"/>
  <c r="I231" i="32"/>
  <c r="D237" i="9"/>
  <c r="I80" i="32"/>
  <c r="D86" i="9"/>
  <c r="D212" i="9"/>
  <c r="I206" i="32"/>
  <c r="D289" i="9"/>
  <c r="I283" i="32"/>
  <c r="D196" i="9"/>
  <c r="I190" i="32"/>
  <c r="D49" i="9"/>
  <c r="I43" i="32"/>
  <c r="D229" i="9"/>
  <c r="I223" i="32"/>
  <c r="I253" i="32"/>
  <c r="D259" i="9"/>
  <c r="I97" i="32"/>
  <c r="D103" i="9"/>
  <c r="D70" i="9"/>
  <c r="I64" i="32"/>
  <c r="D109" i="9"/>
  <c r="I103" i="32"/>
  <c r="D18" i="9"/>
  <c r="I12" i="32"/>
  <c r="D78" i="9"/>
  <c r="I72" i="32"/>
  <c r="D145" i="9"/>
  <c r="I139" i="32"/>
  <c r="D249" i="9"/>
  <c r="I243" i="32"/>
  <c r="I152" i="32"/>
  <c r="D158" i="9"/>
  <c r="D71" i="9"/>
  <c r="I65" i="32"/>
  <c r="D143" i="9"/>
  <c r="I137" i="32"/>
  <c r="D17" i="9"/>
  <c r="I11" i="32"/>
  <c r="D194" i="9"/>
  <c r="I188" i="32"/>
  <c r="D31" i="9"/>
  <c r="I25" i="32"/>
  <c r="D50" i="9"/>
  <c r="I44" i="32"/>
  <c r="D248" i="9"/>
  <c r="I242" i="32"/>
  <c r="D215" i="9"/>
  <c r="I209" i="32"/>
  <c r="D120" i="9"/>
  <c r="I114" i="32"/>
  <c r="I301" i="32"/>
  <c r="D307" i="9"/>
  <c r="D155" i="9"/>
  <c r="I149" i="32"/>
  <c r="D260" i="9"/>
  <c r="I254" i="32"/>
  <c r="D132" i="9"/>
  <c r="I126" i="32"/>
  <c r="D101" i="9"/>
  <c r="I95" i="32"/>
  <c r="D35" i="9"/>
  <c r="I29" i="32"/>
  <c r="D263" i="9"/>
  <c r="I257" i="32"/>
  <c r="D45" i="9"/>
  <c r="I39" i="32"/>
  <c r="D244" i="9"/>
  <c r="I238" i="32"/>
  <c r="D231" i="9"/>
  <c r="I225" i="32"/>
  <c r="D76" i="9"/>
  <c r="I70" i="32"/>
  <c r="K40" i="36"/>
  <c r="F48" i="34" s="1"/>
  <c r="K112" i="36"/>
  <c r="F120" i="34" s="1"/>
  <c r="K29" i="36"/>
  <c r="F37" i="34" s="1"/>
  <c r="K60" i="36"/>
  <c r="F68" i="34" s="1"/>
  <c r="K56" i="36"/>
  <c r="F64" i="34" s="1"/>
  <c r="K100" i="36"/>
  <c r="F108" i="34" s="1"/>
  <c r="K17" i="36"/>
  <c r="F25" i="34" s="1"/>
  <c r="K88" i="36"/>
  <c r="F96" i="34" s="1"/>
  <c r="K161" i="36"/>
  <c r="F169" i="34" s="1"/>
  <c r="K185" i="36"/>
  <c r="F193" i="34" s="1"/>
  <c r="K213" i="36"/>
  <c r="F221" i="34" s="1"/>
  <c r="K181" i="36"/>
  <c r="F189" i="34" s="1"/>
  <c r="K193" i="36"/>
  <c r="F201" i="34" s="1"/>
  <c r="K282" i="36"/>
  <c r="F290" i="34" s="1"/>
  <c r="K291" i="36"/>
  <c r="F299" i="34" s="1"/>
  <c r="K153" i="36"/>
  <c r="F161" i="34" s="1"/>
  <c r="K266" i="36"/>
  <c r="F274" i="34" s="1"/>
  <c r="K290" i="36"/>
  <c r="F298" i="34" s="1"/>
  <c r="K110" i="36"/>
  <c r="F118" i="34" s="1"/>
  <c r="K120" i="36"/>
  <c r="F128" i="34" s="1"/>
  <c r="K229" i="36"/>
  <c r="F237" i="34" s="1"/>
  <c r="K242" i="36"/>
  <c r="F250" i="34" s="1"/>
  <c r="K292" i="36"/>
  <c r="F300" i="34" s="1"/>
  <c r="K276" i="36"/>
  <c r="F284" i="34" s="1"/>
  <c r="K307" i="36"/>
  <c r="F315" i="34" s="1"/>
  <c r="K102" i="36"/>
  <c r="F110" i="34" s="1"/>
  <c r="K150" i="36"/>
  <c r="F158" i="34" s="1"/>
  <c r="K172" i="36"/>
  <c r="F180" i="34" s="1"/>
  <c r="K195" i="36"/>
  <c r="F203" i="34" s="1"/>
  <c r="K283" i="36"/>
  <c r="F291" i="34" s="1"/>
  <c r="K107" i="36"/>
  <c r="F115" i="34" s="1"/>
  <c r="K10" i="36"/>
  <c r="F18" i="34" s="1"/>
  <c r="K220" i="36"/>
  <c r="F228" i="34" s="1"/>
  <c r="K171" i="36"/>
  <c r="F179" i="34" s="1"/>
  <c r="K160" i="36"/>
  <c r="F168" i="34" s="1"/>
  <c r="K119" i="36"/>
  <c r="F127" i="34" s="1"/>
  <c r="K178" i="36"/>
  <c r="F186" i="34" s="1"/>
  <c r="K309" i="36"/>
  <c r="F317" i="34" s="1"/>
  <c r="K310" i="36"/>
  <c r="F318" i="34" s="1"/>
  <c r="K121" i="36"/>
  <c r="F129" i="34" s="1"/>
  <c r="K158" i="36"/>
  <c r="F166" i="34" s="1"/>
  <c r="K250" i="36"/>
  <c r="F258" i="34" s="1"/>
  <c r="K71" i="36"/>
  <c r="F79" i="34" s="1"/>
  <c r="K95" i="36"/>
  <c r="F103" i="34" s="1"/>
  <c r="K312" i="36"/>
  <c r="F320" i="34" s="1"/>
  <c r="K73" i="36"/>
  <c r="F81" i="34" s="1"/>
  <c r="K147" i="36"/>
  <c r="F155" i="34" s="1"/>
  <c r="K18" i="36"/>
  <c r="F26" i="34" s="1"/>
  <c r="K287" i="36"/>
  <c r="F295" i="34" s="1"/>
  <c r="K70" i="36"/>
  <c r="F78" i="34" s="1"/>
  <c r="K196" i="36"/>
  <c r="F204" i="34" s="1"/>
  <c r="K99" i="36"/>
  <c r="F107" i="34" s="1"/>
  <c r="K83" i="36"/>
  <c r="F91" i="34" s="1"/>
  <c r="K215" i="36"/>
  <c r="F223" i="34" s="1"/>
  <c r="K66" i="36"/>
  <c r="F74" i="34" s="1"/>
  <c r="K280" i="36"/>
  <c r="F288" i="34" s="1"/>
  <c r="K155" i="36"/>
  <c r="F163" i="34" s="1"/>
  <c r="K141" i="36"/>
  <c r="F149" i="34" s="1"/>
  <c r="K142" i="36"/>
  <c r="F150" i="34" s="1"/>
  <c r="K53" i="36"/>
  <c r="F61" i="34" s="1"/>
  <c r="K240" i="36"/>
  <c r="F248" i="34" s="1"/>
  <c r="K243" i="36"/>
  <c r="F251" i="34" s="1"/>
  <c r="K26" i="36"/>
  <c r="F34" i="34" s="1"/>
  <c r="K259" i="36"/>
  <c r="F267" i="34" s="1"/>
  <c r="K32" i="36"/>
  <c r="F40" i="34" s="1"/>
  <c r="K234" i="36"/>
  <c r="F242" i="34" s="1"/>
  <c r="K127" i="36"/>
  <c r="F135" i="34" s="1"/>
  <c r="K30" i="36"/>
  <c r="F38" i="34" s="1"/>
  <c r="K105" i="36"/>
  <c r="F113" i="34" s="1"/>
  <c r="K230" i="36"/>
  <c r="F238" i="34" s="1"/>
  <c r="K267" i="36"/>
  <c r="F275" i="34" s="1"/>
  <c r="K248" i="36"/>
  <c r="F256" i="34" s="1"/>
  <c r="K269" i="36"/>
  <c r="F277" i="34" s="1"/>
  <c r="K145" i="36"/>
  <c r="F153" i="34" s="1"/>
  <c r="K28" i="36"/>
  <c r="F36" i="34" s="1"/>
  <c r="K148" i="36"/>
  <c r="F156" i="34" s="1"/>
  <c r="D61" i="9"/>
  <c r="I55" i="32"/>
  <c r="D79" i="9"/>
  <c r="I73" i="32"/>
  <c r="D13" i="9"/>
  <c r="I7" i="32"/>
  <c r="D180" i="9"/>
  <c r="I174" i="32"/>
  <c r="I280" i="32"/>
  <c r="D286" i="9"/>
  <c r="D52" i="9"/>
  <c r="I46" i="32"/>
  <c r="D162" i="9"/>
  <c r="I156" i="32"/>
  <c r="D250" i="9"/>
  <c r="I244" i="32"/>
  <c r="D137" i="9"/>
  <c r="I131" i="32"/>
  <c r="D119" i="9"/>
  <c r="I113" i="32"/>
  <c r="I228" i="32"/>
  <c r="D234" i="9"/>
  <c r="D138" i="9"/>
  <c r="I132" i="32"/>
  <c r="D183" i="9"/>
  <c r="I177" i="32"/>
  <c r="I173" i="32"/>
  <c r="D179" i="9"/>
  <c r="D204" i="9"/>
  <c r="I198" i="32"/>
  <c r="D111" i="9"/>
  <c r="I105" i="32"/>
  <c r="D51" i="9"/>
  <c r="I45" i="32"/>
  <c r="D296" i="9"/>
  <c r="I290" i="32"/>
  <c r="D149" i="9"/>
  <c r="I143" i="32"/>
  <c r="D181" i="9"/>
  <c r="I175" i="32"/>
  <c r="I211" i="32"/>
  <c r="D217" i="9"/>
  <c r="D210" i="9"/>
  <c r="I204" i="32"/>
  <c r="D116" i="9"/>
  <c r="I110" i="32"/>
  <c r="I134" i="32"/>
  <c r="D140" i="9"/>
  <c r="I196" i="32"/>
  <c r="D202" i="9"/>
  <c r="D108" i="9"/>
  <c r="I102" i="32"/>
  <c r="D29" i="9"/>
  <c r="I23" i="32"/>
  <c r="I19" i="32"/>
  <c r="D25" i="9"/>
  <c r="D290" i="9"/>
  <c r="I284" i="32"/>
  <c r="D159" i="9"/>
  <c r="I153" i="32"/>
  <c r="D151" i="9"/>
  <c r="I145" i="32"/>
  <c r="D114" i="9"/>
  <c r="I108" i="32"/>
  <c r="D304" i="9"/>
  <c r="I298" i="32"/>
  <c r="D246" i="9"/>
  <c r="I240" i="32"/>
  <c r="D128" i="9"/>
  <c r="I122" i="32"/>
  <c r="D168" i="9"/>
  <c r="I162" i="32"/>
  <c r="D285" i="9"/>
  <c r="I279" i="32"/>
  <c r="D299" i="9"/>
  <c r="I293" i="32"/>
  <c r="I56" i="32"/>
  <c r="D62" i="9"/>
  <c r="D247" i="9"/>
  <c r="I241" i="32"/>
  <c r="D283" i="9"/>
  <c r="I277" i="32"/>
  <c r="I309" i="32"/>
  <c r="D315" i="9"/>
  <c r="D185" i="9"/>
  <c r="I179" i="32"/>
  <c r="D92" i="9"/>
  <c r="I86" i="32"/>
  <c r="D223" i="9"/>
  <c r="I217" i="32"/>
  <c r="I192" i="32"/>
  <c r="D198" i="9"/>
  <c r="D182" i="9"/>
  <c r="I176" i="32"/>
  <c r="D177" i="9"/>
  <c r="I171" i="32"/>
  <c r="I98" i="32"/>
  <c r="D104" i="9"/>
  <c r="D205" i="9"/>
  <c r="I199" i="32"/>
  <c r="I138" i="32"/>
  <c r="D144" i="9"/>
  <c r="D39" i="9"/>
  <c r="I33" i="32"/>
  <c r="I185" i="32"/>
  <c r="D191" i="9"/>
  <c r="D157" i="9"/>
  <c r="I151" i="32"/>
  <c r="D268" i="9"/>
  <c r="I262" i="32"/>
  <c r="D169" i="9"/>
  <c r="I163" i="32"/>
  <c r="D83" i="9"/>
  <c r="I77" i="32"/>
  <c r="D312" i="9"/>
  <c r="I306" i="32"/>
  <c r="D188" i="9"/>
  <c r="I182" i="32"/>
  <c r="D81" i="9"/>
  <c r="I75" i="32"/>
  <c r="D73" i="9"/>
  <c r="I67" i="32"/>
  <c r="D34" i="9"/>
  <c r="I28" i="32"/>
  <c r="D30" i="9"/>
  <c r="I24" i="32"/>
  <c r="I63" i="32"/>
  <c r="D69" i="9"/>
  <c r="D301" i="9"/>
  <c r="I295" i="32"/>
  <c r="D313" i="9"/>
  <c r="I307" i="32"/>
  <c r="D199" i="9"/>
  <c r="I193" i="32"/>
  <c r="D271" i="9"/>
  <c r="I265" i="32"/>
  <c r="D300" i="9"/>
  <c r="I294" i="32"/>
  <c r="D141" i="9"/>
  <c r="I135" i="32"/>
  <c r="D126" i="9"/>
  <c r="I120" i="32"/>
  <c r="D130" i="9"/>
  <c r="I124" i="32"/>
  <c r="D281" i="9"/>
  <c r="I275" i="32"/>
  <c r="D314" i="9"/>
  <c r="I308" i="32"/>
  <c r="I115" i="32"/>
  <c r="D121" i="9"/>
  <c r="D208" i="9"/>
  <c r="I202" i="32"/>
  <c r="M7" i="13"/>
  <c r="I59" i="49"/>
  <c r="I89" i="49"/>
  <c r="I265" i="49"/>
  <c r="I225" i="49"/>
  <c r="I302" i="49"/>
  <c r="I16" i="49"/>
  <c r="I83" i="49"/>
  <c r="I205" i="49"/>
  <c r="I124" i="49"/>
  <c r="I129" i="49"/>
  <c r="I84" i="49"/>
  <c r="I35" i="49"/>
  <c r="I156" i="49"/>
  <c r="I8" i="49"/>
  <c r="I46" i="49"/>
  <c r="I79" i="49"/>
  <c r="I163" i="49"/>
  <c r="I47" i="49"/>
  <c r="I50" i="49"/>
  <c r="I162" i="49"/>
  <c r="I149" i="49"/>
  <c r="I279" i="49"/>
  <c r="I264" i="49"/>
  <c r="I51" i="49"/>
  <c r="I67" i="49"/>
  <c r="I190" i="49"/>
  <c r="I171" i="49"/>
  <c r="I164" i="49"/>
  <c r="I247" i="49"/>
  <c r="I298" i="49"/>
  <c r="I175" i="49"/>
  <c r="I230" i="49"/>
  <c r="I105" i="49"/>
  <c r="I239" i="49"/>
  <c r="I234" i="49"/>
  <c r="I134" i="49"/>
  <c r="I272" i="49"/>
  <c r="I14" i="49"/>
  <c r="I55" i="49"/>
  <c r="I71" i="49"/>
  <c r="I113" i="49"/>
  <c r="I206" i="49"/>
  <c r="I76" i="49"/>
  <c r="I222" i="49"/>
  <c r="I13" i="49"/>
  <c r="I258" i="49"/>
  <c r="I174" i="49"/>
  <c r="I125" i="49"/>
  <c r="I229" i="49"/>
  <c r="I58" i="49"/>
  <c r="T315" i="42"/>
  <c r="H21" i="49"/>
  <c r="I21" i="49" s="1"/>
  <c r="E15" i="48"/>
  <c r="H12" i="49"/>
  <c r="I12" i="49" s="1"/>
  <c r="H53" i="49"/>
  <c r="I53" i="49" s="1"/>
  <c r="H110" i="49"/>
  <c r="I110" i="49" s="1"/>
  <c r="H226" i="49"/>
  <c r="I226" i="49" s="1"/>
  <c r="H283" i="49"/>
  <c r="I283" i="49" s="1"/>
  <c r="H97" i="49"/>
  <c r="I97" i="49" s="1"/>
  <c r="H127" i="49"/>
  <c r="I127" i="49" s="1"/>
  <c r="H147" i="49"/>
  <c r="I147" i="49" s="1"/>
  <c r="H191" i="49"/>
  <c r="I191" i="49" s="1"/>
  <c r="H207" i="49"/>
  <c r="I207" i="49" s="1"/>
  <c r="H251" i="49"/>
  <c r="I251" i="49" s="1"/>
  <c r="H280" i="49"/>
  <c r="I280" i="49" s="1"/>
  <c r="H296" i="49"/>
  <c r="I296" i="49" s="1"/>
  <c r="H30" i="49"/>
  <c r="I30" i="49" s="1"/>
  <c r="H61" i="49"/>
  <c r="I61" i="49" s="1"/>
  <c r="H85" i="49"/>
  <c r="I85" i="49" s="1"/>
  <c r="H108" i="49"/>
  <c r="I108" i="49" s="1"/>
  <c r="H135" i="49"/>
  <c r="I135" i="49" s="1"/>
  <c r="H153" i="49"/>
  <c r="I153" i="49" s="1"/>
  <c r="H170" i="49"/>
  <c r="I170" i="49" s="1"/>
  <c r="H184" i="49"/>
  <c r="I184" i="49" s="1"/>
  <c r="H204" i="49"/>
  <c r="I204" i="49" s="1"/>
  <c r="H224" i="49"/>
  <c r="I224" i="49" s="1"/>
  <c r="H256" i="49"/>
  <c r="I256" i="49" s="1"/>
  <c r="H273" i="49"/>
  <c r="I273" i="49" s="1"/>
  <c r="H293" i="49"/>
  <c r="I293" i="49" s="1"/>
  <c r="H307" i="49"/>
  <c r="I307" i="49" s="1"/>
  <c r="H101" i="49"/>
  <c r="I101" i="49" s="1"/>
  <c r="H121" i="49"/>
  <c r="I121" i="49" s="1"/>
  <c r="H136" i="49"/>
  <c r="I136" i="49" s="1"/>
  <c r="H185" i="49"/>
  <c r="I185" i="49" s="1"/>
  <c r="H201" i="49"/>
  <c r="I201" i="49" s="1"/>
  <c r="H217" i="49"/>
  <c r="I217" i="49" s="1"/>
  <c r="H245" i="49"/>
  <c r="I245" i="49" s="1"/>
  <c r="H270" i="49"/>
  <c r="I270" i="49" s="1"/>
  <c r="H286" i="49"/>
  <c r="I286" i="49" s="1"/>
  <c r="H304" i="49"/>
  <c r="I304" i="49" s="1"/>
  <c r="H103" i="49"/>
  <c r="I103" i="49" s="1"/>
  <c r="H150" i="49"/>
  <c r="I150" i="49" s="1"/>
  <c r="H32" i="49"/>
  <c r="I32" i="49" s="1"/>
  <c r="H128" i="49"/>
  <c r="I128" i="49" s="1"/>
  <c r="H7" i="49"/>
  <c r="I7" i="49" s="1"/>
  <c r="H176" i="49"/>
  <c r="I176" i="49" s="1"/>
  <c r="H294" i="49"/>
  <c r="I294" i="49" s="1"/>
  <c r="H198" i="49"/>
  <c r="I198" i="49" s="1"/>
  <c r="H40" i="49"/>
  <c r="I40" i="49" s="1"/>
  <c r="H242" i="49"/>
  <c r="I242" i="49" s="1"/>
  <c r="H87" i="49"/>
  <c r="I87" i="49" s="1"/>
  <c r="H250" i="49"/>
  <c r="I250" i="49" s="1"/>
  <c r="H42" i="49"/>
  <c r="I42" i="49" s="1"/>
  <c r="H49" i="49"/>
  <c r="I49" i="49" s="1"/>
  <c r="H81" i="49"/>
  <c r="I81" i="49" s="1"/>
  <c r="H232" i="49"/>
  <c r="I232" i="49" s="1"/>
  <c r="H26" i="49"/>
  <c r="I26" i="49" s="1"/>
  <c r="H72" i="49"/>
  <c r="I72" i="49" s="1"/>
  <c r="H91" i="49"/>
  <c r="I91" i="49" s="1"/>
  <c r="H133" i="49"/>
  <c r="I133" i="49" s="1"/>
  <c r="H214" i="49"/>
  <c r="I214" i="49" s="1"/>
  <c r="H231" i="49"/>
  <c r="I231" i="49" s="1"/>
  <c r="H263" i="49"/>
  <c r="I263" i="49" s="1"/>
  <c r="H313" i="49"/>
  <c r="I313" i="49" s="1"/>
  <c r="H104" i="49"/>
  <c r="I104" i="49" s="1"/>
  <c r="H151" i="49"/>
  <c r="I151" i="49" s="1"/>
  <c r="H179" i="49"/>
  <c r="I179" i="49" s="1"/>
  <c r="H211" i="49"/>
  <c r="I211" i="49" s="1"/>
  <c r="H223" i="49"/>
  <c r="I223" i="49" s="1"/>
  <c r="H255" i="49"/>
  <c r="I255" i="49" s="1"/>
  <c r="H268" i="49"/>
  <c r="I268" i="49" s="1"/>
  <c r="H284" i="49"/>
  <c r="I284" i="49" s="1"/>
  <c r="H65" i="49"/>
  <c r="I65" i="49" s="1"/>
  <c r="H88" i="49"/>
  <c r="I88" i="49" s="1"/>
  <c r="H112" i="49"/>
  <c r="I112" i="49" s="1"/>
  <c r="H139" i="49"/>
  <c r="I139" i="49" s="1"/>
  <c r="H157" i="49"/>
  <c r="I157" i="49" s="1"/>
  <c r="H173" i="49"/>
  <c r="I173" i="49" s="1"/>
  <c r="H192" i="49"/>
  <c r="I192" i="49" s="1"/>
  <c r="H208" i="49"/>
  <c r="I208" i="49" s="1"/>
  <c r="H228" i="49"/>
  <c r="I228" i="49" s="1"/>
  <c r="H244" i="49"/>
  <c r="I244" i="49" s="1"/>
  <c r="H261" i="49"/>
  <c r="I261" i="49" s="1"/>
  <c r="H281" i="49"/>
  <c r="I281" i="49" s="1"/>
  <c r="H297" i="49"/>
  <c r="I297" i="49" s="1"/>
  <c r="H17" i="49"/>
  <c r="I17" i="49" s="1"/>
  <c r="H52" i="49"/>
  <c r="I52" i="49" s="1"/>
  <c r="H109" i="49"/>
  <c r="I109" i="49" s="1"/>
  <c r="H141" i="49"/>
  <c r="I141" i="49" s="1"/>
  <c r="H189" i="49"/>
  <c r="I189" i="49" s="1"/>
  <c r="H221" i="49"/>
  <c r="I221" i="49" s="1"/>
  <c r="H249" i="49"/>
  <c r="I249" i="49" s="1"/>
  <c r="H274" i="49"/>
  <c r="I274" i="49" s="1"/>
  <c r="H290" i="49"/>
  <c r="I290" i="49" s="1"/>
  <c r="H308" i="49"/>
  <c r="I308" i="49" s="1"/>
  <c r="H63" i="49"/>
  <c r="I63" i="49" s="1"/>
  <c r="H137" i="49"/>
  <c r="I137" i="49" s="1"/>
  <c r="H159" i="49"/>
  <c r="I159" i="49" s="1"/>
  <c r="H202" i="49"/>
  <c r="I202" i="49" s="1"/>
  <c r="H33" i="49"/>
  <c r="I33" i="49" s="1"/>
  <c r="H152" i="49"/>
  <c r="I152" i="49" s="1"/>
  <c r="H116" i="49"/>
  <c r="I116" i="49" s="1"/>
  <c r="H180" i="49"/>
  <c r="I180" i="49" s="1"/>
  <c r="H18" i="49"/>
  <c r="I18" i="49" s="1"/>
  <c r="H172" i="49"/>
  <c r="I172" i="49" s="1"/>
  <c r="H235" i="49"/>
  <c r="I235" i="49" s="1"/>
  <c r="H210" i="49"/>
  <c r="I210" i="49" s="1"/>
  <c r="H111" i="49"/>
  <c r="I111" i="49" s="1"/>
  <c r="H246" i="49"/>
  <c r="I246" i="49" s="1"/>
  <c r="H305" i="49"/>
  <c r="I305" i="49" s="1"/>
  <c r="H43" i="49"/>
  <c r="I43" i="49" s="1"/>
  <c r="H92" i="49"/>
  <c r="I92" i="49" s="1"/>
  <c r="H98" i="49"/>
  <c r="I98" i="49" s="1"/>
  <c r="H266" i="49"/>
  <c r="I266" i="49" s="1"/>
  <c r="H23" i="49"/>
  <c r="I23" i="49" s="1"/>
  <c r="H27" i="49"/>
  <c r="I27" i="49" s="1"/>
  <c r="H154" i="49"/>
  <c r="I154" i="49" s="1"/>
  <c r="H165" i="49"/>
  <c r="I165" i="49" s="1"/>
  <c r="H237" i="49"/>
  <c r="I237" i="49" s="1"/>
  <c r="H96" i="49"/>
  <c r="I96" i="49" s="1"/>
  <c r="H155" i="49"/>
  <c r="I155" i="49" s="1"/>
  <c r="H64" i="49"/>
  <c r="I64" i="49" s="1"/>
  <c r="H115" i="49"/>
  <c r="I115" i="49" s="1"/>
  <c r="H183" i="49"/>
  <c r="I183" i="49" s="1"/>
  <c r="H199" i="49"/>
  <c r="I199" i="49" s="1"/>
  <c r="H215" i="49"/>
  <c r="I215" i="49" s="1"/>
  <c r="H259" i="49"/>
  <c r="I259" i="49" s="1"/>
  <c r="H36" i="49"/>
  <c r="I36" i="49" s="1"/>
  <c r="H93" i="49"/>
  <c r="I93" i="49" s="1"/>
  <c r="H120" i="49"/>
  <c r="I120" i="49" s="1"/>
  <c r="H144" i="49"/>
  <c r="I144" i="49" s="1"/>
  <c r="H161" i="49"/>
  <c r="I161" i="49" s="1"/>
  <c r="H196" i="49"/>
  <c r="I196" i="49" s="1"/>
  <c r="H212" i="49"/>
  <c r="I212" i="49" s="1"/>
  <c r="H233" i="49"/>
  <c r="I233" i="49" s="1"/>
  <c r="H248" i="49"/>
  <c r="I248" i="49" s="1"/>
  <c r="H285" i="49"/>
  <c r="I285" i="49" s="1"/>
  <c r="H299" i="49"/>
  <c r="I299" i="49" s="1"/>
  <c r="H9" i="49"/>
  <c r="I9" i="49" s="1"/>
  <c r="H22" i="49"/>
  <c r="I22" i="49" s="1"/>
  <c r="H56" i="49"/>
  <c r="I56" i="49" s="1"/>
  <c r="H131" i="49"/>
  <c r="I131" i="49" s="1"/>
  <c r="H145" i="49"/>
  <c r="I145" i="49" s="1"/>
  <c r="H177" i="49"/>
  <c r="I177" i="49" s="1"/>
  <c r="H193" i="49"/>
  <c r="I193" i="49" s="1"/>
  <c r="H209" i="49"/>
  <c r="I209" i="49" s="1"/>
  <c r="H253" i="49"/>
  <c r="I253" i="49" s="1"/>
  <c r="H278" i="49"/>
  <c r="I278" i="49" s="1"/>
  <c r="H310" i="49"/>
  <c r="I310" i="49" s="1"/>
  <c r="H68" i="49"/>
  <c r="I68" i="49" s="1"/>
  <c r="H178" i="49"/>
  <c r="I178" i="49" s="1"/>
  <c r="H301" i="49"/>
  <c r="I301" i="49" s="1"/>
  <c r="H227" i="49"/>
  <c r="I227" i="49" s="1"/>
  <c r="H130" i="49"/>
  <c r="I130" i="49" s="1"/>
  <c r="H220" i="49"/>
  <c r="I220" i="49" s="1"/>
  <c r="H95" i="49"/>
  <c r="I95" i="49" s="1"/>
  <c r="H306" i="49"/>
  <c r="I306" i="49" s="1"/>
  <c r="H291" i="49"/>
  <c r="I291" i="49" s="1"/>
  <c r="H123" i="49"/>
  <c r="I123" i="49" s="1"/>
  <c r="H271" i="49"/>
  <c r="I271" i="49" s="1"/>
  <c r="H29" i="49"/>
  <c r="I29" i="49" s="1"/>
  <c r="H44" i="49"/>
  <c r="I44" i="49" s="1"/>
  <c r="H73" i="49"/>
  <c r="I73" i="49" s="1"/>
  <c r="H188" i="49"/>
  <c r="I188" i="49" s="1"/>
  <c r="H24" i="49"/>
  <c r="I24" i="49" s="1"/>
  <c r="H45" i="49"/>
  <c r="I45" i="49" s="1"/>
  <c r="H80" i="49"/>
  <c r="I80" i="49" s="1"/>
  <c r="H166" i="49"/>
  <c r="I166" i="49" s="1"/>
  <c r="H241" i="49"/>
  <c r="I241" i="49" s="1"/>
  <c r="H69" i="49"/>
  <c r="I69" i="49" s="1"/>
  <c r="H119" i="49"/>
  <c r="I119" i="49" s="1"/>
  <c r="H143" i="49"/>
  <c r="I143" i="49" s="1"/>
  <c r="H160" i="49"/>
  <c r="I160" i="49" s="1"/>
  <c r="H187" i="49"/>
  <c r="I187" i="49" s="1"/>
  <c r="H203" i="49"/>
  <c r="I203" i="49" s="1"/>
  <c r="H260" i="49"/>
  <c r="I260" i="49" s="1"/>
  <c r="H276" i="49"/>
  <c r="I276" i="49" s="1"/>
  <c r="H292" i="49"/>
  <c r="I292" i="49" s="1"/>
  <c r="H37" i="49"/>
  <c r="I37" i="49" s="1"/>
  <c r="H60" i="49"/>
  <c r="I60" i="49" s="1"/>
  <c r="H148" i="49"/>
  <c r="I148" i="49" s="1"/>
  <c r="H200" i="49"/>
  <c r="I200" i="49" s="1"/>
  <c r="H216" i="49"/>
  <c r="I216" i="49" s="1"/>
  <c r="H236" i="49"/>
  <c r="I236" i="49" s="1"/>
  <c r="H252" i="49"/>
  <c r="I252" i="49" s="1"/>
  <c r="H269" i="49"/>
  <c r="I269" i="49" s="1"/>
  <c r="H289" i="49"/>
  <c r="I289" i="49" s="1"/>
  <c r="H303" i="49"/>
  <c r="I303" i="49" s="1"/>
  <c r="H57" i="49"/>
  <c r="I57" i="49" s="1"/>
  <c r="H75" i="49"/>
  <c r="I75" i="49" s="1"/>
  <c r="H99" i="49"/>
  <c r="I99" i="49" s="1"/>
  <c r="H117" i="49"/>
  <c r="I117" i="49" s="1"/>
  <c r="H132" i="49"/>
  <c r="I132" i="49" s="1"/>
  <c r="H158" i="49"/>
  <c r="I158" i="49" s="1"/>
  <c r="H181" i="49"/>
  <c r="I181" i="49" s="1"/>
  <c r="H197" i="49"/>
  <c r="I197" i="49" s="1"/>
  <c r="H213" i="49"/>
  <c r="I213" i="49" s="1"/>
  <c r="H240" i="49"/>
  <c r="I240" i="49" s="1"/>
  <c r="H257" i="49"/>
  <c r="I257" i="49" s="1"/>
  <c r="H282" i="49"/>
  <c r="I282" i="49" s="1"/>
  <c r="H300" i="49"/>
  <c r="I300" i="49" s="1"/>
  <c r="H100" i="49"/>
  <c r="I100" i="49" s="1"/>
  <c r="H146" i="49"/>
  <c r="I146" i="49" s="1"/>
  <c r="H186" i="49"/>
  <c r="I186" i="49" s="1"/>
  <c r="H267" i="49"/>
  <c r="I267" i="49" s="1"/>
  <c r="H309" i="49"/>
  <c r="I309" i="49" s="1"/>
  <c r="H39" i="49"/>
  <c r="I39" i="49" s="1"/>
  <c r="H312" i="49"/>
  <c r="I312" i="49" s="1"/>
  <c r="H277" i="49"/>
  <c r="I277" i="49" s="1"/>
  <c r="H167" i="49"/>
  <c r="I167" i="49" s="1"/>
  <c r="H262" i="49"/>
  <c r="I262" i="49" s="1"/>
  <c r="H140" i="49"/>
  <c r="I140" i="49" s="1"/>
  <c r="H311" i="49"/>
  <c r="I311" i="49" s="1"/>
  <c r="H41" i="49"/>
  <c r="I41" i="49" s="1"/>
  <c r="H168" i="49"/>
  <c r="I168" i="49" s="1"/>
  <c r="H10" i="49"/>
  <c r="I10" i="49" s="1"/>
  <c r="H48" i="49"/>
  <c r="I48" i="49" s="1"/>
  <c r="H77" i="49"/>
  <c r="I77" i="49" s="1"/>
  <c r="H107" i="49"/>
  <c r="I107" i="49" s="1"/>
  <c r="T7" i="19"/>
  <c r="H6" i="49" s="1"/>
  <c r="I6" i="49" s="1"/>
  <c r="H20" i="49"/>
  <c r="I20" i="49" s="1"/>
  <c r="H25" i="49"/>
  <c r="I25" i="49" s="1"/>
  <c r="H254" i="49"/>
  <c r="I254" i="49" s="1"/>
  <c r="C5" i="32"/>
  <c r="C313" i="32" s="1"/>
  <c r="Y315" i="19"/>
  <c r="F16" i="49"/>
  <c r="F59" i="49"/>
  <c r="F11" i="49"/>
  <c r="F190" i="49"/>
  <c r="F287" i="49"/>
  <c r="F234" i="49"/>
  <c r="F15" i="49"/>
  <c r="F195" i="49"/>
  <c r="F31" i="49"/>
  <c r="F13" i="49"/>
  <c r="F129" i="49"/>
  <c r="F90" i="49"/>
  <c r="F126" i="49"/>
  <c r="F182" i="49"/>
  <c r="F258" i="49"/>
  <c r="F47" i="49"/>
  <c r="F247" i="49"/>
  <c r="F14" i="49"/>
  <c r="F74" i="49"/>
  <c r="F84" i="49"/>
  <c r="F94" i="49"/>
  <c r="F124" i="49"/>
  <c r="F175" i="49"/>
  <c r="F71" i="49"/>
  <c r="F89" i="49"/>
  <c r="F113" i="49"/>
  <c r="F225" i="49"/>
  <c r="F295" i="49"/>
  <c r="F105" i="49"/>
  <c r="F19" i="49"/>
  <c r="F194" i="49"/>
  <c r="F50" i="49"/>
  <c r="F78" i="49"/>
  <c r="F239" i="49"/>
  <c r="F28" i="49"/>
  <c r="F229" i="49"/>
  <c r="F58" i="49"/>
  <c r="F163" i="49"/>
  <c r="F34" i="49"/>
  <c r="F76" i="49"/>
  <c r="F118" i="49"/>
  <c r="F275" i="49"/>
  <c r="F298" i="49"/>
  <c r="F51" i="49"/>
  <c r="F82" i="49"/>
  <c r="F79" i="49"/>
  <c r="F162" i="49"/>
  <c r="F230" i="49"/>
  <c r="F171" i="49"/>
  <c r="F164" i="49"/>
  <c r="F122" i="49"/>
  <c r="F222" i="49"/>
  <c r="F279" i="49"/>
  <c r="F138" i="49"/>
  <c r="F156" i="49"/>
  <c r="F238" i="49"/>
  <c r="F288" i="49"/>
  <c r="F55" i="49"/>
  <c r="F83" i="49"/>
  <c r="F174" i="49"/>
  <c r="F265" i="49"/>
  <c r="F66" i="49"/>
  <c r="F67" i="49"/>
  <c r="F125" i="49"/>
  <c r="F205" i="49"/>
  <c r="F46" i="49"/>
  <c r="F142" i="49"/>
  <c r="F206" i="49"/>
  <c r="F38" i="49"/>
  <c r="F106" i="49"/>
  <c r="F149" i="49"/>
  <c r="O315" i="19"/>
  <c r="K8" i="36"/>
  <c r="I316" i="36"/>
  <c r="E316" i="36"/>
  <c r="J316" i="36"/>
  <c r="H316" i="36"/>
  <c r="F316" i="36"/>
  <c r="D316" i="36"/>
  <c r="G315" i="19"/>
  <c r="G316" i="36"/>
  <c r="H313" i="32" l="1"/>
  <c r="C5" i="9" s="1"/>
  <c r="K316" i="36"/>
  <c r="E5" i="32"/>
  <c r="E313" i="32" s="1"/>
  <c r="I314" i="49"/>
  <c r="J6" i="49" s="1"/>
  <c r="L6" i="49" s="1"/>
  <c r="E14" i="48"/>
  <c r="F15" i="48" s="1"/>
  <c r="H5" i="32"/>
  <c r="D11" i="9" s="1"/>
  <c r="D319" i="9" s="1"/>
  <c r="U7" i="19"/>
  <c r="G6" i="49" s="1"/>
  <c r="F6" i="49"/>
  <c r="F16" i="34"/>
  <c r="F28" i="48"/>
  <c r="F114" i="49"/>
  <c r="J232" i="13"/>
  <c r="F232" i="49"/>
  <c r="F250" i="49"/>
  <c r="F198" i="49"/>
  <c r="F128" i="49"/>
  <c r="F304" i="49"/>
  <c r="J217" i="13"/>
  <c r="F217" i="49"/>
  <c r="F121" i="49"/>
  <c r="F273" i="49"/>
  <c r="F153" i="49"/>
  <c r="F61" i="49"/>
  <c r="F296" i="49"/>
  <c r="F207" i="49"/>
  <c r="F127" i="49"/>
  <c r="F283" i="49"/>
  <c r="F12" i="49"/>
  <c r="F134" i="49"/>
  <c r="F62" i="49"/>
  <c r="F77" i="49"/>
  <c r="F167" i="49"/>
  <c r="F267" i="49"/>
  <c r="F300" i="49"/>
  <c r="F257" i="49"/>
  <c r="F181" i="49"/>
  <c r="F99" i="49"/>
  <c r="F57" i="49"/>
  <c r="F252" i="49"/>
  <c r="F260" i="49"/>
  <c r="F143" i="49"/>
  <c r="F69" i="49"/>
  <c r="F45" i="49"/>
  <c r="F73" i="49"/>
  <c r="F123" i="49"/>
  <c r="F95" i="49"/>
  <c r="F301" i="49"/>
  <c r="F278" i="49"/>
  <c r="J193" i="13"/>
  <c r="F193" i="49"/>
  <c r="F56" i="49"/>
  <c r="F285" i="49"/>
  <c r="J196" i="13"/>
  <c r="F196" i="49"/>
  <c r="F199" i="49"/>
  <c r="F96" i="49"/>
  <c r="J27" i="13"/>
  <c r="F27" i="49"/>
  <c r="F92" i="49"/>
  <c r="F111" i="49"/>
  <c r="F18" i="49"/>
  <c r="J33" i="13"/>
  <c r="F33" i="49"/>
  <c r="F137" i="49"/>
  <c r="F274" i="49"/>
  <c r="F141" i="49"/>
  <c r="J297" i="13"/>
  <c r="F297" i="49"/>
  <c r="F228" i="49"/>
  <c r="F157" i="49"/>
  <c r="F65" i="49"/>
  <c r="F223" i="49"/>
  <c r="J214" i="13"/>
  <c r="F214" i="49"/>
  <c r="J26" i="13"/>
  <c r="F26" i="49"/>
  <c r="F264" i="49"/>
  <c r="F87" i="49"/>
  <c r="F294" i="49"/>
  <c r="J7" i="13"/>
  <c r="F7" i="49"/>
  <c r="F32" i="49"/>
  <c r="F103" i="49"/>
  <c r="F286" i="49"/>
  <c r="J245" i="13"/>
  <c r="F245" i="49"/>
  <c r="F201" i="49"/>
  <c r="F136" i="49"/>
  <c r="F293" i="49"/>
  <c r="F256" i="49"/>
  <c r="F204" i="49"/>
  <c r="F170" i="49"/>
  <c r="F135" i="49"/>
  <c r="F30" i="49"/>
  <c r="F280" i="49"/>
  <c r="F191" i="49"/>
  <c r="F147" i="49"/>
  <c r="F97" i="49"/>
  <c r="F226" i="49"/>
  <c r="J53" i="13"/>
  <c r="F53" i="49"/>
  <c r="F8" i="49"/>
  <c r="F49" i="49"/>
  <c r="F242" i="49"/>
  <c r="F176" i="49"/>
  <c r="F150" i="49"/>
  <c r="J270" i="13"/>
  <c r="F270" i="49"/>
  <c r="F185" i="49"/>
  <c r="F307" i="49"/>
  <c r="F224" i="49"/>
  <c r="F184" i="49"/>
  <c r="F108" i="49"/>
  <c r="F251" i="49"/>
  <c r="J110" i="13"/>
  <c r="F110" i="49"/>
  <c r="F86" i="49"/>
  <c r="J302" i="13"/>
  <c r="F302" i="49"/>
  <c r="F219" i="49"/>
  <c r="F25" i="49"/>
  <c r="J10" i="13"/>
  <c r="F10" i="49"/>
  <c r="J140" i="13"/>
  <c r="F140" i="49"/>
  <c r="F39" i="49"/>
  <c r="F146" i="49"/>
  <c r="F213" i="49"/>
  <c r="F132" i="49"/>
  <c r="F289" i="49"/>
  <c r="J216" i="13"/>
  <c r="F216" i="49"/>
  <c r="F60" i="49"/>
  <c r="F292" i="49"/>
  <c r="F187" i="49"/>
  <c r="J166" i="13"/>
  <c r="F166" i="49"/>
  <c r="J24" i="13"/>
  <c r="F24" i="49"/>
  <c r="F306" i="49"/>
  <c r="J130" i="13"/>
  <c r="F130" i="49"/>
  <c r="F145" i="49"/>
  <c r="F9" i="49"/>
  <c r="F233" i="49"/>
  <c r="F144" i="49"/>
  <c r="F259" i="49"/>
  <c r="J115" i="13"/>
  <c r="F115" i="49"/>
  <c r="F165" i="49"/>
  <c r="F266" i="49"/>
  <c r="F305" i="49"/>
  <c r="J235" i="13"/>
  <c r="F235" i="49"/>
  <c r="F116" i="49"/>
  <c r="F202" i="49"/>
  <c r="F308" i="49"/>
  <c r="F189" i="49"/>
  <c r="J261" i="13"/>
  <c r="F261" i="49"/>
  <c r="F192" i="49"/>
  <c r="F112" i="49"/>
  <c r="F268" i="49"/>
  <c r="F179" i="49"/>
  <c r="F263" i="49"/>
  <c r="F91" i="49"/>
  <c r="F70" i="49"/>
  <c r="F272" i="49"/>
  <c r="F102" i="49"/>
  <c r="J254" i="13"/>
  <c r="F254" i="49"/>
  <c r="F20" i="49"/>
  <c r="F48" i="49"/>
  <c r="F168" i="49"/>
  <c r="F311" i="49"/>
  <c r="F262" i="49"/>
  <c r="F277" i="49"/>
  <c r="F312" i="49"/>
  <c r="F309" i="49"/>
  <c r="F186" i="49"/>
  <c r="F282" i="49"/>
  <c r="F240" i="49"/>
  <c r="F197" i="49"/>
  <c r="F158" i="49"/>
  <c r="F117" i="49"/>
  <c r="F303" i="49"/>
  <c r="F269" i="49"/>
  <c r="F236" i="49"/>
  <c r="F200" i="49"/>
  <c r="F148" i="49"/>
  <c r="F37" i="49"/>
  <c r="J276" i="13"/>
  <c r="F276" i="49"/>
  <c r="F203" i="49"/>
  <c r="F160" i="49"/>
  <c r="J119" i="13"/>
  <c r="F119" i="49"/>
  <c r="F241" i="49"/>
  <c r="F80" i="49"/>
  <c r="F188" i="49"/>
  <c r="J271" i="13"/>
  <c r="F271" i="49"/>
  <c r="F291" i="49"/>
  <c r="F220" i="49"/>
  <c r="F227" i="49"/>
  <c r="F178" i="49"/>
  <c r="F310" i="49"/>
  <c r="F253" i="49"/>
  <c r="J209" i="13"/>
  <c r="F209" i="49"/>
  <c r="F177" i="49"/>
  <c r="F131" i="49"/>
  <c r="F22" i="49"/>
  <c r="J299" i="13"/>
  <c r="F299" i="49"/>
  <c r="F248" i="49"/>
  <c r="F212" i="49"/>
  <c r="F161" i="49"/>
  <c r="J120" i="13"/>
  <c r="F120" i="49"/>
  <c r="F36" i="49"/>
  <c r="F215" i="49"/>
  <c r="F183" i="49"/>
  <c r="F64" i="49"/>
  <c r="F155" i="49"/>
  <c r="F237" i="49"/>
  <c r="F154" i="49"/>
  <c r="F98" i="49"/>
  <c r="F246" i="49"/>
  <c r="F210" i="49"/>
  <c r="J172" i="13"/>
  <c r="F172" i="49"/>
  <c r="F180" i="49"/>
  <c r="F152" i="49"/>
  <c r="F159" i="49"/>
  <c r="F63" i="49"/>
  <c r="F290" i="49"/>
  <c r="F249" i="49"/>
  <c r="F221" i="49"/>
  <c r="J109" i="13"/>
  <c r="F109" i="49"/>
  <c r="F17" i="49"/>
  <c r="F281" i="49"/>
  <c r="F244" i="49"/>
  <c r="F208" i="49"/>
  <c r="F173" i="49"/>
  <c r="F139" i="49"/>
  <c r="J284" i="13"/>
  <c r="F284" i="49"/>
  <c r="F255" i="49"/>
  <c r="F211" i="49"/>
  <c r="F151" i="49"/>
  <c r="F313" i="49"/>
  <c r="F231" i="49"/>
  <c r="F133" i="49"/>
  <c r="F72" i="49"/>
  <c r="F107" i="49"/>
  <c r="F104" i="49"/>
  <c r="F101" i="49"/>
  <c r="F100" i="49"/>
  <c r="F93" i="49"/>
  <c r="F88" i="49"/>
  <c r="F85" i="49"/>
  <c r="F81" i="49"/>
  <c r="F75" i="49"/>
  <c r="F68" i="49"/>
  <c r="F54" i="49"/>
  <c r="J52" i="13"/>
  <c r="F52" i="49"/>
  <c r="J44" i="13"/>
  <c r="F44" i="49"/>
  <c r="F43" i="49"/>
  <c r="F42" i="49"/>
  <c r="F41" i="49"/>
  <c r="F40" i="49"/>
  <c r="F35" i="49"/>
  <c r="F29" i="49"/>
  <c r="H314" i="49"/>
  <c r="F23" i="49"/>
  <c r="F21" i="49"/>
  <c r="T315" i="19"/>
  <c r="G205" i="49"/>
  <c r="G171" i="49"/>
  <c r="G34" i="49"/>
  <c r="G58" i="49"/>
  <c r="G71" i="49"/>
  <c r="G84" i="49"/>
  <c r="G126" i="49"/>
  <c r="G206" i="49"/>
  <c r="G125" i="49"/>
  <c r="G55" i="49"/>
  <c r="G279" i="49"/>
  <c r="G230" i="49"/>
  <c r="G275" i="49"/>
  <c r="G229" i="49"/>
  <c r="G194" i="49"/>
  <c r="G175" i="49"/>
  <c r="G47" i="49"/>
  <c r="G234" i="49"/>
  <c r="G11" i="49"/>
  <c r="G142" i="49"/>
  <c r="G174" i="49"/>
  <c r="G156" i="49"/>
  <c r="G222" i="49"/>
  <c r="G164" i="49"/>
  <c r="G162" i="49"/>
  <c r="G51" i="49"/>
  <c r="G118" i="49"/>
  <c r="G163" i="49"/>
  <c r="G28" i="49"/>
  <c r="G50" i="49"/>
  <c r="G19" i="49"/>
  <c r="G113" i="49"/>
  <c r="G124" i="49"/>
  <c r="G14" i="49"/>
  <c r="G258" i="49"/>
  <c r="G31" i="49"/>
  <c r="G38" i="49"/>
  <c r="G66" i="49"/>
  <c r="G295" i="49"/>
  <c r="G15" i="49"/>
  <c r="G190" i="49"/>
  <c r="G149" i="49"/>
  <c r="G265" i="49"/>
  <c r="G238" i="49"/>
  <c r="G82" i="49"/>
  <c r="G78" i="49"/>
  <c r="G225" i="49"/>
  <c r="G74" i="49"/>
  <c r="G90" i="49"/>
  <c r="G13" i="49"/>
  <c r="G16" i="49"/>
  <c r="G106" i="49"/>
  <c r="G46" i="49"/>
  <c r="G67" i="49"/>
  <c r="G83" i="49"/>
  <c r="G288" i="49"/>
  <c r="G138" i="49"/>
  <c r="G122" i="49"/>
  <c r="G79" i="49"/>
  <c r="G298" i="49"/>
  <c r="G76" i="49"/>
  <c r="G239" i="49"/>
  <c r="G105" i="49"/>
  <c r="G89" i="49"/>
  <c r="G94" i="49"/>
  <c r="G247" i="49"/>
  <c r="G182" i="49"/>
  <c r="G129" i="49"/>
  <c r="G195" i="49"/>
  <c r="G287" i="49"/>
  <c r="G59" i="49"/>
  <c r="D314" i="25"/>
  <c r="D313" i="33"/>
  <c r="R315" i="19"/>
  <c r="J169" i="49" l="1"/>
  <c r="K169" i="49" s="1"/>
  <c r="L169" i="49" s="1"/>
  <c r="J243" i="49"/>
  <c r="J218" i="49"/>
  <c r="F324" i="34"/>
  <c r="J127" i="13"/>
  <c r="J45" i="13"/>
  <c r="J198" i="13"/>
  <c r="J111" i="13"/>
  <c r="J123" i="13"/>
  <c r="J157" i="13"/>
  <c r="J274" i="13"/>
  <c r="J9" i="13"/>
  <c r="J64" i="13"/>
  <c r="J227" i="13"/>
  <c r="J207" i="13"/>
  <c r="J49" i="13"/>
  <c r="J144" i="13"/>
  <c r="J8" i="49"/>
  <c r="K8" i="49" s="1"/>
  <c r="J296" i="13"/>
  <c r="C5" i="39"/>
  <c r="G35" i="49"/>
  <c r="J35" i="13"/>
  <c r="G41" i="49"/>
  <c r="J41" i="13"/>
  <c r="G43" i="49"/>
  <c r="G52" i="49"/>
  <c r="G81" i="49"/>
  <c r="G88" i="49"/>
  <c r="J88" i="13"/>
  <c r="G100" i="49"/>
  <c r="G104" i="49"/>
  <c r="G72" i="49"/>
  <c r="J72" i="13"/>
  <c r="G231" i="49"/>
  <c r="G151" i="49"/>
  <c r="G255" i="49"/>
  <c r="G139" i="49"/>
  <c r="J139" i="13"/>
  <c r="G208" i="49"/>
  <c r="J208" i="13"/>
  <c r="G281" i="49"/>
  <c r="G109" i="49"/>
  <c r="G221" i="49"/>
  <c r="G290" i="49"/>
  <c r="J290" i="13"/>
  <c r="G159" i="49"/>
  <c r="J159" i="13"/>
  <c r="G152" i="49"/>
  <c r="J152" i="13"/>
  <c r="G172" i="49"/>
  <c r="G246" i="49"/>
  <c r="J246" i="13"/>
  <c r="G154" i="49"/>
  <c r="J154" i="13"/>
  <c r="G155" i="49"/>
  <c r="G183" i="49"/>
  <c r="J183" i="13"/>
  <c r="G36" i="49"/>
  <c r="G161" i="49"/>
  <c r="G248" i="49"/>
  <c r="G22" i="49"/>
  <c r="G177" i="49"/>
  <c r="G253" i="49"/>
  <c r="G178" i="49"/>
  <c r="G220" i="49"/>
  <c r="J220" i="13"/>
  <c r="G291" i="49"/>
  <c r="G188" i="49"/>
  <c r="G80" i="49"/>
  <c r="G119" i="49"/>
  <c r="G203" i="49"/>
  <c r="G37" i="49"/>
  <c r="G200" i="49"/>
  <c r="G269" i="49"/>
  <c r="G117" i="49"/>
  <c r="G197" i="49"/>
  <c r="J197" i="13"/>
  <c r="G282" i="49"/>
  <c r="G309" i="49"/>
  <c r="G277" i="49"/>
  <c r="J277" i="13"/>
  <c r="G311" i="49"/>
  <c r="J311" i="13"/>
  <c r="G48" i="49"/>
  <c r="J48" i="13"/>
  <c r="G254" i="49"/>
  <c r="G272" i="49"/>
  <c r="J272" i="13"/>
  <c r="G91" i="49"/>
  <c r="J91" i="13"/>
  <c r="G179" i="49"/>
  <c r="J179" i="13"/>
  <c r="G112" i="49"/>
  <c r="J112" i="13"/>
  <c r="G261" i="49"/>
  <c r="G202" i="49"/>
  <c r="J202" i="13"/>
  <c r="G235" i="49"/>
  <c r="G266" i="49"/>
  <c r="J266" i="13"/>
  <c r="G259" i="49"/>
  <c r="J259" i="13"/>
  <c r="G233" i="49"/>
  <c r="G145" i="49"/>
  <c r="J145" i="13"/>
  <c r="G130" i="49"/>
  <c r="G24" i="49"/>
  <c r="G187" i="49"/>
  <c r="J187" i="13"/>
  <c r="G60" i="49"/>
  <c r="J60" i="13"/>
  <c r="G289" i="49"/>
  <c r="J289" i="13"/>
  <c r="G213" i="49"/>
  <c r="J213" i="13"/>
  <c r="G39" i="49"/>
  <c r="G140" i="49"/>
  <c r="G25" i="49"/>
  <c r="J25" i="13"/>
  <c r="G302" i="49"/>
  <c r="G110" i="49"/>
  <c r="G251" i="49"/>
  <c r="J251" i="13"/>
  <c r="G184" i="49"/>
  <c r="J184" i="13"/>
  <c r="G307" i="49"/>
  <c r="J307" i="13"/>
  <c r="G270" i="49"/>
  <c r="G176" i="49"/>
  <c r="J176" i="13"/>
  <c r="G49" i="49"/>
  <c r="G53" i="49"/>
  <c r="G97" i="49"/>
  <c r="J97" i="13"/>
  <c r="G191" i="49"/>
  <c r="J191" i="13"/>
  <c r="G280" i="49"/>
  <c r="J280" i="13"/>
  <c r="G135" i="49"/>
  <c r="J135" i="13"/>
  <c r="G204" i="49"/>
  <c r="J204" i="13"/>
  <c r="G293" i="49"/>
  <c r="J293" i="13"/>
  <c r="G201" i="49"/>
  <c r="J201" i="13"/>
  <c r="G286" i="49"/>
  <c r="J286" i="13"/>
  <c r="G32" i="49"/>
  <c r="J32" i="13"/>
  <c r="G294" i="49"/>
  <c r="J294" i="13"/>
  <c r="G264" i="49"/>
  <c r="J264" i="13"/>
  <c r="G214" i="49"/>
  <c r="G65" i="49"/>
  <c r="J65" i="13"/>
  <c r="G228" i="49"/>
  <c r="J228" i="13"/>
  <c r="G141" i="49"/>
  <c r="J141" i="13"/>
  <c r="G137" i="49"/>
  <c r="J137" i="13"/>
  <c r="G18" i="49"/>
  <c r="J18" i="13"/>
  <c r="G92" i="49"/>
  <c r="J92" i="13"/>
  <c r="G96" i="49"/>
  <c r="J96" i="13"/>
  <c r="G196" i="49"/>
  <c r="G56" i="49"/>
  <c r="J56" i="13"/>
  <c r="G278" i="49"/>
  <c r="J278" i="13"/>
  <c r="G95" i="49"/>
  <c r="G73" i="49"/>
  <c r="J73" i="13"/>
  <c r="G69" i="49"/>
  <c r="G260" i="49"/>
  <c r="J260" i="13"/>
  <c r="G252" i="49"/>
  <c r="J252" i="13"/>
  <c r="G99" i="49"/>
  <c r="J99" i="13"/>
  <c r="G257" i="49"/>
  <c r="J257" i="13"/>
  <c r="G267" i="49"/>
  <c r="J267" i="13"/>
  <c r="G77" i="49"/>
  <c r="J77" i="13"/>
  <c r="G134" i="49"/>
  <c r="J134" i="13"/>
  <c r="G283" i="49"/>
  <c r="J283" i="13"/>
  <c r="G207" i="49"/>
  <c r="G61" i="49"/>
  <c r="G273" i="49"/>
  <c r="G217" i="49"/>
  <c r="G128" i="49"/>
  <c r="J128" i="13"/>
  <c r="G250" i="49"/>
  <c r="J250" i="13"/>
  <c r="G114" i="49"/>
  <c r="J114" i="13"/>
  <c r="J61" i="13"/>
  <c r="J273" i="13"/>
  <c r="J104" i="13"/>
  <c r="J233" i="13"/>
  <c r="J39" i="13"/>
  <c r="J151" i="13"/>
  <c r="J117" i="13"/>
  <c r="G68" i="49"/>
  <c r="J68" i="13"/>
  <c r="J95" i="13"/>
  <c r="J69" i="13"/>
  <c r="J281" i="13"/>
  <c r="J309" i="13"/>
  <c r="G21" i="49"/>
  <c r="J158" i="13"/>
  <c r="C5" i="12"/>
  <c r="F5" i="32"/>
  <c r="I5" i="32" s="1"/>
  <c r="J6" i="13"/>
  <c r="J304" i="13"/>
  <c r="J301" i="13"/>
  <c r="C5" i="33"/>
  <c r="J7" i="49"/>
  <c r="L7" i="49" s="1"/>
  <c r="J9" i="49"/>
  <c r="J13" i="49"/>
  <c r="J17" i="49"/>
  <c r="J21" i="49"/>
  <c r="J25" i="49"/>
  <c r="J29" i="49"/>
  <c r="J32" i="49"/>
  <c r="J36" i="49"/>
  <c r="J40" i="49"/>
  <c r="J44" i="49"/>
  <c r="J48" i="49"/>
  <c r="J52" i="49"/>
  <c r="J56" i="49"/>
  <c r="J60" i="49"/>
  <c r="J64" i="49"/>
  <c r="J68" i="49"/>
  <c r="J12" i="49"/>
  <c r="J18" i="49"/>
  <c r="J23" i="49"/>
  <c r="J28" i="49"/>
  <c r="J33" i="49"/>
  <c r="J38" i="49"/>
  <c r="J43" i="49"/>
  <c r="J49" i="49"/>
  <c r="J54" i="49"/>
  <c r="J59" i="49"/>
  <c r="J65" i="49"/>
  <c r="J70" i="49"/>
  <c r="J74" i="49"/>
  <c r="J78" i="49"/>
  <c r="J82" i="49"/>
  <c r="J86" i="49"/>
  <c r="J90" i="49"/>
  <c r="J94" i="49"/>
  <c r="J98" i="49"/>
  <c r="J102" i="49"/>
  <c r="J106" i="49"/>
  <c r="J110" i="49"/>
  <c r="J114" i="49"/>
  <c r="J118" i="49"/>
  <c r="L118" i="49" s="1"/>
  <c r="J122" i="49"/>
  <c r="J126" i="49"/>
  <c r="L126" i="49" s="1"/>
  <c r="J130" i="49"/>
  <c r="L130" i="49" s="1"/>
  <c r="J134" i="49"/>
  <c r="L134" i="49" s="1"/>
  <c r="J138" i="49"/>
  <c r="J142" i="49"/>
  <c r="J146" i="49"/>
  <c r="J150" i="49"/>
  <c r="L150" i="49" s="1"/>
  <c r="J154" i="49"/>
  <c r="L154" i="49" s="1"/>
  <c r="J158" i="49"/>
  <c r="J162" i="49"/>
  <c r="J170" i="49"/>
  <c r="J177" i="49"/>
  <c r="J181" i="49"/>
  <c r="J185" i="49"/>
  <c r="J189" i="49"/>
  <c r="J193" i="49"/>
  <c r="J197" i="49"/>
  <c r="J201" i="49"/>
  <c r="L201" i="49" s="1"/>
  <c r="J205" i="49"/>
  <c r="J209" i="49"/>
  <c r="J213" i="49"/>
  <c r="J217" i="49"/>
  <c r="J220" i="49"/>
  <c r="J224" i="49"/>
  <c r="L224" i="49" s="1"/>
  <c r="J228" i="49"/>
  <c r="J11" i="49"/>
  <c r="J19" i="49"/>
  <c r="J26" i="49"/>
  <c r="J39" i="49"/>
  <c r="J46" i="49"/>
  <c r="J53" i="49"/>
  <c r="J61" i="49"/>
  <c r="J67" i="49"/>
  <c r="J73" i="49"/>
  <c r="J79" i="49"/>
  <c r="J84" i="49"/>
  <c r="J89" i="49"/>
  <c r="J95" i="49"/>
  <c r="J100" i="49"/>
  <c r="J105" i="49"/>
  <c r="J111" i="49"/>
  <c r="L111" i="49" s="1"/>
  <c r="J116" i="49"/>
  <c r="L116" i="49" s="1"/>
  <c r="J121" i="49"/>
  <c r="L121" i="49" s="1"/>
  <c r="J127" i="49"/>
  <c r="L127" i="49" s="1"/>
  <c r="J132" i="49"/>
  <c r="J137" i="49"/>
  <c r="J143" i="49"/>
  <c r="L143" i="49" s="1"/>
  <c r="J148" i="49"/>
  <c r="L148" i="49" s="1"/>
  <c r="J153" i="49"/>
  <c r="L153" i="49" s="1"/>
  <c r="J159" i="49"/>
  <c r="J163" i="49"/>
  <c r="J166" i="49"/>
  <c r="J171" i="49"/>
  <c r="J175" i="49"/>
  <c r="J180" i="49"/>
  <c r="J186" i="49"/>
  <c r="J191" i="49"/>
  <c r="J196" i="49"/>
  <c r="J202" i="49"/>
  <c r="L202" i="49" s="1"/>
  <c r="J207" i="49"/>
  <c r="J212" i="49"/>
  <c r="J222" i="49"/>
  <c r="J227" i="49"/>
  <c r="J232" i="49"/>
  <c r="J235" i="49"/>
  <c r="J237" i="49"/>
  <c r="J241" i="49"/>
  <c r="J246" i="49"/>
  <c r="J250" i="49"/>
  <c r="J254" i="49"/>
  <c r="J258" i="49"/>
  <c r="J262" i="49"/>
  <c r="J266" i="49"/>
  <c r="J270" i="49"/>
  <c r="J274" i="49"/>
  <c r="L274" i="49" s="1"/>
  <c r="J278" i="49"/>
  <c r="L278" i="49" s="1"/>
  <c r="J282" i="49"/>
  <c r="L282" i="49" s="1"/>
  <c r="J286" i="49"/>
  <c r="J290" i="49"/>
  <c r="J294" i="49"/>
  <c r="J297" i="49"/>
  <c r="J301" i="49"/>
  <c r="J305" i="49"/>
  <c r="J309" i="49"/>
  <c r="J313" i="49"/>
  <c r="J10" i="49"/>
  <c r="J20" i="49"/>
  <c r="J30" i="49"/>
  <c r="J37" i="49"/>
  <c r="J47" i="49"/>
  <c r="J57" i="49"/>
  <c r="J66" i="49"/>
  <c r="J75" i="49"/>
  <c r="J81" i="49"/>
  <c r="J88" i="49"/>
  <c r="J96" i="49"/>
  <c r="J103" i="49"/>
  <c r="J109" i="49"/>
  <c r="J117" i="49"/>
  <c r="J124" i="49"/>
  <c r="J131" i="49"/>
  <c r="J139" i="49"/>
  <c r="J145" i="49"/>
  <c r="J152" i="49"/>
  <c r="J160" i="49"/>
  <c r="J176" i="49"/>
  <c r="J183" i="49"/>
  <c r="J190" i="49"/>
  <c r="L190" i="49" s="1"/>
  <c r="J198" i="49"/>
  <c r="J204" i="49"/>
  <c r="J211" i="49"/>
  <c r="J219" i="49"/>
  <c r="J225" i="49"/>
  <c r="J231" i="49"/>
  <c r="J239" i="49"/>
  <c r="J245" i="49"/>
  <c r="J251" i="49"/>
  <c r="J256" i="49"/>
  <c r="J261" i="49"/>
  <c r="J267" i="49"/>
  <c r="J272" i="49"/>
  <c r="J277" i="49"/>
  <c r="L277" i="49" s="1"/>
  <c r="J283" i="49"/>
  <c r="L283" i="49" s="1"/>
  <c r="J288" i="49"/>
  <c r="J293" i="49"/>
  <c r="J298" i="49"/>
  <c r="J303" i="49"/>
  <c r="J308" i="49"/>
  <c r="J14" i="49"/>
  <c r="L14" i="49" s="1"/>
  <c r="J22" i="49"/>
  <c r="J31" i="49"/>
  <c r="J41" i="49"/>
  <c r="J50" i="49"/>
  <c r="J58" i="49"/>
  <c r="J69" i="49"/>
  <c r="J76" i="49"/>
  <c r="J83" i="49"/>
  <c r="J91" i="49"/>
  <c r="J97" i="49"/>
  <c r="J104" i="49"/>
  <c r="J112" i="49"/>
  <c r="J119" i="49"/>
  <c r="L119" i="49" s="1"/>
  <c r="J125" i="49"/>
  <c r="L125" i="49" s="1"/>
  <c r="J133" i="49"/>
  <c r="L133" i="49" s="1"/>
  <c r="J140" i="49"/>
  <c r="J147" i="49"/>
  <c r="J155" i="49"/>
  <c r="L155" i="49" s="1"/>
  <c r="J161" i="49"/>
  <c r="J165" i="49"/>
  <c r="J172" i="49"/>
  <c r="J178" i="49"/>
  <c r="J184" i="49"/>
  <c r="J192" i="49"/>
  <c r="J199" i="49"/>
  <c r="J206" i="49"/>
  <c r="J214" i="49"/>
  <c r="J226" i="49"/>
  <c r="J233" i="49"/>
  <c r="J236" i="49"/>
  <c r="J240" i="49"/>
  <c r="J247" i="49"/>
  <c r="J252" i="49"/>
  <c r="J257" i="49"/>
  <c r="J263" i="49"/>
  <c r="J268" i="49"/>
  <c r="J273" i="49"/>
  <c r="J279" i="49"/>
  <c r="L279" i="49" s="1"/>
  <c r="J284" i="49"/>
  <c r="J289" i="49"/>
  <c r="J295" i="49"/>
  <c r="L295" i="49" s="1"/>
  <c r="J299" i="49"/>
  <c r="J304" i="49"/>
  <c r="L304" i="49" s="1"/>
  <c r="J310" i="49"/>
  <c r="J15" i="49"/>
  <c r="J24" i="49"/>
  <c r="J34" i="49"/>
  <c r="J42" i="49"/>
  <c r="J51" i="49"/>
  <c r="J62" i="49"/>
  <c r="J71" i="49"/>
  <c r="J77" i="49"/>
  <c r="J85" i="49"/>
  <c r="J92" i="49"/>
  <c r="J99" i="49"/>
  <c r="J107" i="49"/>
  <c r="J113" i="49"/>
  <c r="L113" i="49" s="1"/>
  <c r="J120" i="49"/>
  <c r="L120" i="49" s="1"/>
  <c r="J128" i="49"/>
  <c r="L128" i="49" s="1"/>
  <c r="J135" i="49"/>
  <c r="J141" i="49"/>
  <c r="J149" i="49"/>
  <c r="L149" i="49" s="1"/>
  <c r="J156" i="49"/>
  <c r="J167" i="49"/>
  <c r="J173" i="49"/>
  <c r="J179" i="49"/>
  <c r="J187" i="49"/>
  <c r="J194" i="49"/>
  <c r="J200" i="49"/>
  <c r="J208" i="49"/>
  <c r="J215" i="49"/>
  <c r="J221" i="49"/>
  <c r="J229" i="49"/>
  <c r="J242" i="49"/>
  <c r="J248" i="49"/>
  <c r="J253" i="49"/>
  <c r="J259" i="49"/>
  <c r="J264" i="49"/>
  <c r="J269" i="49"/>
  <c r="J275" i="49"/>
  <c r="L275" i="49" s="1"/>
  <c r="J280" i="49"/>
  <c r="L280" i="49" s="1"/>
  <c r="J285" i="49"/>
  <c r="J291" i="49"/>
  <c r="J300" i="49"/>
  <c r="J306" i="49"/>
  <c r="J311" i="49"/>
  <c r="J45" i="49"/>
  <c r="J80" i="49"/>
  <c r="J108" i="49"/>
  <c r="J136" i="49"/>
  <c r="L136" i="49" s="1"/>
  <c r="J164" i="49"/>
  <c r="J188" i="49"/>
  <c r="J216" i="49"/>
  <c r="J238" i="49"/>
  <c r="J260" i="49"/>
  <c r="J281" i="49"/>
  <c r="L281" i="49" s="1"/>
  <c r="J302" i="49"/>
  <c r="J63" i="49"/>
  <c r="J174" i="49"/>
  <c r="J249" i="49"/>
  <c r="J292" i="49"/>
  <c r="J35" i="49"/>
  <c r="J72" i="49"/>
  <c r="J101" i="49"/>
  <c r="J129" i="49"/>
  <c r="L129" i="49" s="1"/>
  <c r="J157" i="49"/>
  <c r="L157" i="49" s="1"/>
  <c r="J182" i="49"/>
  <c r="J210" i="49"/>
  <c r="J234" i="49"/>
  <c r="J255" i="49"/>
  <c r="J276" i="49"/>
  <c r="L276" i="49" s="1"/>
  <c r="J296" i="49"/>
  <c r="J16" i="49"/>
  <c r="J55" i="49"/>
  <c r="J87" i="49"/>
  <c r="J115" i="49"/>
  <c r="J144" i="49"/>
  <c r="J168" i="49"/>
  <c r="J195" i="49"/>
  <c r="J223" i="49"/>
  <c r="L223" i="49" s="1"/>
  <c r="J244" i="49"/>
  <c r="J265" i="49"/>
  <c r="J287" i="49"/>
  <c r="J307" i="49"/>
  <c r="J27" i="49"/>
  <c r="J93" i="49"/>
  <c r="J123" i="49"/>
  <c r="L123" i="49" s="1"/>
  <c r="J151" i="49"/>
  <c r="J203" i="49"/>
  <c r="J230" i="49"/>
  <c r="J271" i="49"/>
  <c r="J312" i="49"/>
  <c r="L312" i="49" s="1"/>
  <c r="J253" i="13"/>
  <c r="J221" i="13"/>
  <c r="J93" i="13"/>
  <c r="J43" i="13"/>
  <c r="J29" i="13"/>
  <c r="G23" i="49"/>
  <c r="G29" i="49"/>
  <c r="G40" i="49"/>
  <c r="J40" i="13"/>
  <c r="G42" i="49"/>
  <c r="G44" i="49"/>
  <c r="G54" i="49"/>
  <c r="G75" i="49"/>
  <c r="J75" i="13"/>
  <c r="G85" i="49"/>
  <c r="J85" i="13"/>
  <c r="G93" i="49"/>
  <c r="G101" i="49"/>
  <c r="J101" i="13"/>
  <c r="G107" i="49"/>
  <c r="J107" i="13"/>
  <c r="G133" i="49"/>
  <c r="J133" i="13"/>
  <c r="G313" i="49"/>
  <c r="G211" i="49"/>
  <c r="J211" i="13"/>
  <c r="G284" i="49"/>
  <c r="G173" i="49"/>
  <c r="J173" i="13"/>
  <c r="G244" i="49"/>
  <c r="J244" i="13"/>
  <c r="G17" i="49"/>
  <c r="J17" i="13"/>
  <c r="G249" i="49"/>
  <c r="J249" i="13"/>
  <c r="G63" i="49"/>
  <c r="J63" i="13"/>
  <c r="G180" i="49"/>
  <c r="J180" i="13"/>
  <c r="G210" i="49"/>
  <c r="J210" i="13"/>
  <c r="G98" i="49"/>
  <c r="J98" i="13"/>
  <c r="G237" i="49"/>
  <c r="J237" i="13"/>
  <c r="G64" i="49"/>
  <c r="G215" i="49"/>
  <c r="J215" i="13"/>
  <c r="G120" i="49"/>
  <c r="G212" i="49"/>
  <c r="J212" i="13"/>
  <c r="G299" i="49"/>
  <c r="G131" i="49"/>
  <c r="J131" i="13"/>
  <c r="G209" i="49"/>
  <c r="G310" i="49"/>
  <c r="J310" i="13"/>
  <c r="G227" i="49"/>
  <c r="G271" i="49"/>
  <c r="G241" i="49"/>
  <c r="G160" i="49"/>
  <c r="J160" i="13"/>
  <c r="G276" i="49"/>
  <c r="G148" i="49"/>
  <c r="J148" i="13"/>
  <c r="G236" i="49"/>
  <c r="G303" i="49"/>
  <c r="J303" i="13"/>
  <c r="G158" i="49"/>
  <c r="G240" i="49"/>
  <c r="J240" i="13"/>
  <c r="G186" i="49"/>
  <c r="J186" i="13"/>
  <c r="G312" i="49"/>
  <c r="J312" i="13"/>
  <c r="G262" i="49"/>
  <c r="J262" i="13"/>
  <c r="G168" i="49"/>
  <c r="J168" i="13"/>
  <c r="G20" i="49"/>
  <c r="J20" i="13"/>
  <c r="G102" i="49"/>
  <c r="J102" i="13"/>
  <c r="G70" i="49"/>
  <c r="J70" i="13"/>
  <c r="G263" i="49"/>
  <c r="G268" i="49"/>
  <c r="G192" i="49"/>
  <c r="J192" i="13"/>
  <c r="G189" i="49"/>
  <c r="J189" i="13"/>
  <c r="G308" i="49"/>
  <c r="J308" i="13"/>
  <c r="G116" i="49"/>
  <c r="J116" i="13"/>
  <c r="G305" i="49"/>
  <c r="J305" i="13"/>
  <c r="G165" i="49"/>
  <c r="J165" i="13"/>
  <c r="G115" i="49"/>
  <c r="G144" i="49"/>
  <c r="G9" i="49"/>
  <c r="G306" i="49"/>
  <c r="J306" i="13"/>
  <c r="G166" i="49"/>
  <c r="G292" i="49"/>
  <c r="J292" i="13"/>
  <c r="G216" i="49"/>
  <c r="G132" i="49"/>
  <c r="J132" i="13"/>
  <c r="G146" i="49"/>
  <c r="J146" i="13"/>
  <c r="G10" i="49"/>
  <c r="G219" i="49"/>
  <c r="J219" i="13"/>
  <c r="G86" i="49"/>
  <c r="J86" i="13"/>
  <c r="G108" i="49"/>
  <c r="J108" i="13"/>
  <c r="G224" i="49"/>
  <c r="J224" i="13"/>
  <c r="G185" i="49"/>
  <c r="J185" i="13"/>
  <c r="G150" i="49"/>
  <c r="J150" i="13"/>
  <c r="G242" i="49"/>
  <c r="J242" i="13"/>
  <c r="G8" i="49"/>
  <c r="J8" i="13"/>
  <c r="G226" i="49"/>
  <c r="G147" i="49"/>
  <c r="J147" i="13"/>
  <c r="G30" i="49"/>
  <c r="J30" i="13"/>
  <c r="G170" i="49"/>
  <c r="J170" i="13"/>
  <c r="G256" i="49"/>
  <c r="J256" i="13"/>
  <c r="G136" i="49"/>
  <c r="J136" i="13"/>
  <c r="G245" i="49"/>
  <c r="G103" i="49"/>
  <c r="J103" i="13"/>
  <c r="G7" i="49"/>
  <c r="G87" i="49"/>
  <c r="J87" i="13"/>
  <c r="G26" i="49"/>
  <c r="G223" i="49"/>
  <c r="J223" i="13"/>
  <c r="G157" i="49"/>
  <c r="G297" i="49"/>
  <c r="G274" i="49"/>
  <c r="G33" i="49"/>
  <c r="G111" i="49"/>
  <c r="G27" i="49"/>
  <c r="G199" i="49"/>
  <c r="J199" i="13"/>
  <c r="G285" i="49"/>
  <c r="J285" i="13"/>
  <c r="G193" i="49"/>
  <c r="G301" i="49"/>
  <c r="G123" i="49"/>
  <c r="G45" i="49"/>
  <c r="G143" i="49"/>
  <c r="J143" i="13"/>
  <c r="G57" i="49"/>
  <c r="G181" i="49"/>
  <c r="J181" i="13"/>
  <c r="G300" i="49"/>
  <c r="G167" i="49"/>
  <c r="J167" i="13"/>
  <c r="G62" i="49"/>
  <c r="J62" i="13"/>
  <c r="G12" i="49"/>
  <c r="J12" i="13"/>
  <c r="G127" i="49"/>
  <c r="G296" i="49"/>
  <c r="G153" i="49"/>
  <c r="G121" i="49"/>
  <c r="G304" i="49"/>
  <c r="G198" i="49"/>
  <c r="G232" i="49"/>
  <c r="J153" i="13"/>
  <c r="J121" i="13"/>
  <c r="J263" i="13"/>
  <c r="J268" i="13"/>
  <c r="J57" i="13"/>
  <c r="J300" i="13"/>
  <c r="J226" i="13"/>
  <c r="J313" i="13"/>
  <c r="J241" i="13"/>
  <c r="J236" i="13"/>
  <c r="J81" i="13"/>
  <c r="J21" i="13"/>
  <c r="J231" i="13"/>
  <c r="J255" i="13"/>
  <c r="J155" i="13"/>
  <c r="J36" i="13"/>
  <c r="J161" i="13"/>
  <c r="J248" i="13"/>
  <c r="J22" i="13"/>
  <c r="J177" i="13"/>
  <c r="J178" i="13"/>
  <c r="J291" i="13"/>
  <c r="J188" i="13"/>
  <c r="J80" i="13"/>
  <c r="J203" i="13"/>
  <c r="J37" i="13"/>
  <c r="J200" i="13"/>
  <c r="J269" i="13"/>
  <c r="J282" i="13"/>
  <c r="J100" i="13"/>
  <c r="J54" i="13"/>
  <c r="J42" i="13"/>
  <c r="J23" i="13"/>
  <c r="F314" i="49"/>
  <c r="J195" i="13"/>
  <c r="J288" i="13"/>
  <c r="J16" i="13"/>
  <c r="J238" i="13"/>
  <c r="J66" i="13"/>
  <c r="J50" i="13"/>
  <c r="J142" i="13"/>
  <c r="J229" i="13"/>
  <c r="J206" i="13"/>
  <c r="J89" i="13"/>
  <c r="J13" i="13"/>
  <c r="J265" i="13"/>
  <c r="J124" i="13"/>
  <c r="J51" i="13"/>
  <c r="U315" i="19"/>
  <c r="J11" i="13"/>
  <c r="J55" i="13"/>
  <c r="J34" i="13"/>
  <c r="J59" i="13"/>
  <c r="J182" i="13"/>
  <c r="J105" i="13"/>
  <c r="J298" i="13"/>
  <c r="J122" i="13"/>
  <c r="J83" i="13"/>
  <c r="J90" i="13"/>
  <c r="J78" i="13"/>
  <c r="J149" i="13"/>
  <c r="J15" i="13"/>
  <c r="J31" i="13"/>
  <c r="J113" i="13"/>
  <c r="J28" i="13"/>
  <c r="J162" i="13"/>
  <c r="J156" i="13"/>
  <c r="J175" i="13"/>
  <c r="J275" i="13"/>
  <c r="J125" i="13"/>
  <c r="J84" i="13"/>
  <c r="J94" i="13"/>
  <c r="J67" i="13"/>
  <c r="J74" i="13"/>
  <c r="J190" i="13"/>
  <c r="J14" i="13"/>
  <c r="J118" i="13"/>
  <c r="J222" i="13"/>
  <c r="J47" i="13"/>
  <c r="J279" i="13"/>
  <c r="J58" i="13"/>
  <c r="J129" i="13"/>
  <c r="J76" i="13"/>
  <c r="J46" i="13"/>
  <c r="J225" i="13"/>
  <c r="J38" i="13"/>
  <c r="J126" i="13"/>
  <c r="J205" i="13"/>
  <c r="J287" i="13"/>
  <c r="J247" i="13"/>
  <c r="J239" i="13"/>
  <c r="J79" i="13"/>
  <c r="J138" i="13"/>
  <c r="J106" i="13"/>
  <c r="J82" i="13"/>
  <c r="J295" i="13"/>
  <c r="J258" i="13"/>
  <c r="J19" i="13"/>
  <c r="J163" i="13"/>
  <c r="J164" i="13"/>
  <c r="J174" i="13"/>
  <c r="J234" i="13"/>
  <c r="J194" i="13"/>
  <c r="J230" i="13"/>
  <c r="J71" i="13"/>
  <c r="J171" i="13"/>
  <c r="F9" i="48" l="1"/>
  <c r="E6" i="25"/>
  <c r="M6" i="49"/>
  <c r="C5" i="11"/>
  <c r="C16" i="34"/>
  <c r="C313" i="39"/>
  <c r="K218" i="49"/>
  <c r="L218" i="49" s="1"/>
  <c r="K243" i="49"/>
  <c r="L243" i="49" s="1"/>
  <c r="J314" i="13"/>
  <c r="E5" i="33"/>
  <c r="D5" i="37" s="1"/>
  <c r="G5" i="32"/>
  <c r="F313" i="32"/>
  <c r="I313" i="32" s="1"/>
  <c r="S315" i="19"/>
  <c r="K230" i="49"/>
  <c r="L230" i="49" s="1"/>
  <c r="K265" i="49"/>
  <c r="L265" i="49" s="1"/>
  <c r="K55" i="49"/>
  <c r="L55" i="49" s="1"/>
  <c r="K63" i="49"/>
  <c r="L63" i="49" s="1"/>
  <c r="K253" i="49"/>
  <c r="L253" i="49" s="1"/>
  <c r="K179" i="49"/>
  <c r="L179" i="49" s="1"/>
  <c r="K71" i="49"/>
  <c r="L71" i="49" s="1"/>
  <c r="K34" i="49"/>
  <c r="L34" i="49" s="1"/>
  <c r="K284" i="49"/>
  <c r="L284" i="49" s="1"/>
  <c r="K240" i="49"/>
  <c r="L240" i="49" s="1"/>
  <c r="K192" i="49"/>
  <c r="L192" i="49" s="1"/>
  <c r="K140" i="49"/>
  <c r="L140" i="49" s="1"/>
  <c r="K83" i="49"/>
  <c r="L83" i="49" s="1"/>
  <c r="K50" i="49"/>
  <c r="L50" i="49" s="1"/>
  <c r="K293" i="49"/>
  <c r="L293" i="49" s="1"/>
  <c r="K251" i="49"/>
  <c r="L251" i="49" s="1"/>
  <c r="K231" i="49"/>
  <c r="L231" i="49" s="1"/>
  <c r="K176" i="49"/>
  <c r="L176" i="49" s="1"/>
  <c r="K124" i="49"/>
  <c r="L124" i="49" s="1"/>
  <c r="K66" i="49"/>
  <c r="L66" i="49" s="1"/>
  <c r="K309" i="49"/>
  <c r="L309" i="49" s="1"/>
  <c r="K294" i="49"/>
  <c r="L294" i="49" s="1"/>
  <c r="K262" i="49"/>
  <c r="L262" i="49" s="1"/>
  <c r="K232" i="49"/>
  <c r="L232" i="49" s="1"/>
  <c r="K191" i="49"/>
  <c r="L191" i="49" s="1"/>
  <c r="K171" i="49"/>
  <c r="L171" i="49" s="1"/>
  <c r="K132" i="49"/>
  <c r="L132" i="49" s="1"/>
  <c r="K89" i="49"/>
  <c r="L89" i="49" s="1"/>
  <c r="K39" i="49"/>
  <c r="L39" i="49" s="1"/>
  <c r="K170" i="49"/>
  <c r="L170" i="49" s="1"/>
  <c r="K94" i="49"/>
  <c r="L94" i="49" s="1"/>
  <c r="K78" i="49"/>
  <c r="L78" i="49" s="1"/>
  <c r="K18" i="49"/>
  <c r="L18" i="49" s="1"/>
  <c r="K44" i="49"/>
  <c r="L44" i="49" s="1"/>
  <c r="K13" i="49"/>
  <c r="L13" i="49" s="1"/>
  <c r="K203" i="49"/>
  <c r="L203" i="49" s="1"/>
  <c r="K244" i="49"/>
  <c r="L244" i="49" s="1"/>
  <c r="K16" i="49"/>
  <c r="L16" i="49" s="1"/>
  <c r="K234" i="49"/>
  <c r="L234" i="49" s="1"/>
  <c r="K292" i="49"/>
  <c r="L292" i="49" s="1"/>
  <c r="K216" i="49"/>
  <c r="L216" i="49" s="1"/>
  <c r="K311" i="49"/>
  <c r="L311" i="49" s="1"/>
  <c r="K269" i="49"/>
  <c r="L269" i="49" s="1"/>
  <c r="K248" i="49"/>
  <c r="L248" i="49" s="1"/>
  <c r="K200" i="49"/>
  <c r="L200" i="49" s="1"/>
  <c r="K173" i="49"/>
  <c r="L173" i="49" s="1"/>
  <c r="K62" i="49"/>
  <c r="L62" i="49" s="1"/>
  <c r="K236" i="49"/>
  <c r="L236" i="49" s="1"/>
  <c r="K184" i="49"/>
  <c r="L184" i="49" s="1"/>
  <c r="K76" i="49"/>
  <c r="L76" i="49" s="1"/>
  <c r="K308" i="49"/>
  <c r="L308" i="49" s="1"/>
  <c r="K267" i="49"/>
  <c r="L267" i="49" s="1"/>
  <c r="K225" i="49"/>
  <c r="L225" i="49" s="1"/>
  <c r="K117" i="49"/>
  <c r="L117" i="49" s="1"/>
  <c r="K57" i="49"/>
  <c r="L57" i="49" s="1"/>
  <c r="K305" i="49"/>
  <c r="K241" i="49"/>
  <c r="L241" i="49" s="1"/>
  <c r="K186" i="49"/>
  <c r="L186" i="49" s="1"/>
  <c r="K105" i="49"/>
  <c r="L105" i="49" s="1"/>
  <c r="K61" i="49"/>
  <c r="L61" i="49" s="1"/>
  <c r="K228" i="49"/>
  <c r="L228" i="49" s="1"/>
  <c r="K197" i="49"/>
  <c r="L197" i="49" s="1"/>
  <c r="K181" i="49"/>
  <c r="L181" i="49" s="1"/>
  <c r="K138" i="49"/>
  <c r="L138" i="49" s="1"/>
  <c r="K122" i="49"/>
  <c r="L122" i="49" s="1"/>
  <c r="K106" i="49"/>
  <c r="L106" i="49" s="1"/>
  <c r="K90" i="49"/>
  <c r="L90" i="49" s="1"/>
  <c r="K74" i="49"/>
  <c r="L74" i="49" s="1"/>
  <c r="K54" i="49"/>
  <c r="L54" i="49" s="1"/>
  <c r="K33" i="49"/>
  <c r="L33" i="49" s="1"/>
  <c r="K12" i="49"/>
  <c r="L12" i="49" s="1"/>
  <c r="K56" i="49"/>
  <c r="L56" i="49" s="1"/>
  <c r="K40" i="49"/>
  <c r="L40" i="49" s="1"/>
  <c r="K9" i="49"/>
  <c r="L9" i="49" s="1"/>
  <c r="K271" i="49"/>
  <c r="L271" i="49" s="1"/>
  <c r="K287" i="49"/>
  <c r="L287" i="49" s="1"/>
  <c r="K195" i="49"/>
  <c r="L195" i="49" s="1"/>
  <c r="K87" i="49"/>
  <c r="L87" i="49" s="1"/>
  <c r="K182" i="49"/>
  <c r="L182" i="49" s="1"/>
  <c r="K72" i="49"/>
  <c r="L72" i="49" s="1"/>
  <c r="K174" i="49"/>
  <c r="L174" i="49" s="1"/>
  <c r="K260" i="49"/>
  <c r="L260" i="49" s="1"/>
  <c r="K164" i="49"/>
  <c r="L164" i="49" s="1"/>
  <c r="K45" i="49"/>
  <c r="L45" i="49" s="1"/>
  <c r="K300" i="49"/>
  <c r="L300" i="49" s="1"/>
  <c r="K259" i="49"/>
  <c r="L259" i="49" s="1"/>
  <c r="K215" i="49"/>
  <c r="L215" i="49" s="1"/>
  <c r="K187" i="49"/>
  <c r="L187" i="49" s="1"/>
  <c r="K135" i="49"/>
  <c r="L135" i="49" s="1"/>
  <c r="K107" i="49"/>
  <c r="L107" i="49" s="1"/>
  <c r="K77" i="49"/>
  <c r="L77" i="49" s="1"/>
  <c r="K42" i="49"/>
  <c r="L42" i="49" s="1"/>
  <c r="K310" i="49"/>
  <c r="L310" i="49" s="1"/>
  <c r="K289" i="49"/>
  <c r="L289" i="49" s="1"/>
  <c r="K268" i="49"/>
  <c r="L268" i="49" s="1"/>
  <c r="K247" i="49"/>
  <c r="L247" i="49" s="1"/>
  <c r="K226" i="49"/>
  <c r="L226" i="49" s="1"/>
  <c r="K199" i="49"/>
  <c r="L199" i="49" s="1"/>
  <c r="K172" i="49"/>
  <c r="L172" i="49" s="1"/>
  <c r="K147" i="49"/>
  <c r="L147" i="49" s="1"/>
  <c r="K91" i="49"/>
  <c r="L91" i="49" s="1"/>
  <c r="K58" i="49"/>
  <c r="L58" i="49" s="1"/>
  <c r="K22" i="49"/>
  <c r="L22" i="49" s="1"/>
  <c r="K298" i="49"/>
  <c r="L298" i="49" s="1"/>
  <c r="K256" i="49"/>
  <c r="L256" i="49" s="1"/>
  <c r="K211" i="49"/>
  <c r="L211" i="49" s="1"/>
  <c r="K183" i="49"/>
  <c r="L183" i="49" s="1"/>
  <c r="K160" i="49"/>
  <c r="L160" i="49" s="1"/>
  <c r="K131" i="49"/>
  <c r="L131" i="49" s="1"/>
  <c r="K103" i="49"/>
  <c r="L103" i="49" s="1"/>
  <c r="K75" i="49"/>
  <c r="L75" i="49" s="1"/>
  <c r="K37" i="49"/>
  <c r="L37" i="49" s="1"/>
  <c r="K313" i="49"/>
  <c r="L313" i="49" s="1"/>
  <c r="K297" i="49"/>
  <c r="L297" i="49" s="1"/>
  <c r="K266" i="49"/>
  <c r="L266" i="49" s="1"/>
  <c r="K250" i="49"/>
  <c r="L250" i="49" s="1"/>
  <c r="K235" i="49"/>
  <c r="L235" i="49" s="1"/>
  <c r="K196" i="49"/>
  <c r="L196" i="49" s="1"/>
  <c r="K175" i="49"/>
  <c r="L175" i="49" s="1"/>
  <c r="K159" i="49"/>
  <c r="L159" i="49" s="1"/>
  <c r="K137" i="49"/>
  <c r="L137" i="49" s="1"/>
  <c r="K95" i="49"/>
  <c r="L95" i="49" s="1"/>
  <c r="K73" i="49"/>
  <c r="L73" i="49" s="1"/>
  <c r="K46" i="49"/>
  <c r="L46" i="49" s="1"/>
  <c r="K19" i="49"/>
  <c r="L19" i="49" s="1"/>
  <c r="K220" i="49"/>
  <c r="L220" i="49" s="1"/>
  <c r="K205" i="49"/>
  <c r="L205" i="49" s="1"/>
  <c r="K189" i="49"/>
  <c r="L189" i="49" s="1"/>
  <c r="K162" i="49"/>
  <c r="L162" i="49" s="1"/>
  <c r="K146" i="49"/>
  <c r="L146" i="49" s="1"/>
  <c r="K114" i="49"/>
  <c r="L114" i="49" s="1"/>
  <c r="K98" i="49"/>
  <c r="L98" i="49" s="1"/>
  <c r="K82" i="49"/>
  <c r="L82" i="49" s="1"/>
  <c r="K65" i="49"/>
  <c r="L65" i="49" s="1"/>
  <c r="K43" i="49"/>
  <c r="L43" i="49" s="1"/>
  <c r="K23" i="49"/>
  <c r="L23" i="49" s="1"/>
  <c r="K64" i="49"/>
  <c r="L64" i="49" s="1"/>
  <c r="K48" i="49"/>
  <c r="L48" i="49" s="1"/>
  <c r="K32" i="49"/>
  <c r="L32" i="49" s="1"/>
  <c r="K17" i="49"/>
  <c r="L17" i="49" s="1"/>
  <c r="K93" i="49"/>
  <c r="L93" i="49" s="1"/>
  <c r="K168" i="49"/>
  <c r="L168" i="49" s="1"/>
  <c r="K255" i="49"/>
  <c r="L255" i="49" s="1"/>
  <c r="K35" i="49"/>
  <c r="L35" i="49" s="1"/>
  <c r="K238" i="49"/>
  <c r="L238" i="49" s="1"/>
  <c r="K208" i="49"/>
  <c r="L208" i="49" s="1"/>
  <c r="K156" i="49"/>
  <c r="L156" i="49" s="1"/>
  <c r="K99" i="49"/>
  <c r="L99" i="49" s="1"/>
  <c r="K263" i="49"/>
  <c r="L263" i="49" s="1"/>
  <c r="K165" i="49"/>
  <c r="L165" i="49" s="1"/>
  <c r="K112" i="49"/>
  <c r="L112" i="49" s="1"/>
  <c r="K272" i="49"/>
  <c r="L272" i="49" s="1"/>
  <c r="K204" i="49"/>
  <c r="L204" i="49" s="1"/>
  <c r="K152" i="49"/>
  <c r="L152" i="49" s="1"/>
  <c r="K96" i="49"/>
  <c r="L96" i="49" s="1"/>
  <c r="K30" i="49"/>
  <c r="L30" i="49" s="1"/>
  <c r="K246" i="49"/>
  <c r="L246" i="49" s="1"/>
  <c r="K212" i="49"/>
  <c r="L212" i="49" s="1"/>
  <c r="K67" i="49"/>
  <c r="L67" i="49" s="1"/>
  <c r="K11" i="49"/>
  <c r="L11" i="49" s="1"/>
  <c r="K217" i="49"/>
  <c r="L217" i="49" s="1"/>
  <c r="K185" i="49"/>
  <c r="L185" i="49" s="1"/>
  <c r="K158" i="49"/>
  <c r="L158" i="49" s="1"/>
  <c r="K142" i="49"/>
  <c r="L142" i="49" s="1"/>
  <c r="K110" i="49"/>
  <c r="L110" i="49" s="1"/>
  <c r="K59" i="49"/>
  <c r="L59" i="49" s="1"/>
  <c r="K38" i="49"/>
  <c r="L38" i="49" s="1"/>
  <c r="K60" i="49"/>
  <c r="L60" i="49" s="1"/>
  <c r="K29" i="49"/>
  <c r="L29" i="49" s="1"/>
  <c r="K27" i="49"/>
  <c r="L27" i="49" s="1"/>
  <c r="K144" i="49"/>
  <c r="L144" i="49" s="1"/>
  <c r="L302" i="49"/>
  <c r="K108" i="49"/>
  <c r="L108" i="49" s="1"/>
  <c r="K291" i="49"/>
  <c r="L291" i="49" s="1"/>
  <c r="K229" i="49"/>
  <c r="L229" i="49" s="1"/>
  <c r="K92" i="49"/>
  <c r="L92" i="49" s="1"/>
  <c r="K24" i="49"/>
  <c r="L24" i="49" s="1"/>
  <c r="K299" i="49"/>
  <c r="L299" i="49" s="1"/>
  <c r="K257" i="49"/>
  <c r="L257" i="49" s="1"/>
  <c r="K214" i="49"/>
  <c r="L214" i="49" s="1"/>
  <c r="K161" i="49"/>
  <c r="L161" i="49" s="1"/>
  <c r="K104" i="49"/>
  <c r="L104" i="49" s="1"/>
  <c r="K41" i="49"/>
  <c r="L41" i="49" s="1"/>
  <c r="K288" i="49"/>
  <c r="L288" i="49" s="1"/>
  <c r="K245" i="49"/>
  <c r="L245" i="49" s="1"/>
  <c r="K198" i="49"/>
  <c r="L198" i="49" s="1"/>
  <c r="K145" i="49"/>
  <c r="L145" i="49" s="1"/>
  <c r="K88" i="49"/>
  <c r="L88" i="49" s="1"/>
  <c r="K20" i="49"/>
  <c r="L20" i="49" s="1"/>
  <c r="K290" i="49"/>
  <c r="K258" i="49"/>
  <c r="L258" i="49" s="1"/>
  <c r="K227" i="49"/>
  <c r="L227" i="49" s="1"/>
  <c r="K207" i="49"/>
  <c r="L207" i="49" s="1"/>
  <c r="K166" i="49"/>
  <c r="L166" i="49" s="1"/>
  <c r="K84" i="49"/>
  <c r="L84" i="49" s="1"/>
  <c r="K213" i="49"/>
  <c r="L213" i="49" s="1"/>
  <c r="K25" i="49"/>
  <c r="L25" i="49" s="1"/>
  <c r="K151" i="49"/>
  <c r="L151" i="49" s="1"/>
  <c r="K307" i="49"/>
  <c r="L307" i="49" s="1"/>
  <c r="K115" i="49"/>
  <c r="L115" i="49" s="1"/>
  <c r="K296" i="49"/>
  <c r="K210" i="49"/>
  <c r="L210" i="49" s="1"/>
  <c r="K101" i="49"/>
  <c r="L101" i="49" s="1"/>
  <c r="K249" i="49"/>
  <c r="L249" i="49" s="1"/>
  <c r="K188" i="49"/>
  <c r="L188" i="49" s="1"/>
  <c r="K80" i="49"/>
  <c r="L80" i="49" s="1"/>
  <c r="K306" i="49"/>
  <c r="K285" i="49"/>
  <c r="L285" i="49" s="1"/>
  <c r="K264" i="49"/>
  <c r="L264" i="49" s="1"/>
  <c r="K242" i="49"/>
  <c r="L242" i="49" s="1"/>
  <c r="K221" i="49"/>
  <c r="L221" i="49" s="1"/>
  <c r="K194" i="49"/>
  <c r="L194" i="49" s="1"/>
  <c r="K167" i="49"/>
  <c r="L167" i="49" s="1"/>
  <c r="K141" i="49"/>
  <c r="L141" i="49" s="1"/>
  <c r="K85" i="49"/>
  <c r="L85" i="49" s="1"/>
  <c r="K51" i="49"/>
  <c r="L51" i="49" s="1"/>
  <c r="K15" i="49"/>
  <c r="L15" i="49" s="1"/>
  <c r="K273" i="49"/>
  <c r="L273" i="49" s="1"/>
  <c r="K252" i="49"/>
  <c r="L252" i="49" s="1"/>
  <c r="K233" i="49"/>
  <c r="L233" i="49" s="1"/>
  <c r="K206" i="49"/>
  <c r="L206" i="49" s="1"/>
  <c r="K178" i="49"/>
  <c r="L178" i="49" s="1"/>
  <c r="K97" i="49"/>
  <c r="L97" i="49" s="1"/>
  <c r="K69" i="49"/>
  <c r="L69" i="49" s="1"/>
  <c r="K31" i="49"/>
  <c r="L31" i="49" s="1"/>
  <c r="K303" i="49"/>
  <c r="L303" i="49" s="1"/>
  <c r="K261" i="49"/>
  <c r="L261" i="49" s="1"/>
  <c r="K239" i="49"/>
  <c r="L239" i="49" s="1"/>
  <c r="K219" i="49"/>
  <c r="L219" i="49" s="1"/>
  <c r="K139" i="49"/>
  <c r="L139" i="49" s="1"/>
  <c r="K109" i="49"/>
  <c r="L109" i="49" s="1"/>
  <c r="K81" i="49"/>
  <c r="L81" i="49" s="1"/>
  <c r="K47" i="49"/>
  <c r="L47" i="49" s="1"/>
  <c r="K10" i="49"/>
  <c r="L10" i="49" s="1"/>
  <c r="K301" i="49"/>
  <c r="L301" i="49" s="1"/>
  <c r="K286" i="49"/>
  <c r="K270" i="49"/>
  <c r="L270" i="49" s="1"/>
  <c r="K254" i="49"/>
  <c r="L254" i="49" s="1"/>
  <c r="K237" i="49"/>
  <c r="L237" i="49" s="1"/>
  <c r="K222" i="49"/>
  <c r="L222" i="49" s="1"/>
  <c r="K180" i="49"/>
  <c r="L180" i="49" s="1"/>
  <c r="K163" i="49"/>
  <c r="L163" i="49" s="1"/>
  <c r="K100" i="49"/>
  <c r="L100" i="49" s="1"/>
  <c r="K79" i="49"/>
  <c r="L79" i="49" s="1"/>
  <c r="K53" i="49"/>
  <c r="L53" i="49" s="1"/>
  <c r="K26" i="49"/>
  <c r="L26" i="49" s="1"/>
  <c r="K209" i="49"/>
  <c r="L209" i="49" s="1"/>
  <c r="K193" i="49"/>
  <c r="L193" i="49" s="1"/>
  <c r="K177" i="49"/>
  <c r="L177" i="49" s="1"/>
  <c r="K102" i="49"/>
  <c r="L102" i="49" s="1"/>
  <c r="K86" i="49"/>
  <c r="L86" i="49" s="1"/>
  <c r="K70" i="49"/>
  <c r="L70" i="49" s="1"/>
  <c r="K49" i="49"/>
  <c r="L49" i="49" s="1"/>
  <c r="K28" i="49"/>
  <c r="L28" i="49" s="1"/>
  <c r="K68" i="49"/>
  <c r="L68" i="49" s="1"/>
  <c r="K52" i="49"/>
  <c r="L52" i="49" s="1"/>
  <c r="K36" i="49"/>
  <c r="L36" i="49" s="1"/>
  <c r="K21" i="49"/>
  <c r="L21" i="49" s="1"/>
  <c r="J314" i="49"/>
  <c r="G314" i="49"/>
  <c r="C313" i="12"/>
  <c r="L314" i="13" l="1"/>
  <c r="L290" i="49"/>
  <c r="L286" i="49"/>
  <c r="L296" i="49"/>
  <c r="L306" i="49"/>
  <c r="L305" i="49"/>
  <c r="E47" i="48"/>
  <c r="L8" i="49"/>
  <c r="K314" i="49"/>
  <c r="N314" i="49" s="1"/>
  <c r="G313" i="37"/>
  <c r="G313" i="32"/>
  <c r="C313" i="33"/>
  <c r="B60" i="40" s="1"/>
  <c r="H27" i="37" l="1"/>
  <c r="H35" i="37"/>
  <c r="H11" i="37"/>
  <c r="H51" i="37"/>
  <c r="H67" i="37"/>
  <c r="H71" i="37"/>
  <c r="H75" i="37"/>
  <c r="H82" i="37"/>
  <c r="H110" i="37"/>
  <c r="H150" i="37"/>
  <c r="H187" i="37"/>
  <c r="H212" i="37"/>
  <c r="H227" i="37"/>
  <c r="H241" i="37"/>
  <c r="H47" i="37"/>
  <c r="H78" i="37"/>
  <c r="H177" i="37"/>
  <c r="H180" i="37"/>
  <c r="H43" i="37"/>
  <c r="H50" i="37"/>
  <c r="H66" i="37"/>
  <c r="H74" i="37"/>
  <c r="H122" i="37"/>
  <c r="H146" i="37"/>
  <c r="H28" i="37"/>
  <c r="H39" i="37"/>
  <c r="H59" i="37"/>
  <c r="H130" i="37"/>
  <c r="H154" i="37"/>
  <c r="H229" i="37"/>
  <c r="H248" i="37"/>
  <c r="H19" i="37"/>
  <c r="H58" i="37"/>
  <c r="H91" i="37"/>
  <c r="H107" i="37"/>
  <c r="H118" i="37"/>
  <c r="H8" i="37"/>
  <c r="H38" i="37"/>
  <c r="H83" i="37"/>
  <c r="H99" i="37"/>
  <c r="H162" i="37"/>
  <c r="H175" i="37"/>
  <c r="H86" i="37"/>
  <c r="H90" i="37"/>
  <c r="H102" i="37"/>
  <c r="H201" i="37"/>
  <c r="H209" i="37"/>
  <c r="H237" i="37"/>
  <c r="H245" i="37"/>
  <c r="H256" i="37"/>
  <c r="H278" i="37"/>
  <c r="H287" i="37"/>
  <c r="H307" i="37"/>
  <c r="H223" i="37"/>
  <c r="H259" i="37"/>
  <c r="H267" i="37"/>
  <c r="H277" i="37"/>
  <c r="H290" i="37"/>
  <c r="H295" i="37"/>
  <c r="H299" i="37"/>
  <c r="H204" i="37"/>
  <c r="H215" i="37"/>
  <c r="H228" i="37"/>
  <c r="H244" i="37"/>
  <c r="H262" i="37"/>
  <c r="H270" i="37"/>
  <c r="H273" i="37"/>
  <c r="H306" i="37"/>
  <c r="H183" i="37"/>
  <c r="H276" i="37"/>
  <c r="H289" i="37"/>
  <c r="H298" i="37"/>
  <c r="H310" i="37"/>
  <c r="H243" i="37"/>
  <c r="H257" i="37"/>
  <c r="H275" i="37"/>
  <c r="H301" i="37"/>
  <c r="H309" i="37"/>
  <c r="H196" i="37"/>
  <c r="H213" i="37"/>
  <c r="H219" i="37"/>
  <c r="H235" i="37"/>
  <c r="H240" i="37"/>
  <c r="H251" i="37"/>
  <c r="H216" i="37"/>
  <c r="H282" i="37"/>
  <c r="H291" i="37"/>
  <c r="H293" i="37"/>
  <c r="H252" i="37"/>
  <c r="H274" i="37"/>
  <c r="H79" i="37"/>
  <c r="H304" i="37"/>
  <c r="H249" i="37"/>
  <c r="H265" i="37"/>
  <c r="H100" i="37"/>
  <c r="H34" i="37"/>
  <c r="H247" i="37"/>
  <c r="H193" i="37"/>
  <c r="H224" i="37"/>
  <c r="H178" i="37"/>
  <c r="H15" i="37"/>
  <c r="H221" i="37"/>
  <c r="H45" i="37"/>
  <c r="H145" i="37"/>
  <c r="H72" i="37"/>
  <c r="H163" i="37"/>
  <c r="H84" i="37"/>
  <c r="H160" i="37"/>
  <c r="H33" i="37"/>
  <c r="H253" i="37"/>
  <c r="H174" i="37"/>
  <c r="H14" i="37"/>
  <c r="H147" i="37"/>
  <c r="H77" i="37"/>
  <c r="H279" i="37"/>
  <c r="H312" i="37"/>
  <c r="H232" i="37"/>
  <c r="H20" i="37"/>
  <c r="H292" i="37"/>
  <c r="H222" i="37"/>
  <c r="H98" i="37"/>
  <c r="H302" i="37"/>
  <c r="H239" i="37"/>
  <c r="H191" i="37"/>
  <c r="H296" i="37"/>
  <c r="H111" i="37"/>
  <c r="H202" i="37"/>
  <c r="H135" i="37"/>
  <c r="H30" i="37"/>
  <c r="H182" i="37"/>
  <c r="H139" i="37"/>
  <c r="H69" i="37"/>
  <c r="H157" i="37"/>
  <c r="H149" i="37"/>
  <c r="H105" i="37"/>
  <c r="H250" i="37"/>
  <c r="H170" i="37"/>
  <c r="H96" i="37"/>
  <c r="H214" i="37"/>
  <c r="H136" i="37"/>
  <c r="H238" i="37"/>
  <c r="H176" i="37"/>
  <c r="H115" i="37"/>
  <c r="H22" i="37"/>
  <c r="H269" i="37"/>
  <c r="H16" i="37"/>
  <c r="H208" i="37"/>
  <c r="H297" i="37"/>
  <c r="H199" i="37"/>
  <c r="H233" i="37"/>
  <c r="H94" i="37"/>
  <c r="H231" i="37"/>
  <c r="H173" i="37"/>
  <c r="H194" i="37"/>
  <c r="H57" i="37"/>
  <c r="H156" i="37"/>
  <c r="H188" i="37"/>
  <c r="H132" i="37"/>
  <c r="H124" i="37"/>
  <c r="H65" i="37"/>
  <c r="H133" i="37"/>
  <c r="H9" i="37"/>
  <c r="H93" i="37"/>
  <c r="H158" i="37"/>
  <c r="H63" i="37"/>
  <c r="H205" i="37"/>
  <c r="H129" i="37"/>
  <c r="H49" i="37"/>
  <c r="H230" i="37"/>
  <c r="H73" i="37"/>
  <c r="H17" i="37"/>
  <c r="H261" i="37"/>
  <c r="H198" i="37"/>
  <c r="H12" i="37"/>
  <c r="H190" i="37"/>
  <c r="H217" i="37"/>
  <c r="H92" i="37"/>
  <c r="H286" i="37"/>
  <c r="H153" i="37"/>
  <c r="H172" i="37"/>
  <c r="H121" i="37"/>
  <c r="H55" i="37"/>
  <c r="H46" i="37"/>
  <c r="H152" i="37"/>
  <c r="H89" i="37"/>
  <c r="H140" i="37"/>
  <c r="H60" i="37"/>
  <c r="H192" i="37"/>
  <c r="H113" i="37"/>
  <c r="H44" i="37"/>
  <c r="H225" i="37"/>
  <c r="H155" i="37"/>
  <c r="H68" i="37"/>
  <c r="H211" i="37"/>
  <c r="H303" i="37"/>
  <c r="H189" i="37"/>
  <c r="H271" i="37"/>
  <c r="H285" i="37"/>
  <c r="H185" i="37"/>
  <c r="H142" i="37"/>
  <c r="H88" i="37"/>
  <c r="H311" i="37"/>
  <c r="H195" i="37"/>
  <c r="H281" i="37"/>
  <c r="H167" i="37"/>
  <c r="H54" i="37"/>
  <c r="H141" i="37"/>
  <c r="H61" i="37"/>
  <c r="H165" i="37"/>
  <c r="H32" i="37"/>
  <c r="H127" i="37"/>
  <c r="H25" i="37"/>
  <c r="H119" i="37"/>
  <c r="H56" i="37"/>
  <c r="H246" i="37"/>
  <c r="H134" i="37"/>
  <c r="H101" i="37"/>
  <c r="H144" i="37"/>
  <c r="H41" i="37"/>
  <c r="H294" i="37"/>
  <c r="H300" i="37"/>
  <c r="H184" i="37"/>
  <c r="H263" i="37"/>
  <c r="H283" i="37"/>
  <c r="H138" i="37"/>
  <c r="H70" i="37"/>
  <c r="H186" i="37"/>
  <c r="H164" i="37"/>
  <c r="H40" i="37"/>
  <c r="H126" i="37"/>
  <c r="H171" i="37"/>
  <c r="H64" i="37"/>
  <c r="H218" i="37"/>
  <c r="H80" i="37"/>
  <c r="H6" i="37"/>
  <c r="H169" i="37"/>
  <c r="H108" i="37"/>
  <c r="H143" i="37"/>
  <c r="H23" i="37"/>
  <c r="H236" i="37"/>
  <c r="H37" i="37"/>
  <c r="H168" i="37"/>
  <c r="H206" i="37"/>
  <c r="H137" i="37"/>
  <c r="H36" i="37"/>
  <c r="H268" i="37"/>
  <c r="H103" i="37"/>
  <c r="H203" i="37"/>
  <c r="H272" i="37"/>
  <c r="H106" i="37"/>
  <c r="H62" i="37"/>
  <c r="H266" i="37"/>
  <c r="H284" i="37"/>
  <c r="H181" i="37"/>
  <c r="H226" i="37"/>
  <c r="H258" i="37"/>
  <c r="H120" i="37"/>
  <c r="H31" i="37"/>
  <c r="H117" i="37"/>
  <c r="H242" i="37"/>
  <c r="H52" i="37"/>
  <c r="H210" i="37"/>
  <c r="H151" i="37"/>
  <c r="H166" i="37"/>
  <c r="H53" i="37"/>
  <c r="H131" i="37"/>
  <c r="H220" i="37"/>
  <c r="H128" i="37"/>
  <c r="H29" i="37"/>
  <c r="H161" i="37"/>
  <c r="H85" i="37"/>
  <c r="H18" i="37"/>
  <c r="H10" i="37"/>
  <c r="H305" i="37"/>
  <c r="H260" i="37"/>
  <c r="H87" i="37"/>
  <c r="H308" i="37"/>
  <c r="H254" i="37"/>
  <c r="H104" i="37"/>
  <c r="H42" i="37"/>
  <c r="H255" i="37"/>
  <c r="H179" i="37"/>
  <c r="H200" i="37"/>
  <c r="H97" i="37"/>
  <c r="H21" i="37"/>
  <c r="H114" i="37"/>
  <c r="H24" i="37"/>
  <c r="H234" i="37"/>
  <c r="H159" i="37"/>
  <c r="H48" i="37"/>
  <c r="H207" i="37"/>
  <c r="H148" i="37"/>
  <c r="H76" i="37"/>
  <c r="H95" i="37"/>
  <c r="H125" i="37"/>
  <c r="H7" i="37"/>
  <c r="H109" i="37"/>
  <c r="H26" i="37"/>
  <c r="H81" i="37"/>
  <c r="H13" i="37"/>
  <c r="H197" i="37"/>
  <c r="H123" i="37"/>
  <c r="H288" i="37"/>
  <c r="H116" i="37"/>
  <c r="H280" i="37"/>
  <c r="H112" i="37"/>
  <c r="H264" i="37"/>
  <c r="G40" i="40"/>
  <c r="E4" i="9"/>
  <c r="E313" i="33"/>
  <c r="L314" i="49"/>
  <c r="H313" i="37"/>
  <c r="H5" i="37"/>
  <c r="F23" i="33" l="1"/>
  <c r="F38" i="33"/>
  <c r="F46" i="33"/>
  <c r="F11" i="33"/>
  <c r="F19" i="33"/>
  <c r="F27" i="33"/>
  <c r="F58" i="33"/>
  <c r="F74" i="33"/>
  <c r="F61" i="33"/>
  <c r="F77" i="33"/>
  <c r="F62" i="33"/>
  <c r="F87" i="33"/>
  <c r="F66" i="33"/>
  <c r="F53" i="33"/>
  <c r="F69" i="33"/>
  <c r="F105" i="33"/>
  <c r="F132" i="33"/>
  <c r="F111" i="33"/>
  <c r="F147" i="33"/>
  <c r="F113" i="33"/>
  <c r="F155" i="33"/>
  <c r="F160" i="33"/>
  <c r="F179" i="33"/>
  <c r="F182" i="33"/>
  <c r="F139" i="33"/>
  <c r="F176" i="33"/>
  <c r="F224" i="33"/>
  <c r="F171" i="33"/>
  <c r="F119" i="33"/>
  <c r="F208" i="33"/>
  <c r="F232" i="33"/>
  <c r="F243" i="33"/>
  <c r="F184" i="33"/>
  <c r="F275" i="33"/>
  <c r="F267" i="33"/>
  <c r="F218" i="33"/>
  <c r="F309" i="33"/>
  <c r="F302" i="33"/>
  <c r="F292" i="33"/>
  <c r="F311" i="33"/>
  <c r="F308" i="33"/>
  <c r="F297" i="33"/>
  <c r="F304" i="33"/>
  <c r="F260" i="33"/>
  <c r="F281" i="33"/>
  <c r="F249" i="33"/>
  <c r="F255" i="33"/>
  <c r="F248" i="33"/>
  <c r="F262" i="33"/>
  <c r="F205" i="33"/>
  <c r="F294" i="33"/>
  <c r="F156" i="33"/>
  <c r="F279" i="33"/>
  <c r="F250" i="33"/>
  <c r="F200" i="33"/>
  <c r="F234" i="33"/>
  <c r="F271" i="33"/>
  <c r="F242" i="33"/>
  <c r="F227" i="33"/>
  <c r="F254" i="33"/>
  <c r="F222" i="33"/>
  <c r="F168" i="33"/>
  <c r="F185" i="33"/>
  <c r="F289" i="33"/>
  <c r="F290" i="33"/>
  <c r="F295" i="33"/>
  <c r="F259" i="33"/>
  <c r="F299" i="33"/>
  <c r="F192" i="33"/>
  <c r="F228" i="33"/>
  <c r="F233" i="33"/>
  <c r="F216" i="33"/>
  <c r="F282" i="33"/>
  <c r="F253" i="33"/>
  <c r="F225" i="33"/>
  <c r="F223" i="33"/>
  <c r="F274" i="33"/>
  <c r="F245" i="33"/>
  <c r="F215" i="33"/>
  <c r="F238" i="33"/>
  <c r="F195" i="33"/>
  <c r="F219" i="33"/>
  <c r="F193" i="33"/>
  <c r="F170" i="33"/>
  <c r="F229" i="33"/>
  <c r="F211" i="33"/>
  <c r="F298" i="33"/>
  <c r="F310" i="33"/>
  <c r="F300" i="33"/>
  <c r="F264" i="33"/>
  <c r="F240" i="33"/>
  <c r="F251" i="33"/>
  <c r="F236" i="33"/>
  <c r="F144" i="33"/>
  <c r="F213" i="33"/>
  <c r="F203" i="33"/>
  <c r="F159" i="33"/>
  <c r="F118" i="33"/>
  <c r="F174" i="33"/>
  <c r="F130" i="33"/>
  <c r="F108" i="33"/>
  <c r="F83" i="33"/>
  <c r="F312" i="33"/>
  <c r="F221" i="33"/>
  <c r="F207" i="33"/>
  <c r="F285" i="33"/>
  <c r="F266" i="33"/>
  <c r="F286" i="33"/>
  <c r="F258" i="33"/>
  <c r="F252" i="33"/>
  <c r="F276" i="33"/>
  <c r="F231" i="33"/>
  <c r="F190" i="33"/>
  <c r="F202" i="33"/>
  <c r="F181" i="33"/>
  <c r="F265" i="33"/>
  <c r="F268" i="33"/>
  <c r="F278" i="33"/>
  <c r="F180" i="33"/>
  <c r="F191" i="33"/>
  <c r="F149" i="33"/>
  <c r="F183" i="33"/>
  <c r="F143" i="33"/>
  <c r="F131" i="33"/>
  <c r="F154" i="33"/>
  <c r="F140" i="33"/>
  <c r="F133" i="33"/>
  <c r="F164" i="33"/>
  <c r="F96" i="33"/>
  <c r="F177" i="33"/>
  <c r="F50" i="33"/>
  <c r="F78" i="33"/>
  <c r="F40" i="33"/>
  <c r="F100" i="33"/>
  <c r="F75" i="33"/>
  <c r="F59" i="33"/>
  <c r="F22" i="33"/>
  <c r="F42" i="33"/>
  <c r="F293" i="33"/>
  <c r="F306" i="33"/>
  <c r="F307" i="33"/>
  <c r="F237" i="33"/>
  <c r="F273" i="33"/>
  <c r="F241" i="33"/>
  <c r="F257" i="33"/>
  <c r="F247" i="33"/>
  <c r="F283" i="33"/>
  <c r="F270" i="33"/>
  <c r="F189" i="33"/>
  <c r="F158" i="33"/>
  <c r="F126" i="33"/>
  <c r="F141" i="33"/>
  <c r="F121" i="33"/>
  <c r="F127" i="33"/>
  <c r="F169" i="33"/>
  <c r="F93" i="33"/>
  <c r="F71" i="33"/>
  <c r="F92" i="33"/>
  <c r="F63" i="33"/>
  <c r="F36" i="33"/>
  <c r="F48" i="33"/>
  <c r="F44" i="33"/>
  <c r="F301" i="33"/>
  <c r="F305" i="33"/>
  <c r="F291" i="33"/>
  <c r="F287" i="33"/>
  <c r="F226" i="33"/>
  <c r="F280" i="33"/>
  <c r="F239" i="33"/>
  <c r="F246" i="33"/>
  <c r="F201" i="33"/>
  <c r="F163" i="33"/>
  <c r="F199" i="33"/>
  <c r="F157" i="33"/>
  <c r="F122" i="33"/>
  <c r="F204" i="33"/>
  <c r="F167" i="33"/>
  <c r="F296" i="33"/>
  <c r="F288" i="33"/>
  <c r="F263" i="33"/>
  <c r="F261" i="33"/>
  <c r="F256" i="33"/>
  <c r="F125" i="33"/>
  <c r="F198" i="33"/>
  <c r="F220" i="33"/>
  <c r="F210" i="33"/>
  <c r="F165" i="33"/>
  <c r="F152" i="33"/>
  <c r="F187" i="33"/>
  <c r="F197" i="33"/>
  <c r="F206" i="33"/>
  <c r="F186" i="33"/>
  <c r="F123" i="33"/>
  <c r="F196" i="33"/>
  <c r="F137" i="33"/>
  <c r="F98" i="33"/>
  <c r="F106" i="33"/>
  <c r="F88" i="33"/>
  <c r="F80" i="33"/>
  <c r="F86" i="33"/>
  <c r="F51" i="33"/>
  <c r="F12" i="33"/>
  <c r="F84" i="33"/>
  <c r="F30" i="33"/>
  <c r="F17" i="33"/>
  <c r="F26" i="33"/>
  <c r="F13" i="33"/>
  <c r="F70" i="33"/>
  <c r="F37" i="33"/>
  <c r="F47" i="33"/>
  <c r="F31" i="33"/>
  <c r="F277" i="33"/>
  <c r="F235" i="33"/>
  <c r="F128" i="33"/>
  <c r="F148" i="33"/>
  <c r="F150" i="33"/>
  <c r="F85" i="33"/>
  <c r="F81" i="33"/>
  <c r="F55" i="33"/>
  <c r="F56" i="33"/>
  <c r="F79" i="33"/>
  <c r="F49" i="33"/>
  <c r="F10" i="33"/>
  <c r="F269" i="33"/>
  <c r="F214" i="33"/>
  <c r="F112" i="33"/>
  <c r="F97" i="33"/>
  <c r="F9" i="33"/>
  <c r="F151" i="33"/>
  <c r="F175" i="33"/>
  <c r="F136" i="33"/>
  <c r="F115" i="33"/>
  <c r="F124" i="33"/>
  <c r="F107" i="33"/>
  <c r="F65" i="33"/>
  <c r="F67" i="33"/>
  <c r="F34" i="33"/>
  <c r="F43" i="33"/>
  <c r="F303" i="33"/>
  <c r="F244" i="33"/>
  <c r="F209" i="33"/>
  <c r="F161" i="33"/>
  <c r="F145" i="33"/>
  <c r="F109" i="33"/>
  <c r="F72" i="33"/>
  <c r="F45" i="33"/>
  <c r="F15" i="33"/>
  <c r="F32" i="33"/>
  <c r="F20" i="33"/>
  <c r="F7" i="33"/>
  <c r="F91" i="33"/>
  <c r="F24" i="33"/>
  <c r="F272" i="33"/>
  <c r="F173" i="33"/>
  <c r="F172" i="33"/>
  <c r="F114" i="33"/>
  <c r="F178" i="33"/>
  <c r="F102" i="33"/>
  <c r="F99" i="33"/>
  <c r="F95" i="33"/>
  <c r="F18" i="33"/>
  <c r="F25" i="33"/>
  <c r="F6" i="33"/>
  <c r="F54" i="33"/>
  <c r="F284" i="33"/>
  <c r="F142" i="33"/>
  <c r="F110" i="33"/>
  <c r="F116" i="33"/>
  <c r="F103" i="33"/>
  <c r="F89" i="33"/>
  <c r="F21" i="33"/>
  <c r="F16" i="33"/>
  <c r="F35" i="33"/>
  <c r="F188" i="33"/>
  <c r="F94" i="33"/>
  <c r="F33" i="33"/>
  <c r="F57" i="33"/>
  <c r="F8" i="33"/>
  <c r="F212" i="33"/>
  <c r="F166" i="33"/>
  <c r="F129" i="33"/>
  <c r="F101" i="33"/>
  <c r="F90" i="33"/>
  <c r="F41" i="33"/>
  <c r="F28" i="33"/>
  <c r="F194" i="33"/>
  <c r="F153" i="33"/>
  <c r="F120" i="33"/>
  <c r="F82" i="33"/>
  <c r="F14" i="33"/>
  <c r="F73" i="33"/>
  <c r="F29" i="33"/>
  <c r="F39" i="33"/>
  <c r="F104" i="33"/>
  <c r="F162" i="33"/>
  <c r="F60" i="33"/>
  <c r="F230" i="33"/>
  <c r="F64" i="33"/>
  <c r="F52" i="33"/>
  <c r="F76" i="33"/>
  <c r="F146" i="33"/>
  <c r="F138" i="33"/>
  <c r="F134" i="33"/>
  <c r="F117" i="33"/>
  <c r="F217" i="33"/>
  <c r="F68" i="33"/>
  <c r="F135" i="33"/>
  <c r="D313" i="37"/>
  <c r="G2" i="33"/>
  <c r="I2" i="33"/>
  <c r="F5" i="33"/>
  <c r="K2" i="33"/>
  <c r="H2" i="33"/>
  <c r="J2" i="33"/>
  <c r="B62" i="40"/>
  <c r="B63" i="40"/>
  <c r="B50" i="40" s="1"/>
  <c r="E30" i="37" l="1"/>
  <c r="F30" i="37" s="1"/>
  <c r="I30" i="37" s="1"/>
  <c r="G41" i="34" s="1"/>
  <c r="H41" i="34" s="1"/>
  <c r="E34" i="37"/>
  <c r="F34" i="37" s="1"/>
  <c r="I34" i="37" s="1"/>
  <c r="G45" i="34" s="1"/>
  <c r="H45" i="34" s="1"/>
  <c r="E18" i="37"/>
  <c r="F18" i="37" s="1"/>
  <c r="I18" i="37" s="1"/>
  <c r="G29" i="34" s="1"/>
  <c r="H29" i="34" s="1"/>
  <c r="E23" i="37"/>
  <c r="F23" i="37" s="1"/>
  <c r="I23" i="37" s="1"/>
  <c r="G34" i="34" s="1"/>
  <c r="H34" i="34" s="1"/>
  <c r="E49" i="37"/>
  <c r="F49" i="37" s="1"/>
  <c r="I49" i="37" s="1"/>
  <c r="G60" i="34" s="1"/>
  <c r="H60" i="34" s="1"/>
  <c r="E54" i="37"/>
  <c r="F54" i="37" s="1"/>
  <c r="I54" i="37" s="1"/>
  <c r="G65" i="34" s="1"/>
  <c r="H65" i="34" s="1"/>
  <c r="E77" i="37"/>
  <c r="F77" i="37" s="1"/>
  <c r="I77" i="37" s="1"/>
  <c r="G88" i="34" s="1"/>
  <c r="H88" i="34" s="1"/>
  <c r="E118" i="37"/>
  <c r="F118" i="37" s="1"/>
  <c r="I118" i="37" s="1"/>
  <c r="G129" i="34" s="1"/>
  <c r="H129" i="34" s="1"/>
  <c r="E119" i="37"/>
  <c r="F119" i="37" s="1"/>
  <c r="I119" i="37" s="1"/>
  <c r="G130" i="34" s="1"/>
  <c r="H130" i="34" s="1"/>
  <c r="E126" i="37"/>
  <c r="F126" i="37" s="1"/>
  <c r="I126" i="37" s="1"/>
  <c r="G137" i="34" s="1"/>
  <c r="H137" i="34" s="1"/>
  <c r="E133" i="37"/>
  <c r="F133" i="37" s="1"/>
  <c r="I133" i="37" s="1"/>
  <c r="G144" i="34" s="1"/>
  <c r="H144" i="34" s="1"/>
  <c r="E158" i="37"/>
  <c r="F158" i="37" s="1"/>
  <c r="I158" i="37" s="1"/>
  <c r="G169" i="34" s="1"/>
  <c r="H169" i="34" s="1"/>
  <c r="E165" i="37"/>
  <c r="F165" i="37" s="1"/>
  <c r="I165" i="37" s="1"/>
  <c r="G176" i="34" s="1"/>
  <c r="H176" i="34" s="1"/>
  <c r="E170" i="37"/>
  <c r="F170" i="37" s="1"/>
  <c r="I170" i="37" s="1"/>
  <c r="G181" i="34" s="1"/>
  <c r="H181" i="34" s="1"/>
  <c r="E188" i="37"/>
  <c r="F188" i="37" s="1"/>
  <c r="I188" i="37" s="1"/>
  <c r="G199" i="34" s="1"/>
  <c r="H199" i="34" s="1"/>
  <c r="E210" i="37"/>
  <c r="F210" i="37" s="1"/>
  <c r="I210" i="37" s="1"/>
  <c r="G221" i="34" s="1"/>
  <c r="H221" i="34" s="1"/>
  <c r="E214" i="37"/>
  <c r="F214" i="37" s="1"/>
  <c r="I214" i="37" s="1"/>
  <c r="G225" i="34" s="1"/>
  <c r="H225" i="34" s="1"/>
  <c r="E219" i="37"/>
  <c r="F219" i="37" s="1"/>
  <c r="I219" i="37" s="1"/>
  <c r="G230" i="34" s="1"/>
  <c r="H230" i="34" s="1"/>
  <c r="E220" i="37"/>
  <c r="F220" i="37" s="1"/>
  <c r="I220" i="37" s="1"/>
  <c r="G231" i="34" s="1"/>
  <c r="H231" i="34" s="1"/>
  <c r="E236" i="37"/>
  <c r="F236" i="37" s="1"/>
  <c r="I236" i="37" s="1"/>
  <c r="G247" i="34" s="1"/>
  <c r="H247" i="34" s="1"/>
  <c r="E26" i="37"/>
  <c r="F26" i="37" s="1"/>
  <c r="I26" i="37" s="1"/>
  <c r="G37" i="34" s="1"/>
  <c r="H37" i="34" s="1"/>
  <c r="E57" i="37"/>
  <c r="F57" i="37" s="1"/>
  <c r="I57" i="37" s="1"/>
  <c r="G68" i="34" s="1"/>
  <c r="H68" i="34" s="1"/>
  <c r="E62" i="37"/>
  <c r="F62" i="37" s="1"/>
  <c r="I62" i="37" s="1"/>
  <c r="G73" i="34" s="1"/>
  <c r="H73" i="34" s="1"/>
  <c r="E89" i="37"/>
  <c r="F89" i="37" s="1"/>
  <c r="I89" i="37" s="1"/>
  <c r="G100" i="34" s="1"/>
  <c r="H100" i="34" s="1"/>
  <c r="E94" i="37"/>
  <c r="F94" i="37" s="1"/>
  <c r="I94" i="37" s="1"/>
  <c r="G105" i="34" s="1"/>
  <c r="H105" i="34" s="1"/>
  <c r="E105" i="37"/>
  <c r="F105" i="37" s="1"/>
  <c r="I105" i="37" s="1"/>
  <c r="G116" i="34" s="1"/>
  <c r="H116" i="34" s="1"/>
  <c r="E117" i="37"/>
  <c r="F117" i="37" s="1"/>
  <c r="I117" i="37" s="1"/>
  <c r="G128" i="34" s="1"/>
  <c r="H128" i="34" s="1"/>
  <c r="E125" i="37"/>
  <c r="F125" i="37" s="1"/>
  <c r="I125" i="37" s="1"/>
  <c r="G136" i="34" s="1"/>
  <c r="H136" i="34" s="1"/>
  <c r="E150" i="37"/>
  <c r="F150" i="37" s="1"/>
  <c r="I150" i="37" s="1"/>
  <c r="G161" i="34" s="1"/>
  <c r="H161" i="34" s="1"/>
  <c r="E157" i="37"/>
  <c r="F157" i="37" s="1"/>
  <c r="I157" i="37" s="1"/>
  <c r="G168" i="34" s="1"/>
  <c r="H168" i="34" s="1"/>
  <c r="E174" i="37"/>
  <c r="F174" i="37" s="1"/>
  <c r="I174" i="37" s="1"/>
  <c r="G185" i="34" s="1"/>
  <c r="H185" i="34" s="1"/>
  <c r="E183" i="37"/>
  <c r="F183" i="37" s="1"/>
  <c r="I183" i="37" s="1"/>
  <c r="G194" i="34" s="1"/>
  <c r="H194" i="34" s="1"/>
  <c r="E204" i="37"/>
  <c r="F204" i="37" s="1"/>
  <c r="I204" i="37" s="1"/>
  <c r="G215" i="34" s="1"/>
  <c r="H215" i="34" s="1"/>
  <c r="E218" i="37"/>
  <c r="F218" i="37" s="1"/>
  <c r="I218" i="37" s="1"/>
  <c r="G229" i="34" s="1"/>
  <c r="H229" i="34" s="1"/>
  <c r="E223" i="37"/>
  <c r="F223" i="37" s="1"/>
  <c r="I223" i="37" s="1"/>
  <c r="G234" i="34" s="1"/>
  <c r="H234" i="34" s="1"/>
  <c r="E224" i="37"/>
  <c r="F224" i="37" s="1"/>
  <c r="I224" i="37" s="1"/>
  <c r="G235" i="34" s="1"/>
  <c r="H235" i="34" s="1"/>
  <c r="E7" i="37"/>
  <c r="F7" i="37" s="1"/>
  <c r="I7" i="37" s="1"/>
  <c r="G18" i="34" s="1"/>
  <c r="H18" i="34" s="1"/>
  <c r="E33" i="37"/>
  <c r="F33" i="37" s="1"/>
  <c r="I33" i="37" s="1"/>
  <c r="G44" i="34" s="1"/>
  <c r="H44" i="34" s="1"/>
  <c r="E50" i="37"/>
  <c r="F50" i="37" s="1"/>
  <c r="I50" i="37" s="1"/>
  <c r="G61" i="34" s="1"/>
  <c r="H61" i="34" s="1"/>
  <c r="E66" i="37"/>
  <c r="F66" i="37" s="1"/>
  <c r="I66" i="37" s="1"/>
  <c r="G77" i="34" s="1"/>
  <c r="H77" i="34" s="1"/>
  <c r="E74" i="37"/>
  <c r="F74" i="37" s="1"/>
  <c r="I74" i="37" s="1"/>
  <c r="G85" i="34" s="1"/>
  <c r="H85" i="34" s="1"/>
  <c r="E81" i="37"/>
  <c r="F81" i="37" s="1"/>
  <c r="I81" i="37" s="1"/>
  <c r="G92" i="34" s="1"/>
  <c r="H92" i="34" s="1"/>
  <c r="E93" i="37"/>
  <c r="F93" i="37" s="1"/>
  <c r="I93" i="37" s="1"/>
  <c r="G104" i="34" s="1"/>
  <c r="H104" i="34" s="1"/>
  <c r="E122" i="37"/>
  <c r="F122" i="37" s="1"/>
  <c r="I122" i="37" s="1"/>
  <c r="G133" i="34" s="1"/>
  <c r="H133" i="34" s="1"/>
  <c r="E146" i="37"/>
  <c r="F146" i="37" s="1"/>
  <c r="I146" i="37" s="1"/>
  <c r="G157" i="34" s="1"/>
  <c r="H157" i="34" s="1"/>
  <c r="E173" i="37"/>
  <c r="F173" i="37" s="1"/>
  <c r="I173" i="37" s="1"/>
  <c r="G184" i="34" s="1"/>
  <c r="H184" i="34" s="1"/>
  <c r="E196" i="37"/>
  <c r="F196" i="37" s="1"/>
  <c r="I196" i="37" s="1"/>
  <c r="G207" i="34" s="1"/>
  <c r="H207" i="34" s="1"/>
  <c r="E231" i="37"/>
  <c r="F231" i="37" s="1"/>
  <c r="I231" i="37" s="1"/>
  <c r="G242" i="34" s="1"/>
  <c r="H242" i="34" s="1"/>
  <c r="E232" i="37"/>
  <c r="F232" i="37" s="1"/>
  <c r="I232" i="37" s="1"/>
  <c r="G243" i="34" s="1"/>
  <c r="H243" i="34" s="1"/>
  <c r="E240" i="37"/>
  <c r="F240" i="37" s="1"/>
  <c r="I240" i="37" s="1"/>
  <c r="G251" i="34" s="1"/>
  <c r="H251" i="34" s="1"/>
  <c r="E244" i="37"/>
  <c r="F244" i="37" s="1"/>
  <c r="I244" i="37" s="1"/>
  <c r="G255" i="34" s="1"/>
  <c r="H255" i="34" s="1"/>
  <c r="E53" i="37"/>
  <c r="F53" i="37" s="1"/>
  <c r="I53" i="37" s="1"/>
  <c r="G64" i="34" s="1"/>
  <c r="H64" i="34" s="1"/>
  <c r="E70" i="37"/>
  <c r="F70" i="37" s="1"/>
  <c r="I70" i="37" s="1"/>
  <c r="G81" i="34" s="1"/>
  <c r="H81" i="34" s="1"/>
  <c r="E73" i="37"/>
  <c r="F73" i="37" s="1"/>
  <c r="I73" i="37" s="1"/>
  <c r="G84" i="34" s="1"/>
  <c r="H84" i="34" s="1"/>
  <c r="E149" i="37"/>
  <c r="F149" i="37" s="1"/>
  <c r="I149" i="37" s="1"/>
  <c r="G160" i="34" s="1"/>
  <c r="H160" i="34" s="1"/>
  <c r="E166" i="37"/>
  <c r="F166" i="37" s="1"/>
  <c r="I166" i="37" s="1"/>
  <c r="G177" i="34" s="1"/>
  <c r="H177" i="34" s="1"/>
  <c r="E169" i="37"/>
  <c r="F169" i="37" s="1"/>
  <c r="I169" i="37" s="1"/>
  <c r="G180" i="34" s="1"/>
  <c r="H180" i="34" s="1"/>
  <c r="E46" i="37"/>
  <c r="F46" i="37" s="1"/>
  <c r="I46" i="37" s="1"/>
  <c r="G57" i="34" s="1"/>
  <c r="H57" i="34" s="1"/>
  <c r="E65" i="37"/>
  <c r="F65" i="37" s="1"/>
  <c r="I65" i="37" s="1"/>
  <c r="G76" i="34" s="1"/>
  <c r="H76" i="34" s="1"/>
  <c r="E69" i="37"/>
  <c r="F69" i="37" s="1"/>
  <c r="I69" i="37" s="1"/>
  <c r="G80" i="34" s="1"/>
  <c r="H80" i="34" s="1"/>
  <c r="E130" i="37"/>
  <c r="F130" i="37" s="1"/>
  <c r="I130" i="37" s="1"/>
  <c r="G141" i="34" s="1"/>
  <c r="H141" i="34" s="1"/>
  <c r="E154" i="37"/>
  <c r="F154" i="37" s="1"/>
  <c r="I154" i="37" s="1"/>
  <c r="G165" i="34" s="1"/>
  <c r="H165" i="34" s="1"/>
  <c r="E6" i="37"/>
  <c r="F6" i="37" s="1"/>
  <c r="I6" i="37" s="1"/>
  <c r="G17" i="34" s="1"/>
  <c r="H17" i="34" s="1"/>
  <c r="E19" i="37"/>
  <c r="F19" i="37" s="1"/>
  <c r="I19" i="37" s="1"/>
  <c r="G30" i="34" s="1"/>
  <c r="H30" i="34" s="1"/>
  <c r="E22" i="37"/>
  <c r="F22" i="37" s="1"/>
  <c r="I22" i="37" s="1"/>
  <c r="G33" i="34" s="1"/>
  <c r="H33" i="34" s="1"/>
  <c r="E42" i="37"/>
  <c r="F42" i="37" s="1"/>
  <c r="I42" i="37" s="1"/>
  <c r="G53" i="34" s="1"/>
  <c r="H53" i="34" s="1"/>
  <c r="E58" i="37"/>
  <c r="F58" i="37" s="1"/>
  <c r="I58" i="37" s="1"/>
  <c r="G69" i="34" s="1"/>
  <c r="H69" i="34" s="1"/>
  <c r="E107" i="37"/>
  <c r="F107" i="37" s="1"/>
  <c r="I107" i="37" s="1"/>
  <c r="G118" i="34" s="1"/>
  <c r="H118" i="34" s="1"/>
  <c r="E115" i="37"/>
  <c r="F115" i="37" s="1"/>
  <c r="I115" i="37" s="1"/>
  <c r="G126" i="34" s="1"/>
  <c r="H126" i="34" s="1"/>
  <c r="E121" i="37"/>
  <c r="F121" i="37" s="1"/>
  <c r="I121" i="37" s="1"/>
  <c r="G132" i="34" s="1"/>
  <c r="H132" i="34" s="1"/>
  <c r="E142" i="37"/>
  <c r="F142" i="37" s="1"/>
  <c r="I142" i="37" s="1"/>
  <c r="G153" i="34" s="1"/>
  <c r="H153" i="34" s="1"/>
  <c r="E145" i="37"/>
  <c r="F145" i="37" s="1"/>
  <c r="I145" i="37" s="1"/>
  <c r="G156" i="34" s="1"/>
  <c r="H156" i="34" s="1"/>
  <c r="E199" i="37"/>
  <c r="F199" i="37" s="1"/>
  <c r="I199" i="37" s="1"/>
  <c r="G210" i="34" s="1"/>
  <c r="H210" i="34" s="1"/>
  <c r="E27" i="37"/>
  <c r="F27" i="37" s="1"/>
  <c r="I27" i="37" s="1"/>
  <c r="G38" i="34" s="1"/>
  <c r="H38" i="34" s="1"/>
  <c r="E38" i="37"/>
  <c r="F38" i="37" s="1"/>
  <c r="I38" i="37" s="1"/>
  <c r="G49" i="34" s="1"/>
  <c r="H49" i="34" s="1"/>
  <c r="E41" i="37"/>
  <c r="F41" i="37" s="1"/>
  <c r="I41" i="37" s="1"/>
  <c r="G52" i="34" s="1"/>
  <c r="H52" i="34" s="1"/>
  <c r="E45" i="37"/>
  <c r="F45" i="37" s="1"/>
  <c r="I45" i="37" s="1"/>
  <c r="G56" i="34" s="1"/>
  <c r="H56" i="34" s="1"/>
  <c r="E61" i="37"/>
  <c r="F61" i="37" s="1"/>
  <c r="I61" i="37" s="1"/>
  <c r="G72" i="34" s="1"/>
  <c r="H72" i="34" s="1"/>
  <c r="E98" i="37"/>
  <c r="F98" i="37" s="1"/>
  <c r="I98" i="37" s="1"/>
  <c r="G109" i="34" s="1"/>
  <c r="H109" i="34" s="1"/>
  <c r="E99" i="37"/>
  <c r="F99" i="37" s="1"/>
  <c r="I99" i="37" s="1"/>
  <c r="G110" i="34" s="1"/>
  <c r="H110" i="34" s="1"/>
  <c r="E129" i="37"/>
  <c r="F129" i="37" s="1"/>
  <c r="I129" i="37" s="1"/>
  <c r="G140" i="34" s="1"/>
  <c r="H140" i="34" s="1"/>
  <c r="E162" i="37"/>
  <c r="F162" i="37" s="1"/>
  <c r="I162" i="37" s="1"/>
  <c r="G173" i="34" s="1"/>
  <c r="H173" i="34" s="1"/>
  <c r="E175" i="37"/>
  <c r="F175" i="37" s="1"/>
  <c r="I175" i="37" s="1"/>
  <c r="G186" i="34" s="1"/>
  <c r="H186" i="34" s="1"/>
  <c r="E198" i="37"/>
  <c r="F198" i="37" s="1"/>
  <c r="I198" i="37" s="1"/>
  <c r="G209" i="34" s="1"/>
  <c r="H209" i="34" s="1"/>
  <c r="E202" i="37"/>
  <c r="F202" i="37" s="1"/>
  <c r="I202" i="37" s="1"/>
  <c r="G213" i="34" s="1"/>
  <c r="H213" i="34" s="1"/>
  <c r="E206" i="37"/>
  <c r="F206" i="37" s="1"/>
  <c r="I206" i="37" s="1"/>
  <c r="G217" i="34" s="1"/>
  <c r="H217" i="34" s="1"/>
  <c r="E238" i="37"/>
  <c r="F238" i="37" s="1"/>
  <c r="I238" i="37" s="1"/>
  <c r="G249" i="34" s="1"/>
  <c r="H249" i="34" s="1"/>
  <c r="E242" i="37"/>
  <c r="F242" i="37" s="1"/>
  <c r="I242" i="37" s="1"/>
  <c r="G253" i="34" s="1"/>
  <c r="H253" i="34" s="1"/>
  <c r="E15" i="37"/>
  <c r="F15" i="37" s="1"/>
  <c r="I15" i="37" s="1"/>
  <c r="G26" i="34" s="1"/>
  <c r="H26" i="34" s="1"/>
  <c r="E86" i="37"/>
  <c r="F86" i="37" s="1"/>
  <c r="I86" i="37" s="1"/>
  <c r="G97" i="34" s="1"/>
  <c r="H97" i="34" s="1"/>
  <c r="E90" i="37"/>
  <c r="F90" i="37" s="1"/>
  <c r="I90" i="37" s="1"/>
  <c r="G101" i="34" s="1"/>
  <c r="H101" i="34" s="1"/>
  <c r="E97" i="37"/>
  <c r="F97" i="37" s="1"/>
  <c r="I97" i="37" s="1"/>
  <c r="G108" i="34" s="1"/>
  <c r="H108" i="34" s="1"/>
  <c r="E102" i="37"/>
  <c r="F102" i="37" s="1"/>
  <c r="I102" i="37" s="1"/>
  <c r="G113" i="34" s="1"/>
  <c r="H113" i="34" s="1"/>
  <c r="E106" i="37"/>
  <c r="F106" i="37" s="1"/>
  <c r="I106" i="37" s="1"/>
  <c r="G117" i="34" s="1"/>
  <c r="H117" i="34" s="1"/>
  <c r="E110" i="37"/>
  <c r="F110" i="37" s="1"/>
  <c r="I110" i="37" s="1"/>
  <c r="G121" i="34" s="1"/>
  <c r="H121" i="34" s="1"/>
  <c r="E111" i="37"/>
  <c r="F111" i="37" s="1"/>
  <c r="I111" i="37" s="1"/>
  <c r="G122" i="34" s="1"/>
  <c r="H122" i="34" s="1"/>
  <c r="E114" i="37"/>
  <c r="F114" i="37" s="1"/>
  <c r="I114" i="37" s="1"/>
  <c r="G125" i="34" s="1"/>
  <c r="H125" i="34" s="1"/>
  <c r="E138" i="37"/>
  <c r="F138" i="37" s="1"/>
  <c r="I138" i="37" s="1"/>
  <c r="G149" i="34" s="1"/>
  <c r="H149" i="34" s="1"/>
  <c r="E141" i="37"/>
  <c r="F141" i="37" s="1"/>
  <c r="I141" i="37" s="1"/>
  <c r="G152" i="34" s="1"/>
  <c r="H152" i="34" s="1"/>
  <c r="E153" i="37"/>
  <c r="F153" i="37" s="1"/>
  <c r="I153" i="37" s="1"/>
  <c r="G164" i="34" s="1"/>
  <c r="H164" i="34" s="1"/>
  <c r="E178" i="37"/>
  <c r="F178" i="37" s="1"/>
  <c r="I178" i="37" s="1"/>
  <c r="G189" i="34" s="1"/>
  <c r="H189" i="34" s="1"/>
  <c r="E191" i="37"/>
  <c r="F191" i="37" s="1"/>
  <c r="I191" i="37" s="1"/>
  <c r="G202" i="34" s="1"/>
  <c r="H202" i="34" s="1"/>
  <c r="E254" i="37"/>
  <c r="F254" i="37" s="1"/>
  <c r="I254" i="37" s="1"/>
  <c r="G265" i="34" s="1"/>
  <c r="H265" i="34" s="1"/>
  <c r="E302" i="37"/>
  <c r="F302" i="37" s="1"/>
  <c r="I302" i="37" s="1"/>
  <c r="G313" i="34" s="1"/>
  <c r="H313" i="34" s="1"/>
  <c r="E308" i="37"/>
  <c r="F308" i="37" s="1"/>
  <c r="I308" i="37" s="1"/>
  <c r="G319" i="34" s="1"/>
  <c r="H319" i="34" s="1"/>
  <c r="E11" i="37"/>
  <c r="F11" i="37" s="1"/>
  <c r="I11" i="37" s="1"/>
  <c r="G22" i="34" s="1"/>
  <c r="H22" i="34" s="1"/>
  <c r="E37" i="37"/>
  <c r="F37" i="37" s="1"/>
  <c r="I37" i="37" s="1"/>
  <c r="G48" i="34" s="1"/>
  <c r="H48" i="34" s="1"/>
  <c r="E82" i="37"/>
  <c r="F82" i="37" s="1"/>
  <c r="I82" i="37" s="1"/>
  <c r="G93" i="34" s="1"/>
  <c r="H93" i="34" s="1"/>
  <c r="E161" i="37"/>
  <c r="F161" i="37" s="1"/>
  <c r="I161" i="37" s="1"/>
  <c r="G172" i="34" s="1"/>
  <c r="H172" i="34" s="1"/>
  <c r="E10" i="37"/>
  <c r="F10" i="37" s="1"/>
  <c r="I10" i="37" s="1"/>
  <c r="G21" i="34" s="1"/>
  <c r="H21" i="34" s="1"/>
  <c r="E14" i="37"/>
  <c r="F14" i="37" s="1"/>
  <c r="I14" i="37" s="1"/>
  <c r="G25" i="34" s="1"/>
  <c r="H25" i="34" s="1"/>
  <c r="E78" i="37"/>
  <c r="F78" i="37" s="1"/>
  <c r="I78" i="37" s="1"/>
  <c r="G89" i="34" s="1"/>
  <c r="H89" i="34" s="1"/>
  <c r="E85" i="37"/>
  <c r="F85" i="37" s="1"/>
  <c r="I85" i="37" s="1"/>
  <c r="G96" i="34" s="1"/>
  <c r="H96" i="34" s="1"/>
  <c r="E101" i="37"/>
  <c r="F101" i="37" s="1"/>
  <c r="I101" i="37" s="1"/>
  <c r="G112" i="34" s="1"/>
  <c r="H112" i="34" s="1"/>
  <c r="E109" i="37"/>
  <c r="F109" i="37" s="1"/>
  <c r="I109" i="37" s="1"/>
  <c r="G120" i="34" s="1"/>
  <c r="H120" i="34" s="1"/>
  <c r="E113" i="37"/>
  <c r="F113" i="37" s="1"/>
  <c r="I113" i="37" s="1"/>
  <c r="G124" i="34" s="1"/>
  <c r="H124" i="34" s="1"/>
  <c r="E134" i="37"/>
  <c r="F134" i="37" s="1"/>
  <c r="I134" i="37" s="1"/>
  <c r="G145" i="34" s="1"/>
  <c r="H145" i="34" s="1"/>
  <c r="E137" i="37"/>
  <c r="F137" i="37" s="1"/>
  <c r="I137" i="37" s="1"/>
  <c r="G148" i="34" s="1"/>
  <c r="H148" i="34" s="1"/>
  <c r="E180" i="37"/>
  <c r="F180" i="37" s="1"/>
  <c r="I180" i="37" s="1"/>
  <c r="G191" i="34" s="1"/>
  <c r="H191" i="34" s="1"/>
  <c r="E190" i="37"/>
  <c r="F190" i="37" s="1"/>
  <c r="I190" i="37" s="1"/>
  <c r="G201" i="34" s="1"/>
  <c r="H201" i="34" s="1"/>
  <c r="E250" i="37"/>
  <c r="F250" i="37" s="1"/>
  <c r="I250" i="37" s="1"/>
  <c r="G261" i="34" s="1"/>
  <c r="H261" i="34" s="1"/>
  <c r="E262" i="37"/>
  <c r="F262" i="37" s="1"/>
  <c r="I262" i="37" s="1"/>
  <c r="G273" i="34" s="1"/>
  <c r="H273" i="34" s="1"/>
  <c r="E270" i="37"/>
  <c r="F270" i="37" s="1"/>
  <c r="I270" i="37" s="1"/>
  <c r="G281" i="34" s="1"/>
  <c r="H281" i="34" s="1"/>
  <c r="E186" i="37"/>
  <c r="F186" i="37" s="1"/>
  <c r="I186" i="37" s="1"/>
  <c r="G197" i="34" s="1"/>
  <c r="H197" i="34" s="1"/>
  <c r="E215" i="37"/>
  <c r="F215" i="37" s="1"/>
  <c r="I215" i="37" s="1"/>
  <c r="G226" i="34" s="1"/>
  <c r="H226" i="34" s="1"/>
  <c r="E266" i="37"/>
  <c r="F266" i="37" s="1"/>
  <c r="I266" i="37" s="1"/>
  <c r="G277" i="34" s="1"/>
  <c r="H277" i="34" s="1"/>
  <c r="E273" i="37"/>
  <c r="F273" i="37" s="1"/>
  <c r="I273" i="37" s="1"/>
  <c r="G284" i="34" s="1"/>
  <c r="H284" i="34" s="1"/>
  <c r="E284" i="37"/>
  <c r="F284" i="37" s="1"/>
  <c r="I284" i="37" s="1"/>
  <c r="G295" i="34" s="1"/>
  <c r="H295" i="34" s="1"/>
  <c r="E306" i="37"/>
  <c r="F306" i="37" s="1"/>
  <c r="I306" i="37" s="1"/>
  <c r="G317" i="34" s="1"/>
  <c r="H317" i="34" s="1"/>
  <c r="E207" i="37"/>
  <c r="F207" i="37" s="1"/>
  <c r="I207" i="37" s="1"/>
  <c r="G218" i="34" s="1"/>
  <c r="H218" i="34" s="1"/>
  <c r="E255" i="37"/>
  <c r="F255" i="37" s="1"/>
  <c r="I255" i="37" s="1"/>
  <c r="G266" i="34" s="1"/>
  <c r="H266" i="34" s="1"/>
  <c r="E258" i="37"/>
  <c r="F258" i="37" s="1"/>
  <c r="I258" i="37" s="1"/>
  <c r="G269" i="34" s="1"/>
  <c r="H269" i="34" s="1"/>
  <c r="E265" i="37"/>
  <c r="F265" i="37" s="1"/>
  <c r="I265" i="37" s="1"/>
  <c r="G276" i="34" s="1"/>
  <c r="H276" i="34" s="1"/>
  <c r="E280" i="37"/>
  <c r="F280" i="37" s="1"/>
  <c r="I280" i="37" s="1"/>
  <c r="G291" i="34" s="1"/>
  <c r="H291" i="34" s="1"/>
  <c r="E289" i="37"/>
  <c r="F289" i="37" s="1"/>
  <c r="I289" i="37" s="1"/>
  <c r="G300" i="34" s="1"/>
  <c r="H300" i="34" s="1"/>
  <c r="E298" i="37"/>
  <c r="F298" i="37" s="1"/>
  <c r="I298" i="37" s="1"/>
  <c r="G309" i="34" s="1"/>
  <c r="H309" i="34" s="1"/>
  <c r="E305" i="37"/>
  <c r="F305" i="37" s="1"/>
  <c r="I305" i="37" s="1"/>
  <c r="G316" i="34" s="1"/>
  <c r="H316" i="34" s="1"/>
  <c r="E293" i="37"/>
  <c r="F293" i="37" s="1"/>
  <c r="I293" i="37" s="1"/>
  <c r="G304" i="34" s="1"/>
  <c r="H304" i="34" s="1"/>
  <c r="E294" i="37"/>
  <c r="F294" i="37" s="1"/>
  <c r="I294" i="37" s="1"/>
  <c r="G305" i="34" s="1"/>
  <c r="H305" i="34" s="1"/>
  <c r="E309" i="37"/>
  <c r="F309" i="37" s="1"/>
  <c r="I309" i="37" s="1"/>
  <c r="G320" i="34" s="1"/>
  <c r="H320" i="34" s="1"/>
  <c r="E310" i="37"/>
  <c r="F310" i="37" s="1"/>
  <c r="I310" i="37" s="1"/>
  <c r="G321" i="34" s="1"/>
  <c r="H321" i="34" s="1"/>
  <c r="E172" i="37"/>
  <c r="F172" i="37" s="1"/>
  <c r="I172" i="37" s="1"/>
  <c r="G183" i="34" s="1"/>
  <c r="H183" i="34" s="1"/>
  <c r="E222" i="37"/>
  <c r="F222" i="37" s="1"/>
  <c r="I222" i="37" s="1"/>
  <c r="G233" i="34" s="1"/>
  <c r="H233" i="34" s="1"/>
  <c r="E230" i="37"/>
  <c r="F230" i="37" s="1"/>
  <c r="I230" i="37" s="1"/>
  <c r="G241" i="34" s="1"/>
  <c r="H241" i="34" s="1"/>
  <c r="E264" i="37"/>
  <c r="F264" i="37" s="1"/>
  <c r="I264" i="37" s="1"/>
  <c r="G275" i="34" s="1"/>
  <c r="H275" i="34" s="1"/>
  <c r="E272" i="37"/>
  <c r="F272" i="37" s="1"/>
  <c r="I272" i="37" s="1"/>
  <c r="G283" i="34" s="1"/>
  <c r="H283" i="34" s="1"/>
  <c r="E275" i="37"/>
  <c r="F275" i="37" s="1"/>
  <c r="I275" i="37" s="1"/>
  <c r="G286" i="34" s="1"/>
  <c r="H286" i="34" s="1"/>
  <c r="E297" i="37"/>
  <c r="F297" i="37" s="1"/>
  <c r="I297" i="37" s="1"/>
  <c r="G308" i="34" s="1"/>
  <c r="H308" i="34" s="1"/>
  <c r="E194" i="37"/>
  <c r="F194" i="37" s="1"/>
  <c r="I194" i="37" s="1"/>
  <c r="G205" i="34" s="1"/>
  <c r="H205" i="34" s="1"/>
  <c r="E227" i="37"/>
  <c r="F227" i="37" s="1"/>
  <c r="I227" i="37" s="1"/>
  <c r="G238" i="34" s="1"/>
  <c r="H238" i="34" s="1"/>
  <c r="E246" i="37"/>
  <c r="F246" i="37" s="1"/>
  <c r="I246" i="37" s="1"/>
  <c r="G257" i="34" s="1"/>
  <c r="H257" i="34" s="1"/>
  <c r="E288" i="37"/>
  <c r="F288" i="37" s="1"/>
  <c r="I288" i="37" s="1"/>
  <c r="G299" i="34" s="1"/>
  <c r="H299" i="34" s="1"/>
  <c r="E292" i="37"/>
  <c r="F292" i="37" s="1"/>
  <c r="I292" i="37" s="1"/>
  <c r="G303" i="34" s="1"/>
  <c r="H303" i="34" s="1"/>
  <c r="E304" i="37"/>
  <c r="F304" i="37" s="1"/>
  <c r="I304" i="37" s="1"/>
  <c r="G315" i="34" s="1"/>
  <c r="H315" i="34" s="1"/>
  <c r="E182" i="37"/>
  <c r="F182" i="37" s="1"/>
  <c r="I182" i="37" s="1"/>
  <c r="G193" i="34" s="1"/>
  <c r="H193" i="34" s="1"/>
  <c r="E268" i="37"/>
  <c r="F268" i="37" s="1"/>
  <c r="I268" i="37" s="1"/>
  <c r="G279" i="34" s="1"/>
  <c r="H279" i="34" s="1"/>
  <c r="E282" i="37"/>
  <c r="F282" i="37" s="1"/>
  <c r="I282" i="37" s="1"/>
  <c r="G293" i="34" s="1"/>
  <c r="H293" i="34" s="1"/>
  <c r="E296" i="37"/>
  <c r="F296" i="37" s="1"/>
  <c r="I296" i="37" s="1"/>
  <c r="G307" i="34" s="1"/>
  <c r="H307" i="34" s="1"/>
  <c r="E312" i="37"/>
  <c r="F312" i="37" s="1"/>
  <c r="I312" i="37" s="1"/>
  <c r="G323" i="34" s="1"/>
  <c r="H323" i="34" s="1"/>
  <c r="E248" i="37"/>
  <c r="F248" i="37" s="1"/>
  <c r="I248" i="37" s="1"/>
  <c r="G259" i="34" s="1"/>
  <c r="H259" i="34" s="1"/>
  <c r="E267" i="37"/>
  <c r="F267" i="37" s="1"/>
  <c r="I267" i="37" s="1"/>
  <c r="G278" i="34" s="1"/>
  <c r="H278" i="34" s="1"/>
  <c r="E274" i="37"/>
  <c r="F274" i="37" s="1"/>
  <c r="I274" i="37" s="1"/>
  <c r="G285" i="34" s="1"/>
  <c r="H285" i="34" s="1"/>
  <c r="E278" i="37"/>
  <c r="F278" i="37" s="1"/>
  <c r="I278" i="37" s="1"/>
  <c r="G289" i="34" s="1"/>
  <c r="H289" i="34" s="1"/>
  <c r="E300" i="37"/>
  <c r="F300" i="37" s="1"/>
  <c r="I300" i="37" s="1"/>
  <c r="G311" i="34" s="1"/>
  <c r="H311" i="34" s="1"/>
  <c r="E226" i="37"/>
  <c r="F226" i="37" s="1"/>
  <c r="I226" i="37" s="1"/>
  <c r="G237" i="34" s="1"/>
  <c r="H237" i="34" s="1"/>
  <c r="E234" i="37"/>
  <c r="F234" i="37" s="1"/>
  <c r="I234" i="37" s="1"/>
  <c r="G245" i="34" s="1"/>
  <c r="H245" i="34" s="1"/>
  <c r="E259" i="37"/>
  <c r="F259" i="37" s="1"/>
  <c r="I259" i="37" s="1"/>
  <c r="G270" i="34" s="1"/>
  <c r="H270" i="34" s="1"/>
  <c r="E281" i="37"/>
  <c r="F281" i="37" s="1"/>
  <c r="I281" i="37" s="1"/>
  <c r="G292" i="34" s="1"/>
  <c r="H292" i="34" s="1"/>
  <c r="E290" i="37"/>
  <c r="F290" i="37" s="1"/>
  <c r="I290" i="37" s="1"/>
  <c r="G301" i="34" s="1"/>
  <c r="H301" i="34" s="1"/>
  <c r="E132" i="37"/>
  <c r="F132" i="37" s="1"/>
  <c r="I132" i="37" s="1"/>
  <c r="G143" i="34" s="1"/>
  <c r="H143" i="34" s="1"/>
  <c r="E83" i="37"/>
  <c r="F83" i="37" s="1"/>
  <c r="I83" i="37" s="1"/>
  <c r="G94" i="34" s="1"/>
  <c r="H94" i="34" s="1"/>
  <c r="E286" i="37"/>
  <c r="F286" i="37" s="1"/>
  <c r="I286" i="37" s="1"/>
  <c r="G297" i="34" s="1"/>
  <c r="H297" i="34" s="1"/>
  <c r="E79" i="37"/>
  <c r="F79" i="37" s="1"/>
  <c r="I79" i="37" s="1"/>
  <c r="G90" i="34" s="1"/>
  <c r="H90" i="34" s="1"/>
  <c r="E68" i="37"/>
  <c r="F68" i="37" s="1"/>
  <c r="I68" i="37" s="1"/>
  <c r="G79" i="34" s="1"/>
  <c r="H79" i="34" s="1"/>
  <c r="E192" i="37"/>
  <c r="F192" i="37" s="1"/>
  <c r="I192" i="37" s="1"/>
  <c r="G203" i="34" s="1"/>
  <c r="H203" i="34" s="1"/>
  <c r="E160" i="37"/>
  <c r="F160" i="37" s="1"/>
  <c r="I160" i="37" s="1"/>
  <c r="G171" i="34" s="1"/>
  <c r="H171" i="34" s="1"/>
  <c r="E203" i="37"/>
  <c r="F203" i="37" s="1"/>
  <c r="I203" i="37" s="1"/>
  <c r="G214" i="34" s="1"/>
  <c r="H214" i="34" s="1"/>
  <c r="E124" i="37"/>
  <c r="F124" i="37" s="1"/>
  <c r="I124" i="37" s="1"/>
  <c r="G135" i="34" s="1"/>
  <c r="H135" i="34" s="1"/>
  <c r="E56" i="37"/>
  <c r="F56" i="37" s="1"/>
  <c r="I56" i="37" s="1"/>
  <c r="G67" i="34" s="1"/>
  <c r="H67" i="34" s="1"/>
  <c r="E243" i="37"/>
  <c r="F243" i="37" s="1"/>
  <c r="I243" i="37" s="1"/>
  <c r="G254" i="34" s="1"/>
  <c r="H254" i="34" s="1"/>
  <c r="E285" i="37"/>
  <c r="F285" i="37" s="1"/>
  <c r="I285" i="37" s="1"/>
  <c r="G296" i="34" s="1"/>
  <c r="H296" i="34" s="1"/>
  <c r="E144" i="37"/>
  <c r="F144" i="37" s="1"/>
  <c r="I144" i="37" s="1"/>
  <c r="G155" i="34" s="1"/>
  <c r="H155" i="34" s="1"/>
  <c r="E249" i="37"/>
  <c r="F249" i="37" s="1"/>
  <c r="I249" i="37" s="1"/>
  <c r="G260" i="34" s="1"/>
  <c r="H260" i="34" s="1"/>
  <c r="E21" i="37"/>
  <c r="F21" i="37" s="1"/>
  <c r="I21" i="37" s="1"/>
  <c r="G32" i="34" s="1"/>
  <c r="H32" i="34" s="1"/>
  <c r="E229" i="37"/>
  <c r="F229" i="37" s="1"/>
  <c r="I229" i="37" s="1"/>
  <c r="G240" i="34" s="1"/>
  <c r="H240" i="34" s="1"/>
  <c r="E67" i="37"/>
  <c r="F67" i="37" s="1"/>
  <c r="I67" i="37" s="1"/>
  <c r="G78" i="34" s="1"/>
  <c r="H78" i="34" s="1"/>
  <c r="E28" i="37"/>
  <c r="F28" i="37" s="1"/>
  <c r="I28" i="37" s="1"/>
  <c r="G39" i="34" s="1"/>
  <c r="H39" i="34" s="1"/>
  <c r="E163" i="37"/>
  <c r="F163" i="37" s="1"/>
  <c r="I163" i="37" s="1"/>
  <c r="G174" i="34" s="1"/>
  <c r="H174" i="34" s="1"/>
  <c r="E91" i="37"/>
  <c r="F91" i="37" s="1"/>
  <c r="I91" i="37" s="1"/>
  <c r="G102" i="34" s="1"/>
  <c r="H102" i="34" s="1"/>
  <c r="E164" i="37"/>
  <c r="F164" i="37" s="1"/>
  <c r="I164" i="37" s="1"/>
  <c r="G175" i="34" s="1"/>
  <c r="H175" i="34" s="1"/>
  <c r="E201" i="37"/>
  <c r="F201" i="37" s="1"/>
  <c r="I201" i="37" s="1"/>
  <c r="G212" i="34" s="1"/>
  <c r="H212" i="34" s="1"/>
  <c r="E148" i="37"/>
  <c r="F148" i="37" s="1"/>
  <c r="I148" i="37" s="1"/>
  <c r="G159" i="34" s="1"/>
  <c r="H159" i="34" s="1"/>
  <c r="E71" i="37"/>
  <c r="F71" i="37" s="1"/>
  <c r="I71" i="37" s="1"/>
  <c r="G82" i="34" s="1"/>
  <c r="H82" i="34" s="1"/>
  <c r="E136" i="37"/>
  <c r="F136" i="37" s="1"/>
  <c r="I136" i="37" s="1"/>
  <c r="G147" i="34" s="1"/>
  <c r="H147" i="34" s="1"/>
  <c r="E16" i="37"/>
  <c r="F16" i="37" s="1"/>
  <c r="I16" i="37" s="1"/>
  <c r="G27" i="34" s="1"/>
  <c r="H27" i="34" s="1"/>
  <c r="E135" i="37"/>
  <c r="F135" i="37" s="1"/>
  <c r="I135" i="37" s="1"/>
  <c r="G146" i="34" s="1"/>
  <c r="H146" i="34" s="1"/>
  <c r="E225" i="37"/>
  <c r="F225" i="37" s="1"/>
  <c r="I225" i="37" s="1"/>
  <c r="G236" i="34" s="1"/>
  <c r="H236" i="34" s="1"/>
  <c r="E156" i="37"/>
  <c r="F156" i="37" s="1"/>
  <c r="I156" i="37" s="1"/>
  <c r="G167" i="34" s="1"/>
  <c r="H167" i="34" s="1"/>
  <c r="E51" i="37"/>
  <c r="F51" i="37" s="1"/>
  <c r="I51" i="37" s="1"/>
  <c r="G62" i="34" s="1"/>
  <c r="H62" i="34" s="1"/>
  <c r="E75" i="37"/>
  <c r="F75" i="37" s="1"/>
  <c r="I75" i="37" s="1"/>
  <c r="G86" i="34" s="1"/>
  <c r="H86" i="34" s="1"/>
  <c r="E155" i="37"/>
  <c r="F155" i="37" s="1"/>
  <c r="I155" i="37" s="1"/>
  <c r="G166" i="34" s="1"/>
  <c r="H166" i="34" s="1"/>
  <c r="E269" i="37"/>
  <c r="F269" i="37" s="1"/>
  <c r="I269" i="37" s="1"/>
  <c r="G280" i="34" s="1"/>
  <c r="H280" i="34" s="1"/>
  <c r="E257" i="37"/>
  <c r="F257" i="37" s="1"/>
  <c r="I257" i="37" s="1"/>
  <c r="G268" i="34" s="1"/>
  <c r="H268" i="34" s="1"/>
  <c r="E35" i="37"/>
  <c r="F35" i="37" s="1"/>
  <c r="I35" i="37" s="1"/>
  <c r="G46" i="34" s="1"/>
  <c r="H46" i="34" s="1"/>
  <c r="E17" i="37"/>
  <c r="F17" i="37" s="1"/>
  <c r="I17" i="37" s="1"/>
  <c r="G28" i="34" s="1"/>
  <c r="H28" i="34" s="1"/>
  <c r="E47" i="37"/>
  <c r="F47" i="37" s="1"/>
  <c r="I47" i="37" s="1"/>
  <c r="G58" i="34" s="1"/>
  <c r="H58" i="34" s="1"/>
  <c r="E181" i="37"/>
  <c r="F181" i="37" s="1"/>
  <c r="I181" i="37" s="1"/>
  <c r="G192" i="34" s="1"/>
  <c r="H192" i="34" s="1"/>
  <c r="E303" i="37"/>
  <c r="F303" i="37" s="1"/>
  <c r="I303" i="37" s="1"/>
  <c r="G314" i="34" s="1"/>
  <c r="H314" i="34" s="1"/>
  <c r="E40" i="37"/>
  <c r="F40" i="37" s="1"/>
  <c r="I40" i="37" s="1"/>
  <c r="G51" i="34" s="1"/>
  <c r="H51" i="34" s="1"/>
  <c r="E29" i="37"/>
  <c r="F29" i="37" s="1"/>
  <c r="I29" i="37" s="1"/>
  <c r="G40" i="34" s="1"/>
  <c r="H40" i="34" s="1"/>
  <c r="E60" i="37"/>
  <c r="F60" i="37" s="1"/>
  <c r="I60" i="37" s="1"/>
  <c r="G71" i="34" s="1"/>
  <c r="H71" i="34" s="1"/>
  <c r="E211" i="37"/>
  <c r="F211" i="37" s="1"/>
  <c r="I211" i="37" s="1"/>
  <c r="G222" i="34" s="1"/>
  <c r="H222" i="34" s="1"/>
  <c r="E48" i="37"/>
  <c r="F48" i="37" s="1"/>
  <c r="I48" i="37" s="1"/>
  <c r="G59" i="34" s="1"/>
  <c r="H59" i="34" s="1"/>
  <c r="E197" i="37"/>
  <c r="F197" i="37" s="1"/>
  <c r="I197" i="37" s="1"/>
  <c r="G208" i="34" s="1"/>
  <c r="H208" i="34" s="1"/>
  <c r="E251" i="37"/>
  <c r="F251" i="37" s="1"/>
  <c r="I251" i="37" s="1"/>
  <c r="G262" i="34" s="1"/>
  <c r="H262" i="34" s="1"/>
  <c r="E253" i="37"/>
  <c r="F253" i="37" s="1"/>
  <c r="I253" i="37" s="1"/>
  <c r="G264" i="34" s="1"/>
  <c r="H264" i="34" s="1"/>
  <c r="E301" i="37"/>
  <c r="F301" i="37" s="1"/>
  <c r="I301" i="37" s="1"/>
  <c r="G312" i="34" s="1"/>
  <c r="H312" i="34" s="1"/>
  <c r="E120" i="37"/>
  <c r="F120" i="37" s="1"/>
  <c r="I120" i="37" s="1"/>
  <c r="G131" i="34" s="1"/>
  <c r="H131" i="34" s="1"/>
  <c r="E168" i="37"/>
  <c r="F168" i="37" s="1"/>
  <c r="I168" i="37" s="1"/>
  <c r="G179" i="34" s="1"/>
  <c r="H179" i="34" s="1"/>
  <c r="E100" i="37"/>
  <c r="F100" i="37" s="1"/>
  <c r="I100" i="37" s="1"/>
  <c r="G111" i="34" s="1"/>
  <c r="H111" i="34" s="1"/>
  <c r="E185" i="37"/>
  <c r="F185" i="37" s="1"/>
  <c r="I185" i="37" s="1"/>
  <c r="G196" i="34" s="1"/>
  <c r="H196" i="34" s="1"/>
  <c r="E241" i="37"/>
  <c r="F241" i="37" s="1"/>
  <c r="I241" i="37" s="1"/>
  <c r="G252" i="34" s="1"/>
  <c r="H252" i="34" s="1"/>
  <c r="E43" i="37"/>
  <c r="F43" i="37" s="1"/>
  <c r="I43" i="37" s="1"/>
  <c r="G54" i="34" s="1"/>
  <c r="H54" i="34" s="1"/>
  <c r="E31" i="37"/>
  <c r="F31" i="37" s="1"/>
  <c r="I31" i="37" s="1"/>
  <c r="G42" i="34" s="1"/>
  <c r="H42" i="34" s="1"/>
  <c r="E237" i="37"/>
  <c r="F237" i="37" s="1"/>
  <c r="I237" i="37" s="1"/>
  <c r="G248" i="34" s="1"/>
  <c r="H248" i="34" s="1"/>
  <c r="E247" i="37"/>
  <c r="F247" i="37" s="1"/>
  <c r="I247" i="37" s="1"/>
  <c r="G258" i="34" s="1"/>
  <c r="H258" i="34" s="1"/>
  <c r="E139" i="37"/>
  <c r="F139" i="37" s="1"/>
  <c r="I139" i="37" s="1"/>
  <c r="G150" i="34" s="1"/>
  <c r="H150" i="34" s="1"/>
  <c r="E217" i="37"/>
  <c r="F217" i="37" s="1"/>
  <c r="I217" i="37" s="1"/>
  <c r="G228" i="34" s="1"/>
  <c r="H228" i="34" s="1"/>
  <c r="E131" i="37"/>
  <c r="F131" i="37" s="1"/>
  <c r="I131" i="37" s="1"/>
  <c r="G142" i="34" s="1"/>
  <c r="H142" i="34" s="1"/>
  <c r="E212" i="37"/>
  <c r="F212" i="37" s="1"/>
  <c r="I212" i="37" s="1"/>
  <c r="G223" i="34" s="1"/>
  <c r="H223" i="34" s="1"/>
  <c r="E123" i="37"/>
  <c r="F123" i="37" s="1"/>
  <c r="I123" i="37" s="1"/>
  <c r="G134" i="34" s="1"/>
  <c r="H134" i="34" s="1"/>
  <c r="E167" i="37"/>
  <c r="F167" i="37" s="1"/>
  <c r="I167" i="37" s="1"/>
  <c r="G178" i="34" s="1"/>
  <c r="H178" i="34" s="1"/>
  <c r="E72" i="37"/>
  <c r="F72" i="37" s="1"/>
  <c r="I72" i="37" s="1"/>
  <c r="G83" i="34" s="1"/>
  <c r="H83" i="34" s="1"/>
  <c r="E24" i="37"/>
  <c r="F24" i="37" s="1"/>
  <c r="I24" i="37" s="1"/>
  <c r="G35" i="34" s="1"/>
  <c r="H35" i="34" s="1"/>
  <c r="E233" i="37"/>
  <c r="F233" i="37" s="1"/>
  <c r="I233" i="37" s="1"/>
  <c r="G244" i="34" s="1"/>
  <c r="H244" i="34" s="1"/>
  <c r="E20" i="37"/>
  <c r="F20" i="37" s="1"/>
  <c r="I20" i="37" s="1"/>
  <c r="G31" i="34" s="1"/>
  <c r="H31" i="34" s="1"/>
  <c r="E200" i="37"/>
  <c r="F200" i="37" s="1"/>
  <c r="I200" i="37" s="1"/>
  <c r="G211" i="34" s="1"/>
  <c r="H211" i="34" s="1"/>
  <c r="E76" i="37"/>
  <c r="F76" i="37" s="1"/>
  <c r="I76" i="37" s="1"/>
  <c r="G87" i="34" s="1"/>
  <c r="H87" i="34" s="1"/>
  <c r="E140" i="37"/>
  <c r="F140" i="37" s="1"/>
  <c r="I140" i="37" s="1"/>
  <c r="G151" i="34" s="1"/>
  <c r="H151" i="34" s="1"/>
  <c r="E25" i="37"/>
  <c r="F25" i="37" s="1"/>
  <c r="I25" i="37" s="1"/>
  <c r="G36" i="34" s="1"/>
  <c r="H36" i="34" s="1"/>
  <c r="E9" i="37"/>
  <c r="F9" i="37" s="1"/>
  <c r="I9" i="37" s="1"/>
  <c r="G20" i="34" s="1"/>
  <c r="H20" i="34" s="1"/>
  <c r="E209" i="37"/>
  <c r="F209" i="37" s="1"/>
  <c r="I209" i="37" s="1"/>
  <c r="G220" i="34" s="1"/>
  <c r="H220" i="34" s="1"/>
  <c r="E84" i="37"/>
  <c r="F84" i="37" s="1"/>
  <c r="I84" i="37" s="1"/>
  <c r="G95" i="34" s="1"/>
  <c r="H95" i="34" s="1"/>
  <c r="E152" i="37"/>
  <c r="F152" i="37" s="1"/>
  <c r="I152" i="37" s="1"/>
  <c r="G163" i="34" s="1"/>
  <c r="H163" i="34" s="1"/>
  <c r="E80" i="37"/>
  <c r="F80" i="37" s="1"/>
  <c r="I80" i="37" s="1"/>
  <c r="G91" i="34" s="1"/>
  <c r="H91" i="34" s="1"/>
  <c r="E245" i="37"/>
  <c r="F245" i="37" s="1"/>
  <c r="I245" i="37" s="1"/>
  <c r="G256" i="34" s="1"/>
  <c r="H256" i="34" s="1"/>
  <c r="E36" i="37"/>
  <c r="F36" i="37" s="1"/>
  <c r="I36" i="37" s="1"/>
  <c r="G47" i="34" s="1"/>
  <c r="H47" i="34" s="1"/>
  <c r="E239" i="37"/>
  <c r="F239" i="37" s="1"/>
  <c r="I239" i="37" s="1"/>
  <c r="G250" i="34" s="1"/>
  <c r="H250" i="34" s="1"/>
  <c r="E277" i="37"/>
  <c r="F277" i="37" s="1"/>
  <c r="I277" i="37" s="1"/>
  <c r="G288" i="34" s="1"/>
  <c r="H288" i="34" s="1"/>
  <c r="E235" i="37"/>
  <c r="F235" i="37" s="1"/>
  <c r="I235" i="37" s="1"/>
  <c r="G246" i="34" s="1"/>
  <c r="H246" i="34" s="1"/>
  <c r="E8" i="37"/>
  <c r="F8" i="37" s="1"/>
  <c r="I8" i="37" s="1"/>
  <c r="G19" i="34" s="1"/>
  <c r="H19" i="34" s="1"/>
  <c r="E252" i="37"/>
  <c r="F252" i="37" s="1"/>
  <c r="I252" i="37" s="1"/>
  <c r="G263" i="34" s="1"/>
  <c r="H263" i="34" s="1"/>
  <c r="E208" i="37"/>
  <c r="F208" i="37" s="1"/>
  <c r="I208" i="37" s="1"/>
  <c r="G219" i="34" s="1"/>
  <c r="H219" i="34" s="1"/>
  <c r="E127" i="37"/>
  <c r="F127" i="37" s="1"/>
  <c r="I127" i="37" s="1"/>
  <c r="G138" i="34" s="1"/>
  <c r="H138" i="34" s="1"/>
  <c r="E63" i="37"/>
  <c r="F63" i="37" s="1"/>
  <c r="I63" i="37" s="1"/>
  <c r="G74" i="34" s="1"/>
  <c r="H74" i="34" s="1"/>
  <c r="E44" i="37"/>
  <c r="F44" i="37" s="1"/>
  <c r="I44" i="37" s="1"/>
  <c r="G55" i="34" s="1"/>
  <c r="H55" i="34" s="1"/>
  <c r="E151" i="37"/>
  <c r="F151" i="37" s="1"/>
  <c r="I151" i="37" s="1"/>
  <c r="G162" i="34" s="1"/>
  <c r="H162" i="34" s="1"/>
  <c r="E55" i="37"/>
  <c r="F55" i="37" s="1"/>
  <c r="I55" i="37" s="1"/>
  <c r="G66" i="34" s="1"/>
  <c r="H66" i="34" s="1"/>
  <c r="E184" i="37"/>
  <c r="F184" i="37" s="1"/>
  <c r="I184" i="37" s="1"/>
  <c r="G195" i="34" s="1"/>
  <c r="H195" i="34" s="1"/>
  <c r="E176" i="37"/>
  <c r="F176" i="37" s="1"/>
  <c r="I176" i="37" s="1"/>
  <c r="G187" i="34" s="1"/>
  <c r="H187" i="34" s="1"/>
  <c r="E87" i="37"/>
  <c r="F87" i="37" s="1"/>
  <c r="I87" i="37" s="1"/>
  <c r="G98" i="34" s="1"/>
  <c r="H98" i="34" s="1"/>
  <c r="E147" i="37"/>
  <c r="F147" i="37" s="1"/>
  <c r="I147" i="37" s="1"/>
  <c r="G158" i="34" s="1"/>
  <c r="H158" i="34" s="1"/>
  <c r="E213" i="37"/>
  <c r="F213" i="37" s="1"/>
  <c r="I213" i="37" s="1"/>
  <c r="G224" i="34" s="1"/>
  <c r="H224" i="34" s="1"/>
  <c r="E205" i="37"/>
  <c r="F205" i="37" s="1"/>
  <c r="I205" i="37" s="1"/>
  <c r="G216" i="34" s="1"/>
  <c r="H216" i="34" s="1"/>
  <c r="E64" i="37"/>
  <c r="F64" i="37" s="1"/>
  <c r="I64" i="37" s="1"/>
  <c r="G75" i="34" s="1"/>
  <c r="H75" i="34" s="1"/>
  <c r="E52" i="37"/>
  <c r="F52" i="37" s="1"/>
  <c r="I52" i="37" s="1"/>
  <c r="G63" i="34" s="1"/>
  <c r="H63" i="34" s="1"/>
  <c r="E295" i="37"/>
  <c r="F295" i="37" s="1"/>
  <c r="I295" i="37" s="1"/>
  <c r="G306" i="34" s="1"/>
  <c r="H306" i="34" s="1"/>
  <c r="E189" i="37"/>
  <c r="F189" i="37" s="1"/>
  <c r="I189" i="37" s="1"/>
  <c r="G200" i="34" s="1"/>
  <c r="H200" i="34" s="1"/>
  <c r="E193" i="37"/>
  <c r="F193" i="37" s="1"/>
  <c r="I193" i="37" s="1"/>
  <c r="G204" i="34" s="1"/>
  <c r="H204" i="34" s="1"/>
  <c r="E12" i="37"/>
  <c r="F12" i="37" s="1"/>
  <c r="I12" i="37" s="1"/>
  <c r="G23" i="34" s="1"/>
  <c r="H23" i="34" s="1"/>
  <c r="E221" i="37"/>
  <c r="F221" i="37" s="1"/>
  <c r="I221" i="37" s="1"/>
  <c r="G232" i="34" s="1"/>
  <c r="H232" i="34" s="1"/>
  <c r="E311" i="37"/>
  <c r="F311" i="37" s="1"/>
  <c r="I311" i="37" s="1"/>
  <c r="G322" i="34" s="1"/>
  <c r="H322" i="34" s="1"/>
  <c r="E216" i="37"/>
  <c r="F216" i="37" s="1"/>
  <c r="I216" i="37" s="1"/>
  <c r="G227" i="34" s="1"/>
  <c r="H227" i="34" s="1"/>
  <c r="E256" i="37"/>
  <c r="F256" i="37" s="1"/>
  <c r="I256" i="37" s="1"/>
  <c r="G267" i="34" s="1"/>
  <c r="H267" i="34" s="1"/>
  <c r="E287" i="37"/>
  <c r="F287" i="37" s="1"/>
  <c r="I287" i="37" s="1"/>
  <c r="G298" i="34" s="1"/>
  <c r="H298" i="34" s="1"/>
  <c r="E32" i="37"/>
  <c r="F32" i="37" s="1"/>
  <c r="I32" i="37" s="1"/>
  <c r="G43" i="34" s="1"/>
  <c r="H43" i="34" s="1"/>
  <c r="E108" i="37"/>
  <c r="F108" i="37" s="1"/>
  <c r="I108" i="37" s="1"/>
  <c r="G119" i="34" s="1"/>
  <c r="H119" i="34" s="1"/>
  <c r="E59" i="37"/>
  <c r="F59" i="37" s="1"/>
  <c r="I59" i="37" s="1"/>
  <c r="G70" i="34" s="1"/>
  <c r="H70" i="34" s="1"/>
  <c r="E260" i="37"/>
  <c r="F260" i="37" s="1"/>
  <c r="I260" i="37" s="1"/>
  <c r="G271" i="34" s="1"/>
  <c r="H271" i="34" s="1"/>
  <c r="E39" i="37"/>
  <c r="F39" i="37" s="1"/>
  <c r="I39" i="37" s="1"/>
  <c r="G50" i="34" s="1"/>
  <c r="H50" i="34" s="1"/>
  <c r="E13" i="37"/>
  <c r="F13" i="37" s="1"/>
  <c r="I13" i="37" s="1"/>
  <c r="G24" i="34" s="1"/>
  <c r="H24" i="34" s="1"/>
  <c r="E276" i="37"/>
  <c r="F276" i="37" s="1"/>
  <c r="I276" i="37" s="1"/>
  <c r="G287" i="34" s="1"/>
  <c r="H287" i="34" s="1"/>
  <c r="E116" i="37"/>
  <c r="F116" i="37" s="1"/>
  <c r="I116" i="37" s="1"/>
  <c r="G127" i="34" s="1"/>
  <c r="H127" i="34" s="1"/>
  <c r="E143" i="37"/>
  <c r="F143" i="37" s="1"/>
  <c r="I143" i="37" s="1"/>
  <c r="G154" i="34" s="1"/>
  <c r="H154" i="34" s="1"/>
  <c r="E128" i="37"/>
  <c r="F128" i="37" s="1"/>
  <c r="I128" i="37" s="1"/>
  <c r="G139" i="34" s="1"/>
  <c r="H139" i="34" s="1"/>
  <c r="E228" i="37"/>
  <c r="F228" i="37" s="1"/>
  <c r="I228" i="37" s="1"/>
  <c r="G239" i="34" s="1"/>
  <c r="H239" i="34" s="1"/>
  <c r="E159" i="37"/>
  <c r="F159" i="37" s="1"/>
  <c r="I159" i="37" s="1"/>
  <c r="G170" i="34" s="1"/>
  <c r="H170" i="34" s="1"/>
  <c r="E187" i="37"/>
  <c r="F187" i="37" s="1"/>
  <c r="I187" i="37" s="1"/>
  <c r="G198" i="34" s="1"/>
  <c r="H198" i="34" s="1"/>
  <c r="E103" i="37"/>
  <c r="F103" i="37" s="1"/>
  <c r="I103" i="37" s="1"/>
  <c r="G114" i="34" s="1"/>
  <c r="H114" i="34" s="1"/>
  <c r="E299" i="37"/>
  <c r="F299" i="37" s="1"/>
  <c r="I299" i="37" s="1"/>
  <c r="G310" i="34" s="1"/>
  <c r="H310" i="34" s="1"/>
  <c r="E92" i="37"/>
  <c r="F92" i="37" s="1"/>
  <c r="I92" i="37" s="1"/>
  <c r="G103" i="34" s="1"/>
  <c r="H103" i="34" s="1"/>
  <c r="E179" i="37"/>
  <c r="F179" i="37" s="1"/>
  <c r="I179" i="37" s="1"/>
  <c r="G190" i="34" s="1"/>
  <c r="H190" i="34" s="1"/>
  <c r="E88" i="37"/>
  <c r="F88" i="37" s="1"/>
  <c r="I88" i="37" s="1"/>
  <c r="G99" i="34" s="1"/>
  <c r="H99" i="34" s="1"/>
  <c r="E283" i="37"/>
  <c r="F283" i="37" s="1"/>
  <c r="I283" i="37" s="1"/>
  <c r="G294" i="34" s="1"/>
  <c r="H294" i="34" s="1"/>
  <c r="E261" i="37"/>
  <c r="F261" i="37" s="1"/>
  <c r="I261" i="37" s="1"/>
  <c r="G272" i="34" s="1"/>
  <c r="H272" i="34" s="1"/>
  <c r="E307" i="37"/>
  <c r="F307" i="37" s="1"/>
  <c r="I307" i="37" s="1"/>
  <c r="G318" i="34" s="1"/>
  <c r="H318" i="34" s="1"/>
  <c r="E291" i="37"/>
  <c r="F291" i="37" s="1"/>
  <c r="I291" i="37" s="1"/>
  <c r="G302" i="34" s="1"/>
  <c r="H302" i="34" s="1"/>
  <c r="E96" i="37"/>
  <c r="F96" i="37" s="1"/>
  <c r="I96" i="37" s="1"/>
  <c r="G107" i="34" s="1"/>
  <c r="H107" i="34" s="1"/>
  <c r="E104" i="37"/>
  <c r="F104" i="37" s="1"/>
  <c r="I104" i="37" s="1"/>
  <c r="G115" i="34" s="1"/>
  <c r="H115" i="34" s="1"/>
  <c r="E177" i="37"/>
  <c r="F177" i="37" s="1"/>
  <c r="I177" i="37" s="1"/>
  <c r="G188" i="34" s="1"/>
  <c r="H188" i="34" s="1"/>
  <c r="E195" i="37"/>
  <c r="F195" i="37" s="1"/>
  <c r="I195" i="37" s="1"/>
  <c r="G206" i="34" s="1"/>
  <c r="H206" i="34" s="1"/>
  <c r="E171" i="37"/>
  <c r="F171" i="37" s="1"/>
  <c r="I171" i="37" s="1"/>
  <c r="G182" i="34" s="1"/>
  <c r="H182" i="34" s="1"/>
  <c r="E271" i="37"/>
  <c r="F271" i="37" s="1"/>
  <c r="I271" i="37" s="1"/>
  <c r="G282" i="34" s="1"/>
  <c r="H282" i="34" s="1"/>
  <c r="E112" i="37"/>
  <c r="F112" i="37" s="1"/>
  <c r="I112" i="37" s="1"/>
  <c r="G123" i="34" s="1"/>
  <c r="H123" i="34" s="1"/>
  <c r="E263" i="37"/>
  <c r="F263" i="37" s="1"/>
  <c r="I263" i="37" s="1"/>
  <c r="G274" i="34" s="1"/>
  <c r="H274" i="34" s="1"/>
  <c r="E95" i="37"/>
  <c r="F95" i="37" s="1"/>
  <c r="I95" i="37" s="1"/>
  <c r="G106" i="34" s="1"/>
  <c r="H106" i="34" s="1"/>
  <c r="E279" i="37"/>
  <c r="F279" i="37" s="1"/>
  <c r="I279" i="37" s="1"/>
  <c r="G290" i="34" s="1"/>
  <c r="H290" i="34" s="1"/>
  <c r="I11" i="33"/>
  <c r="I19" i="33"/>
  <c r="I27" i="33"/>
  <c r="I24" i="33"/>
  <c r="I31" i="33"/>
  <c r="I47" i="33"/>
  <c r="I38" i="33"/>
  <c r="I46" i="33"/>
  <c r="I58" i="33"/>
  <c r="I74" i="33"/>
  <c r="I59" i="33"/>
  <c r="I75" i="33"/>
  <c r="I62" i="33"/>
  <c r="I63" i="33"/>
  <c r="I66" i="33"/>
  <c r="I78" i="33"/>
  <c r="I87" i="33"/>
  <c r="I132" i="33"/>
  <c r="I103" i="33"/>
  <c r="I182" i="33"/>
  <c r="I161" i="33"/>
  <c r="I118" i="33"/>
  <c r="I164" i="33"/>
  <c r="I169" i="33"/>
  <c r="I172" i="33"/>
  <c r="I201" i="33"/>
  <c r="I232" i="33"/>
  <c r="I111" i="33"/>
  <c r="I221" i="33"/>
  <c r="I224" i="33"/>
  <c r="I153" i="33"/>
  <c r="I229" i="33"/>
  <c r="I177" i="33"/>
  <c r="I260" i="33"/>
  <c r="I291" i="33"/>
  <c r="I299" i="33"/>
  <c r="I307" i="33"/>
  <c r="I268" i="33"/>
  <c r="I219" i="33"/>
  <c r="I233" i="33"/>
  <c r="I252" i="33"/>
  <c r="I289" i="33"/>
  <c r="I294" i="33"/>
  <c r="I292" i="33"/>
  <c r="I306" i="33"/>
  <c r="I272" i="33"/>
  <c r="I287" i="33"/>
  <c r="I293" i="33"/>
  <c r="I277" i="33"/>
  <c r="I207" i="33"/>
  <c r="I195" i="33"/>
  <c r="I222" i="33"/>
  <c r="I213" i="33"/>
  <c r="I183" i="33"/>
  <c r="I142" i="33"/>
  <c r="I196" i="33"/>
  <c r="I147" i="33"/>
  <c r="I128" i="33"/>
  <c r="I298" i="33"/>
  <c r="I296" i="33"/>
  <c r="I236" i="33"/>
  <c r="I310" i="33"/>
  <c r="I269" i="33"/>
  <c r="I267" i="33"/>
  <c r="I238" i="33"/>
  <c r="I273" i="33"/>
  <c r="I256" i="33"/>
  <c r="I251" i="33"/>
  <c r="I280" i="33"/>
  <c r="I223" i="33"/>
  <c r="I215" i="33"/>
  <c r="I202" i="33"/>
  <c r="I208" i="33"/>
  <c r="I157" i="33"/>
  <c r="I211" i="33"/>
  <c r="I302" i="33"/>
  <c r="I311" i="33"/>
  <c r="I312" i="33"/>
  <c r="I308" i="33"/>
  <c r="I246" i="33"/>
  <c r="I286" i="33"/>
  <c r="I255" i="33"/>
  <c r="I259" i="33"/>
  <c r="I248" i="33"/>
  <c r="I227" i="33"/>
  <c r="I218" i="33"/>
  <c r="I152" i="33"/>
  <c r="I205" i="33"/>
  <c r="I148" i="33"/>
  <c r="I290" i="33"/>
  <c r="I263" i="33"/>
  <c r="I265" i="33"/>
  <c r="I231" i="33"/>
  <c r="I271" i="33"/>
  <c r="I165" i="33"/>
  <c r="I199" i="33"/>
  <c r="I137" i="33"/>
  <c r="I186" i="33"/>
  <c r="I144" i="33"/>
  <c r="I131" i="33"/>
  <c r="I122" i="33"/>
  <c r="I167" i="33"/>
  <c r="I163" i="33"/>
  <c r="I116" i="33"/>
  <c r="I276" i="33"/>
  <c r="I303" i="33"/>
  <c r="I304" i="33"/>
  <c r="I281" i="33"/>
  <c r="I264" i="33"/>
  <c r="I261" i="33"/>
  <c r="I309" i="33"/>
  <c r="I241" i="33"/>
  <c r="I283" i="33"/>
  <c r="I250" i="33"/>
  <c r="I190" i="33"/>
  <c r="I300" i="33"/>
  <c r="I185" i="33"/>
  <c r="I301" i="33"/>
  <c r="I257" i="33"/>
  <c r="I242" i="33"/>
  <c r="I140" i="33"/>
  <c r="I305" i="33"/>
  <c r="I244" i="33"/>
  <c r="I249" i="33"/>
  <c r="I228" i="33"/>
  <c r="I270" i="33"/>
  <c r="I216" i="33"/>
  <c r="I240" i="33"/>
  <c r="I262" i="33"/>
  <c r="I220" i="33"/>
  <c r="I226" i="33"/>
  <c r="I192" i="33"/>
  <c r="I204" i="33"/>
  <c r="I136" i="33"/>
  <c r="I159" i="33"/>
  <c r="I130" i="33"/>
  <c r="I110" i="33"/>
  <c r="I99" i="33"/>
  <c r="I100" i="33"/>
  <c r="I82" i="33"/>
  <c r="I72" i="33"/>
  <c r="I56" i="33"/>
  <c r="I33" i="33"/>
  <c r="I25" i="33"/>
  <c r="I30" i="33"/>
  <c r="I65" i="33"/>
  <c r="I37" i="33"/>
  <c r="I285" i="33"/>
  <c r="I288" i="33"/>
  <c r="I295" i="33"/>
  <c r="I258" i="33"/>
  <c r="I198" i="33"/>
  <c r="I282" i="33"/>
  <c r="I234" i="33"/>
  <c r="I184" i="33"/>
  <c r="I206" i="33"/>
  <c r="I188" i="33"/>
  <c r="I175" i="33"/>
  <c r="I166" i="33"/>
  <c r="I112" i="33"/>
  <c r="I178" i="33"/>
  <c r="I150" i="33"/>
  <c r="I179" i="33"/>
  <c r="I90" i="33"/>
  <c r="I119" i="33"/>
  <c r="I95" i="33"/>
  <c r="I18" i="33"/>
  <c r="I14" i="33"/>
  <c r="I21" i="33"/>
  <c r="I94" i="33"/>
  <c r="I41" i="33"/>
  <c r="I32" i="33"/>
  <c r="I61" i="33"/>
  <c r="I54" i="33"/>
  <c r="I20" i="33"/>
  <c r="I79" i="33"/>
  <c r="I29" i="33"/>
  <c r="I9" i="33"/>
  <c r="I35" i="33"/>
  <c r="I23" i="33"/>
  <c r="I34" i="33"/>
  <c r="I284" i="33"/>
  <c r="I266" i="33"/>
  <c r="I181" i="33"/>
  <c r="I275" i="33"/>
  <c r="I247" i="33"/>
  <c r="I193" i="33"/>
  <c r="I274" i="33"/>
  <c r="I187" i="33"/>
  <c r="I212" i="33"/>
  <c r="I191" i="33"/>
  <c r="I173" i="33"/>
  <c r="I145" i="33"/>
  <c r="I139" i="33"/>
  <c r="I115" i="33"/>
  <c r="I160" i="33"/>
  <c r="I174" i="33"/>
  <c r="I297" i="33"/>
  <c r="I278" i="33"/>
  <c r="I209" i="33"/>
  <c r="I253" i="33"/>
  <c r="I225" i="33"/>
  <c r="I239" i="33"/>
  <c r="I235" i="33"/>
  <c r="I149" i="33"/>
  <c r="I214" i="33"/>
  <c r="I203" i="33"/>
  <c r="I143" i="33"/>
  <c r="I154" i="33"/>
  <c r="I127" i="33"/>
  <c r="I96" i="33"/>
  <c r="I123" i="33"/>
  <c r="I81" i="33"/>
  <c r="I84" i="33"/>
  <c r="I71" i="33"/>
  <c r="I106" i="33"/>
  <c r="I40" i="33"/>
  <c r="I53" i="33"/>
  <c r="I45" i="33"/>
  <c r="I86" i="33"/>
  <c r="I28" i="33"/>
  <c r="I7" i="33"/>
  <c r="I39" i="33"/>
  <c r="I176" i="33"/>
  <c r="I126" i="33"/>
  <c r="I120" i="33"/>
  <c r="I113" i="33"/>
  <c r="I105" i="33"/>
  <c r="I101" i="33"/>
  <c r="I97" i="33"/>
  <c r="I26" i="33"/>
  <c r="I13" i="33"/>
  <c r="I44" i="33"/>
  <c r="I279" i="33"/>
  <c r="I170" i="33"/>
  <c r="I194" i="33"/>
  <c r="I168" i="33"/>
  <c r="I85" i="33"/>
  <c r="I93" i="33"/>
  <c r="I73" i="33"/>
  <c r="I49" i="33"/>
  <c r="I70" i="33"/>
  <c r="I43" i="33"/>
  <c r="I245" i="33"/>
  <c r="I200" i="33"/>
  <c r="I180" i="33"/>
  <c r="I155" i="33"/>
  <c r="I55" i="33"/>
  <c r="I80" i="33"/>
  <c r="I12" i="33"/>
  <c r="I17" i="33"/>
  <c r="I6" i="33"/>
  <c r="I237" i="33"/>
  <c r="I189" i="33"/>
  <c r="I158" i="33"/>
  <c r="I98" i="33"/>
  <c r="I88" i="33"/>
  <c r="I10" i="33"/>
  <c r="I77" i="33"/>
  <c r="I67" i="33"/>
  <c r="I22" i="33"/>
  <c r="I16" i="33"/>
  <c r="I42" i="33"/>
  <c r="I156" i="33"/>
  <c r="I151" i="33"/>
  <c r="I171" i="33"/>
  <c r="I141" i="33"/>
  <c r="I124" i="33"/>
  <c r="I107" i="33"/>
  <c r="I109" i="33"/>
  <c r="I125" i="33"/>
  <c r="I89" i="33"/>
  <c r="I48" i="33"/>
  <c r="I129" i="33"/>
  <c r="I108" i="33"/>
  <c r="I102" i="33"/>
  <c r="I121" i="33"/>
  <c r="I91" i="33"/>
  <c r="I83" i="33"/>
  <c r="I51" i="33"/>
  <c r="I8" i="33"/>
  <c r="I243" i="33"/>
  <c r="I210" i="33"/>
  <c r="I197" i="33"/>
  <c r="I254" i="33"/>
  <c r="I114" i="33"/>
  <c r="I57" i="33"/>
  <c r="I69" i="33"/>
  <c r="I36" i="33"/>
  <c r="I133" i="33"/>
  <c r="I92" i="33"/>
  <c r="I50" i="33"/>
  <c r="I15" i="33"/>
  <c r="I217" i="33"/>
  <c r="I134" i="33"/>
  <c r="I64" i="33"/>
  <c r="I52" i="33"/>
  <c r="I104" i="33"/>
  <c r="I60" i="33"/>
  <c r="I135" i="33"/>
  <c r="I117" i="33"/>
  <c r="I162" i="33"/>
  <c r="I76" i="33"/>
  <c r="I138" i="33"/>
  <c r="I68" i="33"/>
  <c r="I230" i="33"/>
  <c r="I146" i="33"/>
  <c r="G53" i="33"/>
  <c r="G69" i="33"/>
  <c r="G61" i="33"/>
  <c r="G77" i="33"/>
  <c r="G65" i="33"/>
  <c r="G84" i="33"/>
  <c r="G92" i="33"/>
  <c r="G105" i="33"/>
  <c r="G100" i="33"/>
  <c r="G171" i="33"/>
  <c r="G147" i="33"/>
  <c r="G121" i="33"/>
  <c r="G174" i="33"/>
  <c r="G106" i="33"/>
  <c r="G123" i="33"/>
  <c r="G158" i="33"/>
  <c r="G195" i="33"/>
  <c r="G218" i="33"/>
  <c r="G108" i="33"/>
  <c r="G166" i="33"/>
  <c r="G139" i="33"/>
  <c r="G232" i="33"/>
  <c r="G291" i="33"/>
  <c r="G299" i="33"/>
  <c r="G307" i="33"/>
  <c r="G254" i="33"/>
  <c r="G221" i="33"/>
  <c r="G278" i="33"/>
  <c r="G262" i="33"/>
  <c r="G238" i="33"/>
  <c r="G270" i="33"/>
  <c r="G286" i="33"/>
  <c r="G246" i="33"/>
  <c r="G285" i="33"/>
  <c r="G288" i="33"/>
  <c r="G312" i="33"/>
  <c r="G264" i="33"/>
  <c r="G228" i="33"/>
  <c r="G216" i="33"/>
  <c r="G241" i="33"/>
  <c r="G276" i="33"/>
  <c r="G247" i="33"/>
  <c r="G229" i="33"/>
  <c r="G265" i="33"/>
  <c r="G231" i="33"/>
  <c r="G268" i="33"/>
  <c r="G239" i="33"/>
  <c r="G210" i="33"/>
  <c r="G186" i="33"/>
  <c r="G175" i="33"/>
  <c r="G311" i="33"/>
  <c r="G308" i="33"/>
  <c r="G297" i="33"/>
  <c r="G260" i="33"/>
  <c r="G281" i="33"/>
  <c r="G249" i="33"/>
  <c r="G255" i="33"/>
  <c r="G203" i="33"/>
  <c r="G259" i="33"/>
  <c r="G248" i="33"/>
  <c r="G152" i="33"/>
  <c r="G205" i="33"/>
  <c r="G289" i="33"/>
  <c r="G303" i="33"/>
  <c r="G304" i="33"/>
  <c r="G263" i="33"/>
  <c r="G284" i="33"/>
  <c r="G258" i="33"/>
  <c r="G301" i="33"/>
  <c r="G165" i="33"/>
  <c r="G190" i="33"/>
  <c r="G182" i="33"/>
  <c r="G191" i="33"/>
  <c r="G269" i="33"/>
  <c r="G211" i="33"/>
  <c r="G272" i="33"/>
  <c r="G250" i="33"/>
  <c r="G244" i="33"/>
  <c r="G277" i="33"/>
  <c r="G222" i="33"/>
  <c r="G194" i="33"/>
  <c r="G185" i="33"/>
  <c r="G200" i="33"/>
  <c r="G214" i="33"/>
  <c r="G151" i="33"/>
  <c r="G142" i="33"/>
  <c r="G161" i="33"/>
  <c r="G128" i="33"/>
  <c r="G163" i="33"/>
  <c r="G114" i="33"/>
  <c r="G168" i="33"/>
  <c r="G120" i="33"/>
  <c r="G133" i="33"/>
  <c r="G124" i="33"/>
  <c r="G107" i="33"/>
  <c r="G298" i="33"/>
  <c r="G294" i="33"/>
  <c r="G310" i="33"/>
  <c r="G295" i="33"/>
  <c r="G300" i="33"/>
  <c r="G187" i="33"/>
  <c r="G240" i="33"/>
  <c r="G223" i="33"/>
  <c r="G242" i="33"/>
  <c r="G236" i="33"/>
  <c r="G220" i="33"/>
  <c r="G282" i="33"/>
  <c r="G309" i="33"/>
  <c r="G207" i="33"/>
  <c r="G184" i="33"/>
  <c r="G292" i="33"/>
  <c r="G266" i="33"/>
  <c r="G252" i="33"/>
  <c r="G293" i="33"/>
  <c r="G219" i="33"/>
  <c r="G274" i="33"/>
  <c r="G227" i="33"/>
  <c r="G179" i="33"/>
  <c r="G202" i="33"/>
  <c r="G150" i="33"/>
  <c r="G212" i="33"/>
  <c r="G173" i="33"/>
  <c r="G209" i="33"/>
  <c r="G148" i="33"/>
  <c r="G172" i="33"/>
  <c r="G145" i="33"/>
  <c r="G160" i="33"/>
  <c r="G85" i="33"/>
  <c r="G169" i="33"/>
  <c r="G91" i="33"/>
  <c r="G119" i="33"/>
  <c r="G67" i="33"/>
  <c r="G24" i="33"/>
  <c r="G56" i="33"/>
  <c r="G49" i="33"/>
  <c r="G181" i="33"/>
  <c r="G275" i="33"/>
  <c r="G267" i="33"/>
  <c r="G235" i="33"/>
  <c r="G253" i="33"/>
  <c r="G225" i="33"/>
  <c r="G213" i="33"/>
  <c r="G208" i="33"/>
  <c r="G149" i="33"/>
  <c r="G183" i="33"/>
  <c r="G143" i="33"/>
  <c r="G131" i="33"/>
  <c r="G204" i="33"/>
  <c r="G154" i="33"/>
  <c r="G140" i="33"/>
  <c r="G115" i="33"/>
  <c r="G164" i="33"/>
  <c r="G113" i="33"/>
  <c r="G127" i="33"/>
  <c r="G96" i="33"/>
  <c r="G86" i="33"/>
  <c r="G70" i="33"/>
  <c r="G54" i="33"/>
  <c r="G50" i="33"/>
  <c r="G40" i="33"/>
  <c r="G23" i="33"/>
  <c r="G75" i="33"/>
  <c r="G59" i="33"/>
  <c r="G22" i="33"/>
  <c r="G19" i="33"/>
  <c r="G35" i="33"/>
  <c r="G296" i="33"/>
  <c r="G306" i="33"/>
  <c r="G237" i="33"/>
  <c r="G233" i="33"/>
  <c r="G273" i="33"/>
  <c r="G257" i="33"/>
  <c r="G245" i="33"/>
  <c r="G189" i="33"/>
  <c r="G176" i="33"/>
  <c r="G196" i="33"/>
  <c r="G132" i="33"/>
  <c r="G126" i="33"/>
  <c r="G141" i="33"/>
  <c r="G290" i="33"/>
  <c r="G305" i="33"/>
  <c r="G287" i="33"/>
  <c r="G243" i="33"/>
  <c r="G156" i="33"/>
  <c r="G251" i="33"/>
  <c r="G279" i="33"/>
  <c r="G280" i="33"/>
  <c r="G234" i="33"/>
  <c r="G94" i="33"/>
  <c r="G201" i="33"/>
  <c r="G199" i="33"/>
  <c r="G157" i="33"/>
  <c r="G144" i="33"/>
  <c r="G122" i="33"/>
  <c r="G188" i="33"/>
  <c r="G167" i="33"/>
  <c r="G116" i="33"/>
  <c r="G101" i="33"/>
  <c r="G109" i="33"/>
  <c r="G97" i="33"/>
  <c r="G89" i="33"/>
  <c r="G78" i="33"/>
  <c r="G73" i="33"/>
  <c r="G57" i="33"/>
  <c r="G16" i="33"/>
  <c r="G302" i="33"/>
  <c r="G198" i="33"/>
  <c r="G170" i="33"/>
  <c r="G206" i="33"/>
  <c r="G153" i="33"/>
  <c r="G93" i="33"/>
  <c r="G71" i="33"/>
  <c r="G82" i="33"/>
  <c r="G33" i="33"/>
  <c r="G12" i="33"/>
  <c r="G14" i="33"/>
  <c r="G17" i="33"/>
  <c r="G72" i="33"/>
  <c r="G29" i="33"/>
  <c r="G34" i="33"/>
  <c r="G261" i="33"/>
  <c r="G271" i="33"/>
  <c r="G88" i="33"/>
  <c r="G81" i="33"/>
  <c r="G66" i="33"/>
  <c r="G10" i="33"/>
  <c r="G83" i="33"/>
  <c r="G112" i="33"/>
  <c r="G98" i="33"/>
  <c r="G47" i="33"/>
  <c r="G8" i="33"/>
  <c r="G62" i="33"/>
  <c r="G9" i="33"/>
  <c r="G43" i="33"/>
  <c r="G15" i="33"/>
  <c r="G136" i="33"/>
  <c r="G180" i="33"/>
  <c r="G102" i="33"/>
  <c r="G111" i="33"/>
  <c r="G80" i="33"/>
  <c r="G31" i="33"/>
  <c r="G30" i="33"/>
  <c r="G48" i="33"/>
  <c r="G27" i="33"/>
  <c r="G7" i="33"/>
  <c r="G215" i="33"/>
  <c r="G226" i="33"/>
  <c r="G118" i="33"/>
  <c r="G177" i="33"/>
  <c r="G51" i="33"/>
  <c r="G87" i="33"/>
  <c r="G45" i="33"/>
  <c r="G32" i="33"/>
  <c r="G20" i="33"/>
  <c r="G256" i="33"/>
  <c r="G224" i="33"/>
  <c r="G155" i="33"/>
  <c r="G192" i="33"/>
  <c r="G178" i="33"/>
  <c r="G125" i="33"/>
  <c r="G99" i="33"/>
  <c r="G95" i="33"/>
  <c r="G18" i="33"/>
  <c r="G25" i="33"/>
  <c r="G36" i="33"/>
  <c r="G46" i="33"/>
  <c r="G6" i="33"/>
  <c r="G37" i="33"/>
  <c r="G28" i="33"/>
  <c r="G130" i="33"/>
  <c r="G110" i="33"/>
  <c r="G90" i="33"/>
  <c r="G79" i="33"/>
  <c r="G41" i="33"/>
  <c r="G44" i="33"/>
  <c r="G283" i="33"/>
  <c r="G197" i="33"/>
  <c r="G159" i="33"/>
  <c r="G137" i="33"/>
  <c r="G103" i="33"/>
  <c r="G55" i="33"/>
  <c r="G38" i="33"/>
  <c r="G63" i="33"/>
  <c r="G21" i="33"/>
  <c r="G39" i="33"/>
  <c r="G26" i="33"/>
  <c r="G74" i="33"/>
  <c r="G58" i="33"/>
  <c r="G13" i="33"/>
  <c r="G42" i="33"/>
  <c r="G11" i="33"/>
  <c r="G193" i="33"/>
  <c r="G129" i="33"/>
  <c r="G230" i="33"/>
  <c r="G134" i="33"/>
  <c r="G64" i="33"/>
  <c r="G104" i="33"/>
  <c r="G162" i="33"/>
  <c r="G68" i="33"/>
  <c r="G52" i="33"/>
  <c r="G217" i="33"/>
  <c r="G117" i="33"/>
  <c r="G146" i="33"/>
  <c r="G60" i="33"/>
  <c r="G76" i="33"/>
  <c r="G138" i="33"/>
  <c r="G135" i="33"/>
  <c r="H59" i="33"/>
  <c r="H75" i="33"/>
  <c r="H78" i="33"/>
  <c r="H87" i="33"/>
  <c r="H84" i="33"/>
  <c r="H92" i="33"/>
  <c r="H100" i="33"/>
  <c r="H108" i="33"/>
  <c r="H132" i="33"/>
  <c r="H103" i="33"/>
  <c r="H125" i="33"/>
  <c r="H161" i="33"/>
  <c r="H127" i="33"/>
  <c r="H133" i="33"/>
  <c r="H137" i="33"/>
  <c r="H169" i="33"/>
  <c r="H129" i="33"/>
  <c r="H153" i="33"/>
  <c r="H177" i="33"/>
  <c r="H221" i="33"/>
  <c r="H238" i="33"/>
  <c r="H246" i="33"/>
  <c r="H262" i="33"/>
  <c r="H270" i="33"/>
  <c r="H278" i="33"/>
  <c r="H224" i="33"/>
  <c r="H182" i="33"/>
  <c r="H232" i="33"/>
  <c r="H291" i="33"/>
  <c r="H299" i="33"/>
  <c r="H307" i="33"/>
  <c r="H281" i="33"/>
  <c r="H222" i="33"/>
  <c r="H241" i="33"/>
  <c r="H273" i="33"/>
  <c r="H190" i="33"/>
  <c r="H249" i="33"/>
  <c r="H298" i="33"/>
  <c r="H296" i="33"/>
  <c r="H294" i="33"/>
  <c r="H305" i="33"/>
  <c r="H300" i="33"/>
  <c r="H269" i="33"/>
  <c r="H267" i="33"/>
  <c r="H252" i="33"/>
  <c r="H256" i="33"/>
  <c r="H251" i="33"/>
  <c r="H309" i="33"/>
  <c r="H280" i="33"/>
  <c r="H223" i="33"/>
  <c r="H206" i="33"/>
  <c r="H227" i="33"/>
  <c r="H215" i="33"/>
  <c r="H229" i="33"/>
  <c r="H202" i="33"/>
  <c r="H208" i="33"/>
  <c r="H157" i="33"/>
  <c r="H211" i="33"/>
  <c r="H288" i="33"/>
  <c r="H312" i="33"/>
  <c r="H287" i="33"/>
  <c r="H181" i="33"/>
  <c r="H264" i="33"/>
  <c r="H228" i="33"/>
  <c r="H301" i="33"/>
  <c r="H276" i="33"/>
  <c r="H247" i="33"/>
  <c r="H268" i="33"/>
  <c r="H239" i="33"/>
  <c r="H210" i="33"/>
  <c r="H219" i="33"/>
  <c r="H311" i="33"/>
  <c r="H265" i="33"/>
  <c r="H275" i="33"/>
  <c r="H243" i="33"/>
  <c r="H156" i="33"/>
  <c r="H158" i="33"/>
  <c r="H279" i="33"/>
  <c r="H250" i="33"/>
  <c r="H234" i="33"/>
  <c r="H271" i="33"/>
  <c r="H242" i="33"/>
  <c r="H289" i="33"/>
  <c r="H303" i="33"/>
  <c r="H297" i="33"/>
  <c r="H304" i="33"/>
  <c r="H284" i="33"/>
  <c r="H261" i="33"/>
  <c r="H283" i="33"/>
  <c r="H198" i="33"/>
  <c r="H195" i="33"/>
  <c r="H170" i="33"/>
  <c r="H235" i="33"/>
  <c r="H197" i="33"/>
  <c r="H171" i="33"/>
  <c r="H136" i="33"/>
  <c r="H180" i="33"/>
  <c r="H115" i="33"/>
  <c r="H98" i="33"/>
  <c r="H272" i="33"/>
  <c r="H293" i="33"/>
  <c r="H244" i="33"/>
  <c r="H248" i="33"/>
  <c r="H277" i="33"/>
  <c r="H213" i="33"/>
  <c r="H216" i="33"/>
  <c r="H240" i="33"/>
  <c r="H236" i="33"/>
  <c r="H218" i="33"/>
  <c r="H220" i="33"/>
  <c r="H285" i="33"/>
  <c r="H308" i="33"/>
  <c r="H295" i="33"/>
  <c r="H260" i="33"/>
  <c r="H258" i="33"/>
  <c r="H282" i="33"/>
  <c r="H207" i="33"/>
  <c r="H184" i="33"/>
  <c r="H152" i="33"/>
  <c r="H193" i="33"/>
  <c r="H175" i="33"/>
  <c r="H204" i="33"/>
  <c r="H111" i="33"/>
  <c r="H150" i="33"/>
  <c r="H112" i="33"/>
  <c r="H178" i="33"/>
  <c r="H179" i="33"/>
  <c r="H90" i="33"/>
  <c r="H95" i="33"/>
  <c r="H18" i="33"/>
  <c r="H66" i="33"/>
  <c r="H19" i="33"/>
  <c r="H45" i="33"/>
  <c r="H21" i="33"/>
  <c r="H41" i="33"/>
  <c r="H32" i="33"/>
  <c r="H77" i="33"/>
  <c r="H20" i="33"/>
  <c r="H29" i="33"/>
  <c r="H9" i="33"/>
  <c r="H28" i="33"/>
  <c r="H38" i="33"/>
  <c r="H15" i="33"/>
  <c r="H39" i="33"/>
  <c r="H292" i="33"/>
  <c r="H266" i="33"/>
  <c r="H214" i="33"/>
  <c r="H259" i="33"/>
  <c r="H274" i="33"/>
  <c r="H254" i="33"/>
  <c r="H174" i="33"/>
  <c r="H187" i="33"/>
  <c r="H212" i="33"/>
  <c r="H191" i="33"/>
  <c r="H173" i="33"/>
  <c r="H209" i="33"/>
  <c r="H196" i="33"/>
  <c r="H148" i="33"/>
  <c r="H172" i="33"/>
  <c r="H139" i="33"/>
  <c r="H160" i="33"/>
  <c r="H85" i="33"/>
  <c r="H91" i="33"/>
  <c r="H67" i="33"/>
  <c r="H11" i="33"/>
  <c r="H94" i="33"/>
  <c r="H253" i="33"/>
  <c r="H225" i="33"/>
  <c r="H205" i="33"/>
  <c r="H149" i="33"/>
  <c r="H203" i="33"/>
  <c r="H183" i="33"/>
  <c r="H188" i="33"/>
  <c r="H143" i="33"/>
  <c r="H154" i="33"/>
  <c r="H140" i="33"/>
  <c r="H118" i="33"/>
  <c r="H302" i="33"/>
  <c r="H310" i="33"/>
  <c r="H306" i="33"/>
  <c r="H237" i="33"/>
  <c r="H145" i="33"/>
  <c r="H233" i="33"/>
  <c r="H245" i="33"/>
  <c r="H189" i="33"/>
  <c r="H176" i="33"/>
  <c r="H128" i="33"/>
  <c r="H126" i="33"/>
  <c r="H141" i="33"/>
  <c r="H120" i="33"/>
  <c r="H155" i="33"/>
  <c r="H93" i="33"/>
  <c r="H49" i="33"/>
  <c r="H36" i="33"/>
  <c r="H62" i="33"/>
  <c r="H48" i="33"/>
  <c r="H86" i="33"/>
  <c r="H44" i="33"/>
  <c r="H24" i="33"/>
  <c r="H201" i="33"/>
  <c r="H194" i="33"/>
  <c r="H168" i="33"/>
  <c r="H130" i="33"/>
  <c r="H110" i="33"/>
  <c r="H73" i="33"/>
  <c r="H65" i="33"/>
  <c r="H31" i="33"/>
  <c r="H165" i="33"/>
  <c r="H200" i="33"/>
  <c r="H144" i="33"/>
  <c r="H164" i="33"/>
  <c r="H113" i="33"/>
  <c r="H79" i="33"/>
  <c r="H55" i="33"/>
  <c r="H82" i="33"/>
  <c r="H54" i="33"/>
  <c r="H33" i="33"/>
  <c r="H12" i="33"/>
  <c r="H14" i="33"/>
  <c r="H34" i="33"/>
  <c r="H17" i="33"/>
  <c r="H46" i="33"/>
  <c r="H7" i="33"/>
  <c r="H16" i="33"/>
  <c r="H290" i="33"/>
  <c r="H263" i="33"/>
  <c r="H255" i="33"/>
  <c r="H167" i="33"/>
  <c r="H106" i="33"/>
  <c r="H88" i="33"/>
  <c r="H71" i="33"/>
  <c r="H53" i="33"/>
  <c r="H10" i="33"/>
  <c r="H72" i="33"/>
  <c r="H61" i="33"/>
  <c r="H27" i="33"/>
  <c r="H8" i="33"/>
  <c r="H185" i="33"/>
  <c r="H151" i="33"/>
  <c r="H109" i="33"/>
  <c r="H124" i="33"/>
  <c r="H107" i="33"/>
  <c r="H63" i="33"/>
  <c r="H51" i="33"/>
  <c r="H89" i="33"/>
  <c r="H42" i="33"/>
  <c r="H286" i="33"/>
  <c r="H226" i="33"/>
  <c r="H147" i="33"/>
  <c r="H102" i="33"/>
  <c r="H80" i="33"/>
  <c r="H70" i="33"/>
  <c r="H30" i="33"/>
  <c r="H58" i="33"/>
  <c r="H43" i="33"/>
  <c r="H257" i="33"/>
  <c r="H199" i="33"/>
  <c r="H114" i="33"/>
  <c r="H96" i="33"/>
  <c r="H81" i="33"/>
  <c r="H123" i="33"/>
  <c r="H57" i="33"/>
  <c r="H40" i="33"/>
  <c r="H74" i="33"/>
  <c r="H35" i="33"/>
  <c r="H122" i="33"/>
  <c r="H159" i="33"/>
  <c r="H105" i="33"/>
  <c r="H69" i="33"/>
  <c r="H23" i="33"/>
  <c r="H231" i="33"/>
  <c r="H192" i="33"/>
  <c r="H142" i="33"/>
  <c r="H163" i="33"/>
  <c r="H116" i="33"/>
  <c r="H99" i="33"/>
  <c r="H119" i="33"/>
  <c r="H121" i="33"/>
  <c r="H50" i="33"/>
  <c r="H25" i="33"/>
  <c r="H83" i="33"/>
  <c r="H6" i="33"/>
  <c r="H37" i="33"/>
  <c r="H22" i="33"/>
  <c r="H47" i="33"/>
  <c r="H186" i="33"/>
  <c r="H131" i="33"/>
  <c r="H166" i="33"/>
  <c r="H101" i="33"/>
  <c r="H97" i="33"/>
  <c r="H56" i="33"/>
  <c r="H26" i="33"/>
  <c r="H13" i="33"/>
  <c r="H135" i="33"/>
  <c r="H117" i="33"/>
  <c r="H104" i="33"/>
  <c r="H217" i="33"/>
  <c r="H230" i="33"/>
  <c r="H68" i="33"/>
  <c r="H134" i="33"/>
  <c r="H162" i="33"/>
  <c r="H64" i="33"/>
  <c r="H146" i="33"/>
  <c r="H60" i="33"/>
  <c r="H52" i="33"/>
  <c r="H76" i="33"/>
  <c r="H138" i="33"/>
  <c r="G5" i="33"/>
  <c r="J11" i="33"/>
  <c r="J19" i="33"/>
  <c r="J27" i="33"/>
  <c r="J34" i="33"/>
  <c r="J42" i="33"/>
  <c r="J15" i="33"/>
  <c r="J23" i="33"/>
  <c r="J38" i="33"/>
  <c r="J46" i="33"/>
  <c r="J66" i="33"/>
  <c r="J87" i="33"/>
  <c r="J58" i="33"/>
  <c r="J74" i="33"/>
  <c r="J61" i="33"/>
  <c r="J77" i="33"/>
  <c r="J62" i="33"/>
  <c r="J65" i="33"/>
  <c r="J132" i="33"/>
  <c r="J175" i="33"/>
  <c r="J107" i="33"/>
  <c r="J182" i="33"/>
  <c r="J109" i="33"/>
  <c r="J101" i="33"/>
  <c r="J167" i="33"/>
  <c r="J172" i="33"/>
  <c r="J204" i="33"/>
  <c r="J219" i="33"/>
  <c r="J222" i="33"/>
  <c r="J232" i="33"/>
  <c r="J188" i="33"/>
  <c r="J148" i="33"/>
  <c r="J143" i="33"/>
  <c r="J196" i="33"/>
  <c r="J263" i="33"/>
  <c r="J220" i="33"/>
  <c r="J271" i="33"/>
  <c r="J291" i="33"/>
  <c r="J299" i="33"/>
  <c r="J307" i="33"/>
  <c r="J287" i="33"/>
  <c r="J286" i="33"/>
  <c r="J255" i="33"/>
  <c r="J284" i="33"/>
  <c r="J289" i="33"/>
  <c r="J239" i="33"/>
  <c r="J295" i="33"/>
  <c r="J266" i="33"/>
  <c r="J237" i="33"/>
  <c r="J181" i="33"/>
  <c r="J309" i="33"/>
  <c r="J261" i="33"/>
  <c r="J283" i="33"/>
  <c r="J240" i="33"/>
  <c r="J221" i="33"/>
  <c r="J190" i="33"/>
  <c r="J199" i="33"/>
  <c r="J187" i="33"/>
  <c r="J197" i="33"/>
  <c r="J254" i="33"/>
  <c r="J194" i="33"/>
  <c r="J173" i="33"/>
  <c r="J206" i="33"/>
  <c r="J164" i="33"/>
  <c r="J115" i="33"/>
  <c r="J209" i="33"/>
  <c r="J285" i="33"/>
  <c r="J279" i="33"/>
  <c r="J300" i="33"/>
  <c r="J306" i="33"/>
  <c r="J272" i="33"/>
  <c r="J301" i="33"/>
  <c r="J216" i="33"/>
  <c r="J277" i="33"/>
  <c r="J207" i="33"/>
  <c r="J195" i="33"/>
  <c r="J193" i="33"/>
  <c r="J246" i="33"/>
  <c r="J213" i="33"/>
  <c r="J298" i="33"/>
  <c r="J296" i="33"/>
  <c r="J302" i="33"/>
  <c r="J305" i="33"/>
  <c r="J288" i="33"/>
  <c r="J310" i="33"/>
  <c r="J264" i="33"/>
  <c r="J257" i="33"/>
  <c r="J198" i="33"/>
  <c r="J244" i="33"/>
  <c r="J236" i="33"/>
  <c r="J210" i="33"/>
  <c r="J243" i="33"/>
  <c r="J293" i="33"/>
  <c r="J252" i="33"/>
  <c r="J156" i="33"/>
  <c r="J256" i="33"/>
  <c r="J276" i="33"/>
  <c r="J223" i="33"/>
  <c r="J245" i="33"/>
  <c r="J215" i="33"/>
  <c r="J189" i="33"/>
  <c r="J176" i="33"/>
  <c r="J179" i="33"/>
  <c r="J129" i="33"/>
  <c r="J145" i="33"/>
  <c r="J141" i="33"/>
  <c r="J155" i="33"/>
  <c r="J290" i="33"/>
  <c r="J269" i="33"/>
  <c r="J260" i="33"/>
  <c r="J265" i="33"/>
  <c r="J231" i="33"/>
  <c r="J268" i="33"/>
  <c r="J165" i="33"/>
  <c r="J292" i="33"/>
  <c r="J247" i="33"/>
  <c r="J303" i="33"/>
  <c r="J312" i="33"/>
  <c r="J304" i="33"/>
  <c r="J281" i="33"/>
  <c r="J241" i="33"/>
  <c r="J250" i="33"/>
  <c r="J248" i="33"/>
  <c r="J311" i="33"/>
  <c r="J273" i="33"/>
  <c r="J225" i="33"/>
  <c r="J242" i="33"/>
  <c r="J218" i="33"/>
  <c r="J214" i="33"/>
  <c r="J262" i="33"/>
  <c r="J200" i="33"/>
  <c r="J151" i="33"/>
  <c r="J114" i="33"/>
  <c r="J168" i="33"/>
  <c r="J126" i="33"/>
  <c r="J124" i="33"/>
  <c r="J105" i="33"/>
  <c r="J102" i="33"/>
  <c r="J121" i="33"/>
  <c r="J97" i="33"/>
  <c r="J89" i="33"/>
  <c r="J10" i="33"/>
  <c r="J100" i="33"/>
  <c r="J69" i="33"/>
  <c r="J308" i="33"/>
  <c r="J249" i="33"/>
  <c r="J228" i="33"/>
  <c r="J227" i="33"/>
  <c r="J201" i="33"/>
  <c r="J152" i="33"/>
  <c r="J211" i="33"/>
  <c r="J202" i="33"/>
  <c r="J159" i="33"/>
  <c r="J238" i="33"/>
  <c r="J226" i="33"/>
  <c r="J192" i="33"/>
  <c r="J136" i="33"/>
  <c r="J137" i="33"/>
  <c r="J130" i="33"/>
  <c r="J116" i="33"/>
  <c r="J110" i="33"/>
  <c r="J119" i="33"/>
  <c r="J99" i="33"/>
  <c r="J82" i="33"/>
  <c r="J67" i="33"/>
  <c r="J33" i="33"/>
  <c r="J30" i="33"/>
  <c r="J17" i="33"/>
  <c r="J37" i="33"/>
  <c r="J35" i="33"/>
  <c r="J31" i="33"/>
  <c r="J8" i="33"/>
  <c r="J297" i="33"/>
  <c r="J267" i="33"/>
  <c r="J258" i="33"/>
  <c r="J212" i="33"/>
  <c r="J282" i="33"/>
  <c r="J259" i="33"/>
  <c r="J234" i="33"/>
  <c r="J184" i="33"/>
  <c r="J208" i="33"/>
  <c r="J229" i="33"/>
  <c r="J142" i="33"/>
  <c r="J161" i="33"/>
  <c r="J166" i="33"/>
  <c r="J112" i="33"/>
  <c r="J178" i="33"/>
  <c r="J150" i="33"/>
  <c r="J275" i="33"/>
  <c r="J274" i="33"/>
  <c r="J205" i="33"/>
  <c r="J191" i="33"/>
  <c r="J183" i="33"/>
  <c r="J180" i="33"/>
  <c r="J139" i="33"/>
  <c r="J169" i="33"/>
  <c r="J160" i="33"/>
  <c r="J118" i="33"/>
  <c r="J174" i="33"/>
  <c r="J113" i="33"/>
  <c r="J108" i="33"/>
  <c r="J85" i="33"/>
  <c r="J55" i="33"/>
  <c r="J125" i="33"/>
  <c r="J91" i="33"/>
  <c r="J25" i="33"/>
  <c r="J86" i="33"/>
  <c r="J6" i="33"/>
  <c r="J49" i="33"/>
  <c r="J47" i="33"/>
  <c r="J186" i="33"/>
  <c r="J122" i="33"/>
  <c r="J90" i="33"/>
  <c r="J54" i="33"/>
  <c r="J41" i="33"/>
  <c r="J84" i="33"/>
  <c r="J53" i="33"/>
  <c r="J294" i="33"/>
  <c r="J157" i="33"/>
  <c r="J128" i="33"/>
  <c r="J154" i="33"/>
  <c r="J120" i="33"/>
  <c r="J133" i="33"/>
  <c r="J71" i="33"/>
  <c r="J45" i="33"/>
  <c r="J75" i="33"/>
  <c r="J32" i="33"/>
  <c r="J26" i="33"/>
  <c r="J13" i="33"/>
  <c r="J44" i="33"/>
  <c r="J29" i="33"/>
  <c r="J16" i="33"/>
  <c r="J253" i="33"/>
  <c r="J235" i="33"/>
  <c r="J170" i="33"/>
  <c r="J278" i="33"/>
  <c r="J185" i="33"/>
  <c r="J144" i="33"/>
  <c r="J111" i="33"/>
  <c r="J95" i="33"/>
  <c r="J93" i="33"/>
  <c r="J72" i="33"/>
  <c r="J48" i="33"/>
  <c r="J79" i="33"/>
  <c r="J78" i="33"/>
  <c r="J28" i="33"/>
  <c r="J233" i="33"/>
  <c r="J270" i="33"/>
  <c r="J177" i="33"/>
  <c r="J127" i="33"/>
  <c r="J40" i="33"/>
  <c r="J12" i="33"/>
  <c r="J83" i="33"/>
  <c r="J70" i="33"/>
  <c r="J7" i="33"/>
  <c r="J280" i="33"/>
  <c r="J203" i="33"/>
  <c r="J140" i="33"/>
  <c r="J158" i="33"/>
  <c r="J98" i="33"/>
  <c r="J88" i="33"/>
  <c r="J103" i="33"/>
  <c r="J123" i="33"/>
  <c r="J94" i="33"/>
  <c r="J57" i="33"/>
  <c r="J22" i="33"/>
  <c r="J39" i="33"/>
  <c r="J224" i="33"/>
  <c r="J147" i="33"/>
  <c r="J171" i="33"/>
  <c r="J131" i="33"/>
  <c r="J80" i="33"/>
  <c r="J51" i="33"/>
  <c r="J20" i="33"/>
  <c r="J43" i="33"/>
  <c r="J251" i="33"/>
  <c r="J163" i="33"/>
  <c r="J63" i="33"/>
  <c r="J92" i="33"/>
  <c r="J9" i="33"/>
  <c r="J149" i="33"/>
  <c r="J153" i="33"/>
  <c r="J96" i="33"/>
  <c r="J81" i="33"/>
  <c r="J18" i="33"/>
  <c r="J14" i="33"/>
  <c r="J73" i="33"/>
  <c r="J59" i="33"/>
  <c r="J50" i="33"/>
  <c r="J106" i="33"/>
  <c r="J56" i="33"/>
  <c r="J36" i="33"/>
  <c r="J21" i="33"/>
  <c r="J24" i="33"/>
  <c r="J146" i="33"/>
  <c r="J68" i="33"/>
  <c r="J64" i="33"/>
  <c r="J138" i="33"/>
  <c r="J230" i="33"/>
  <c r="J117" i="33"/>
  <c r="J52" i="33"/>
  <c r="J104" i="33"/>
  <c r="J135" i="33"/>
  <c r="J60" i="33"/>
  <c r="J162" i="33"/>
  <c r="J217" i="33"/>
  <c r="J76" i="33"/>
  <c r="J134" i="33"/>
  <c r="K65" i="33"/>
  <c r="K61" i="33"/>
  <c r="K77" i="33"/>
  <c r="K175" i="33"/>
  <c r="K110" i="33"/>
  <c r="K124" i="33"/>
  <c r="K182" i="33"/>
  <c r="K112" i="33"/>
  <c r="K132" i="33"/>
  <c r="K179" i="33"/>
  <c r="K207" i="33"/>
  <c r="K266" i="33"/>
  <c r="K287" i="33"/>
  <c r="K274" i="33"/>
  <c r="K311" i="33"/>
  <c r="K285" i="33"/>
  <c r="K290" i="33"/>
  <c r="K156" i="33"/>
  <c r="K279" i="33"/>
  <c r="K253" i="33"/>
  <c r="K234" i="33"/>
  <c r="K271" i="33"/>
  <c r="K245" i="33"/>
  <c r="K184" i="33"/>
  <c r="K154" i="33"/>
  <c r="K170" i="33"/>
  <c r="K246" i="33"/>
  <c r="K185" i="33"/>
  <c r="K200" i="33"/>
  <c r="K203" i="33"/>
  <c r="K289" i="33"/>
  <c r="K303" i="33"/>
  <c r="K291" i="33"/>
  <c r="K263" i="33"/>
  <c r="K237" i="33"/>
  <c r="K284" i="33"/>
  <c r="K261" i="33"/>
  <c r="K283" i="33"/>
  <c r="K240" i="33"/>
  <c r="K231" i="33"/>
  <c r="K204" i="33"/>
  <c r="K221" i="33"/>
  <c r="K167" i="33"/>
  <c r="K190" i="33"/>
  <c r="K187" i="33"/>
  <c r="K238" i="33"/>
  <c r="K197" i="33"/>
  <c r="K194" i="33"/>
  <c r="K298" i="33"/>
  <c r="K296" i="33"/>
  <c r="K292" i="33"/>
  <c r="K269" i="33"/>
  <c r="K181" i="33"/>
  <c r="K309" i="33"/>
  <c r="K267" i="33"/>
  <c r="K273" i="33"/>
  <c r="K256" i="33"/>
  <c r="K251" i="33"/>
  <c r="K280" i="33"/>
  <c r="K191" i="33"/>
  <c r="K201" i="33"/>
  <c r="K220" i="33"/>
  <c r="K202" i="33"/>
  <c r="K232" i="33"/>
  <c r="K208" i="33"/>
  <c r="K157" i="33"/>
  <c r="K212" i="33"/>
  <c r="K294" i="33"/>
  <c r="K258" i="33"/>
  <c r="K233" i="33"/>
  <c r="K224" i="33"/>
  <c r="K210" i="33"/>
  <c r="K196" i="33"/>
  <c r="K214" i="33"/>
  <c r="K149" i="33"/>
  <c r="K153" i="33"/>
  <c r="K126" i="33"/>
  <c r="K96" i="33"/>
  <c r="K119" i="33"/>
  <c r="K243" i="33"/>
  <c r="K286" i="33"/>
  <c r="K252" i="33"/>
  <c r="K216" i="33"/>
  <c r="K276" i="33"/>
  <c r="K215" i="33"/>
  <c r="K195" i="33"/>
  <c r="K242" i="33"/>
  <c r="K308" i="33"/>
  <c r="K295" i="33"/>
  <c r="K260" i="33"/>
  <c r="K272" i="33"/>
  <c r="K264" i="33"/>
  <c r="K228" i="33"/>
  <c r="K265" i="33"/>
  <c r="K223" i="33"/>
  <c r="K277" i="33"/>
  <c r="K268" i="33"/>
  <c r="K165" i="33"/>
  <c r="K299" i="33"/>
  <c r="K312" i="33"/>
  <c r="K304" i="33"/>
  <c r="K301" i="33"/>
  <c r="K281" i="33"/>
  <c r="K241" i="33"/>
  <c r="K257" i="33"/>
  <c r="K247" i="33"/>
  <c r="K248" i="33"/>
  <c r="K222" i="33"/>
  <c r="K147" i="33"/>
  <c r="K171" i="33"/>
  <c r="K158" i="33"/>
  <c r="K120" i="33"/>
  <c r="K143" i="33"/>
  <c r="K113" i="33"/>
  <c r="K107" i="33"/>
  <c r="K88" i="33"/>
  <c r="K177" i="33"/>
  <c r="K71" i="33"/>
  <c r="K50" i="33"/>
  <c r="K94" i="33"/>
  <c r="K63" i="33"/>
  <c r="K100" i="33"/>
  <c r="K48" i="33"/>
  <c r="K26" i="33"/>
  <c r="K13" i="33"/>
  <c r="K38" i="33"/>
  <c r="K23" i="33"/>
  <c r="K34" i="33"/>
  <c r="K11" i="33"/>
  <c r="K307" i="33"/>
  <c r="K305" i="33"/>
  <c r="K293" i="33"/>
  <c r="K239" i="33"/>
  <c r="K218" i="33"/>
  <c r="K278" i="33"/>
  <c r="K151" i="33"/>
  <c r="K114" i="33"/>
  <c r="K168" i="33"/>
  <c r="K105" i="33"/>
  <c r="K102" i="33"/>
  <c r="K97" i="33"/>
  <c r="K169" i="33"/>
  <c r="K89" i="33"/>
  <c r="K66" i="33"/>
  <c r="K86" i="33"/>
  <c r="K10" i="33"/>
  <c r="K8" i="33"/>
  <c r="K302" i="33"/>
  <c r="K288" i="33"/>
  <c r="K282" i="33"/>
  <c r="K249" i="33"/>
  <c r="K199" i="33"/>
  <c r="K198" i="33"/>
  <c r="K227" i="33"/>
  <c r="K152" i="33"/>
  <c r="K270" i="33"/>
  <c r="K206" i="33"/>
  <c r="K226" i="33"/>
  <c r="K192" i="33"/>
  <c r="K136" i="33"/>
  <c r="K250" i="33"/>
  <c r="K255" i="33"/>
  <c r="K244" i="33"/>
  <c r="K259" i="33"/>
  <c r="K235" i="33"/>
  <c r="K262" i="33"/>
  <c r="K229" i="33"/>
  <c r="K211" i="33"/>
  <c r="K173" i="33"/>
  <c r="K142" i="33"/>
  <c r="K161" i="33"/>
  <c r="K166" i="33"/>
  <c r="K159" i="33"/>
  <c r="K129" i="33"/>
  <c r="K180" i="33"/>
  <c r="K115" i="33"/>
  <c r="K150" i="33"/>
  <c r="K111" i="33"/>
  <c r="K103" i="33"/>
  <c r="K70" i="33"/>
  <c r="K54" i="33"/>
  <c r="K18" i="33"/>
  <c r="K14" i="33"/>
  <c r="K21" i="33"/>
  <c r="K41" i="33"/>
  <c r="K74" i="33"/>
  <c r="K29" i="33"/>
  <c r="K15" i="33"/>
  <c r="K27" i="33"/>
  <c r="K306" i="33"/>
  <c r="K183" i="33"/>
  <c r="K188" i="33"/>
  <c r="K163" i="33"/>
  <c r="K164" i="33"/>
  <c r="K109" i="33"/>
  <c r="K57" i="33"/>
  <c r="K36" i="33"/>
  <c r="K75" i="33"/>
  <c r="K9" i="33"/>
  <c r="K7" i="33"/>
  <c r="K47" i="33"/>
  <c r="K16" i="33"/>
  <c r="K19" i="33"/>
  <c r="K186" i="33"/>
  <c r="K176" i="33"/>
  <c r="K122" i="33"/>
  <c r="K139" i="33"/>
  <c r="K130" i="33"/>
  <c r="K98" i="33"/>
  <c r="K106" i="33"/>
  <c r="K127" i="33"/>
  <c r="K67" i="33"/>
  <c r="K53" i="33"/>
  <c r="K35" i="33"/>
  <c r="K209" i="33"/>
  <c r="K128" i="33"/>
  <c r="K145" i="33"/>
  <c r="K133" i="33"/>
  <c r="K85" i="33"/>
  <c r="K125" i="33"/>
  <c r="K101" i="33"/>
  <c r="K49" i="33"/>
  <c r="K33" i="33"/>
  <c r="K45" i="33"/>
  <c r="K30" i="33"/>
  <c r="K32" i="33"/>
  <c r="K20" i="33"/>
  <c r="K44" i="33"/>
  <c r="K236" i="33"/>
  <c r="K205" i="33"/>
  <c r="K254" i="33"/>
  <c r="K144" i="33"/>
  <c r="K172" i="33"/>
  <c r="K118" i="33"/>
  <c r="K155" i="33"/>
  <c r="K123" i="33"/>
  <c r="K95" i="33"/>
  <c r="K93" i="33"/>
  <c r="K51" i="33"/>
  <c r="K25" i="33"/>
  <c r="K62" i="33"/>
  <c r="K6" i="33"/>
  <c r="K39" i="33"/>
  <c r="K42" i="33"/>
  <c r="K219" i="33"/>
  <c r="K189" i="33"/>
  <c r="K40" i="33"/>
  <c r="K43" i="33"/>
  <c r="K78" i="33"/>
  <c r="K92" i="33"/>
  <c r="K69" i="33"/>
  <c r="K37" i="33"/>
  <c r="K46" i="33"/>
  <c r="K31" i="33"/>
  <c r="K310" i="33"/>
  <c r="K213" i="33"/>
  <c r="K178" i="33"/>
  <c r="K141" i="33"/>
  <c r="K160" i="33"/>
  <c r="K137" i="33"/>
  <c r="K90" i="33"/>
  <c r="K83" i="33"/>
  <c r="K28" i="33"/>
  <c r="K73" i="33"/>
  <c r="K56" i="33"/>
  <c r="K84" i="33"/>
  <c r="K59" i="33"/>
  <c r="K58" i="33"/>
  <c r="K22" i="33"/>
  <c r="K99" i="33"/>
  <c r="K55" i="33"/>
  <c r="K87" i="33"/>
  <c r="K72" i="33"/>
  <c r="K79" i="33"/>
  <c r="K297" i="33"/>
  <c r="K275" i="33"/>
  <c r="K193" i="33"/>
  <c r="K131" i="33"/>
  <c r="K140" i="33"/>
  <c r="K174" i="33"/>
  <c r="K108" i="33"/>
  <c r="K121" i="33"/>
  <c r="K91" i="33"/>
  <c r="K82" i="33"/>
  <c r="K80" i="33"/>
  <c r="K24" i="33"/>
  <c r="K300" i="33"/>
  <c r="K225" i="33"/>
  <c r="K148" i="33"/>
  <c r="K116" i="33"/>
  <c r="K81" i="33"/>
  <c r="K12" i="33"/>
  <c r="K17" i="33"/>
  <c r="K134" i="33"/>
  <c r="K146" i="33"/>
  <c r="K217" i="33"/>
  <c r="K138" i="33"/>
  <c r="K68" i="33"/>
  <c r="K230" i="33"/>
  <c r="K117" i="33"/>
  <c r="K60" i="33"/>
  <c r="K104" i="33"/>
  <c r="K135" i="33"/>
  <c r="K162" i="33"/>
  <c r="K64" i="33"/>
  <c r="K52" i="33"/>
  <c r="K76" i="33"/>
  <c r="I5" i="33"/>
  <c r="J5" i="33"/>
  <c r="H5" i="33"/>
  <c r="P5" i="13"/>
  <c r="K5" i="33"/>
  <c r="L135" i="33" l="1"/>
  <c r="M135" i="33" s="1"/>
  <c r="E141" i="9" s="1"/>
  <c r="L68" i="33"/>
  <c r="M68" i="33" s="1"/>
  <c r="E74" i="9" s="1"/>
  <c r="L11" i="33"/>
  <c r="M11" i="33" s="1"/>
  <c r="E17" i="9" s="1"/>
  <c r="L63" i="33"/>
  <c r="M63" i="33" s="1"/>
  <c r="E69" i="9" s="1"/>
  <c r="L44" i="33"/>
  <c r="M44" i="33" s="1"/>
  <c r="E50" i="9" s="1"/>
  <c r="L6" i="33"/>
  <c r="M6" i="33" s="1"/>
  <c r="E12" i="9" s="1"/>
  <c r="L125" i="33"/>
  <c r="M125" i="33" s="1"/>
  <c r="E131" i="9" s="1"/>
  <c r="L45" i="33"/>
  <c r="M45" i="33" s="1"/>
  <c r="E51" i="9" s="1"/>
  <c r="L27" i="33"/>
  <c r="M27" i="33" s="1"/>
  <c r="E33" i="9" s="1"/>
  <c r="L136" i="33"/>
  <c r="M136" i="33" s="1"/>
  <c r="E142" i="9" s="1"/>
  <c r="L112" i="33"/>
  <c r="M112" i="33" s="1"/>
  <c r="E118" i="9" s="1"/>
  <c r="L34" i="33"/>
  <c r="M34" i="33" s="1"/>
  <c r="E40" i="9" s="1"/>
  <c r="L71" i="33"/>
  <c r="M71" i="33" s="1"/>
  <c r="E77" i="9" s="1"/>
  <c r="L57" i="33"/>
  <c r="M57" i="33" s="1"/>
  <c r="E63" i="9" s="1"/>
  <c r="L167" i="33"/>
  <c r="M167" i="33" s="1"/>
  <c r="E173" i="9" s="1"/>
  <c r="L234" i="33"/>
  <c r="M234" i="33" s="1"/>
  <c r="E240" i="9" s="1"/>
  <c r="L290" i="33"/>
  <c r="M290" i="33" s="1"/>
  <c r="E296" i="9" s="1"/>
  <c r="L257" i="33"/>
  <c r="M257" i="33" s="1"/>
  <c r="E263" i="9" s="1"/>
  <c r="L22" i="33"/>
  <c r="M22" i="33" s="1"/>
  <c r="E28" i="9" s="1"/>
  <c r="L86" i="33"/>
  <c r="M86" i="33" s="1"/>
  <c r="E92" i="9" s="1"/>
  <c r="L204" i="33"/>
  <c r="M204" i="33" s="1"/>
  <c r="E210" i="9" s="1"/>
  <c r="L253" i="33"/>
  <c r="M253" i="33" s="1"/>
  <c r="E259" i="9" s="1"/>
  <c r="L67" i="33"/>
  <c r="M67" i="33" s="1"/>
  <c r="E73" i="9" s="1"/>
  <c r="L148" i="33"/>
  <c r="M148" i="33" s="1"/>
  <c r="E154" i="9" s="1"/>
  <c r="L274" i="33"/>
  <c r="M274" i="33" s="1"/>
  <c r="E280" i="9" s="1"/>
  <c r="L309" i="33"/>
  <c r="M309" i="33" s="1"/>
  <c r="E315" i="9" s="1"/>
  <c r="L300" i="33"/>
  <c r="M300" i="33" s="1"/>
  <c r="E306" i="9" s="1"/>
  <c r="L120" i="33"/>
  <c r="M120" i="33" s="1"/>
  <c r="E126" i="9" s="1"/>
  <c r="L214" i="33"/>
  <c r="M214" i="33" s="1"/>
  <c r="E220" i="9" s="1"/>
  <c r="L272" i="33"/>
  <c r="M272" i="33" s="1"/>
  <c r="E278" i="9" s="1"/>
  <c r="L258" i="33"/>
  <c r="M258" i="33" s="1"/>
  <c r="E264" i="9" s="1"/>
  <c r="L248" i="33"/>
  <c r="M248" i="33" s="1"/>
  <c r="E254" i="9" s="1"/>
  <c r="L308" i="33"/>
  <c r="M308" i="33" s="1"/>
  <c r="E314" i="9" s="1"/>
  <c r="L265" i="33"/>
  <c r="M265" i="33" s="1"/>
  <c r="E271" i="9" s="1"/>
  <c r="L312" i="33"/>
  <c r="M312" i="33" s="1"/>
  <c r="E318" i="9" s="1"/>
  <c r="L278" i="33"/>
  <c r="M278" i="33" s="1"/>
  <c r="E284" i="9" s="1"/>
  <c r="L166" i="33"/>
  <c r="M166" i="33" s="1"/>
  <c r="E172" i="9" s="1"/>
  <c r="L121" i="33"/>
  <c r="M121" i="33" s="1"/>
  <c r="E127" i="9" s="1"/>
  <c r="L77" i="33"/>
  <c r="M77" i="33" s="1"/>
  <c r="E83" i="9" s="1"/>
  <c r="L138" i="33"/>
  <c r="M138" i="33" s="1"/>
  <c r="E144" i="9" s="1"/>
  <c r="L162" i="33"/>
  <c r="M162" i="33" s="1"/>
  <c r="E168" i="9" s="1"/>
  <c r="L42" i="33"/>
  <c r="M42" i="33" s="1"/>
  <c r="E48" i="9" s="1"/>
  <c r="L38" i="33"/>
  <c r="M38" i="33" s="1"/>
  <c r="E44" i="9" s="1"/>
  <c r="L41" i="33"/>
  <c r="M41" i="33" s="1"/>
  <c r="E47" i="9" s="1"/>
  <c r="L178" i="33"/>
  <c r="M178" i="33" s="1"/>
  <c r="E184" i="9" s="1"/>
  <c r="L87" i="33"/>
  <c r="M87" i="33" s="1"/>
  <c r="E93" i="9" s="1"/>
  <c r="L48" i="33"/>
  <c r="M48" i="33" s="1"/>
  <c r="E54" i="9" s="1"/>
  <c r="L15" i="33"/>
  <c r="M15" i="33" s="1"/>
  <c r="E21" i="9" s="1"/>
  <c r="L83" i="33"/>
  <c r="M83" i="33" s="1"/>
  <c r="E89" i="9" s="1"/>
  <c r="L29" i="33"/>
  <c r="M29" i="33" s="1"/>
  <c r="E35" i="9" s="1"/>
  <c r="L93" i="33"/>
  <c r="M93" i="33" s="1"/>
  <c r="E99" i="9" s="1"/>
  <c r="L73" i="33"/>
  <c r="M73" i="33" s="1"/>
  <c r="E79" i="9" s="1"/>
  <c r="L188" i="33"/>
  <c r="M188" i="33" s="1"/>
  <c r="E194" i="9" s="1"/>
  <c r="L280" i="33"/>
  <c r="M280" i="33" s="1"/>
  <c r="E286" i="9" s="1"/>
  <c r="L141" i="33"/>
  <c r="M141" i="33" s="1"/>
  <c r="E147" i="9" s="1"/>
  <c r="L273" i="33"/>
  <c r="M273" i="33" s="1"/>
  <c r="E279" i="9" s="1"/>
  <c r="L59" i="33"/>
  <c r="M59" i="33" s="1"/>
  <c r="E65" i="9" s="1"/>
  <c r="L96" i="33"/>
  <c r="M96" i="33" s="1"/>
  <c r="E102" i="9" s="1"/>
  <c r="L131" i="33"/>
  <c r="M131" i="33" s="1"/>
  <c r="E137" i="9" s="1"/>
  <c r="L235" i="33"/>
  <c r="M235" i="33" s="1"/>
  <c r="E241" i="9" s="1"/>
  <c r="L119" i="33"/>
  <c r="M119" i="33" s="1"/>
  <c r="E125" i="9" s="1"/>
  <c r="L209" i="33"/>
  <c r="M209" i="33" s="1"/>
  <c r="E215" i="9" s="1"/>
  <c r="L219" i="33"/>
  <c r="M219" i="33" s="1"/>
  <c r="E225" i="9" s="1"/>
  <c r="L282" i="33"/>
  <c r="M282" i="33" s="1"/>
  <c r="E288" i="9" s="1"/>
  <c r="L295" i="33"/>
  <c r="M295" i="33" s="1"/>
  <c r="E301" i="9" s="1"/>
  <c r="L168" i="33"/>
  <c r="M168" i="33" s="1"/>
  <c r="E174" i="9" s="1"/>
  <c r="L200" i="33"/>
  <c r="M200" i="33" s="1"/>
  <c r="E206" i="9" s="1"/>
  <c r="L211" i="33"/>
  <c r="M211" i="33" s="1"/>
  <c r="E217" i="9" s="1"/>
  <c r="L284" i="33"/>
  <c r="M284" i="33" s="1"/>
  <c r="E290" i="9" s="1"/>
  <c r="L259" i="33"/>
  <c r="M259" i="33" s="1"/>
  <c r="E265" i="9" s="1"/>
  <c r="L311" i="33"/>
  <c r="M311" i="33" s="1"/>
  <c r="E317" i="9" s="1"/>
  <c r="L229" i="33"/>
  <c r="M229" i="33" s="1"/>
  <c r="E235" i="9" s="1"/>
  <c r="L288" i="33"/>
  <c r="M288" i="33" s="1"/>
  <c r="E294" i="9" s="1"/>
  <c r="L221" i="33"/>
  <c r="M221" i="33" s="1"/>
  <c r="E227" i="9" s="1"/>
  <c r="L108" i="33"/>
  <c r="M108" i="33" s="1"/>
  <c r="E114" i="9" s="1"/>
  <c r="L147" i="33"/>
  <c r="M147" i="33" s="1"/>
  <c r="E153" i="9" s="1"/>
  <c r="L61" i="33"/>
  <c r="M61" i="33" s="1"/>
  <c r="E67" i="9" s="1"/>
  <c r="L76" i="33"/>
  <c r="M76" i="33" s="1"/>
  <c r="E82" i="9" s="1"/>
  <c r="L104" i="33"/>
  <c r="M104" i="33" s="1"/>
  <c r="E110" i="9" s="1"/>
  <c r="L13" i="33"/>
  <c r="M13" i="33" s="1"/>
  <c r="E19" i="9" s="1"/>
  <c r="L55" i="33"/>
  <c r="M55" i="33" s="1"/>
  <c r="E61" i="9" s="1"/>
  <c r="L79" i="33"/>
  <c r="M79" i="33" s="1"/>
  <c r="E85" i="9" s="1"/>
  <c r="L46" i="33"/>
  <c r="M46" i="33" s="1"/>
  <c r="E52" i="9" s="1"/>
  <c r="L192" i="33"/>
  <c r="M192" i="33" s="1"/>
  <c r="E198" i="9" s="1"/>
  <c r="L51" i="33"/>
  <c r="M51" i="33" s="1"/>
  <c r="E57" i="9" s="1"/>
  <c r="L30" i="33"/>
  <c r="M30" i="33" s="1"/>
  <c r="E36" i="9" s="1"/>
  <c r="L43" i="33"/>
  <c r="M43" i="33" s="1"/>
  <c r="E49" i="9" s="1"/>
  <c r="L10" i="33"/>
  <c r="M10" i="33" s="1"/>
  <c r="E16" i="9" s="1"/>
  <c r="L72" i="33"/>
  <c r="M72" i="33" s="1"/>
  <c r="E78" i="9" s="1"/>
  <c r="L153" i="33"/>
  <c r="M153" i="33" s="1"/>
  <c r="E159" i="9" s="1"/>
  <c r="L78" i="33"/>
  <c r="M78" i="33" s="1"/>
  <c r="E84" i="9" s="1"/>
  <c r="L122" i="33"/>
  <c r="M122" i="33" s="1"/>
  <c r="E128" i="9" s="1"/>
  <c r="L279" i="33"/>
  <c r="M279" i="33" s="1"/>
  <c r="E285" i="9" s="1"/>
  <c r="L126" i="33"/>
  <c r="M126" i="33" s="1"/>
  <c r="E132" i="9" s="1"/>
  <c r="L233" i="33"/>
  <c r="M233" i="33" s="1"/>
  <c r="E239" i="9" s="1"/>
  <c r="L75" i="33"/>
  <c r="M75" i="33" s="1"/>
  <c r="E81" i="9" s="1"/>
  <c r="L127" i="33"/>
  <c r="M127" i="33" s="1"/>
  <c r="E133" i="9" s="1"/>
  <c r="L143" i="33"/>
  <c r="M143" i="33" s="1"/>
  <c r="E149" i="9" s="1"/>
  <c r="L267" i="33"/>
  <c r="M267" i="33" s="1"/>
  <c r="E273" i="9" s="1"/>
  <c r="L91" i="33"/>
  <c r="M91" i="33" s="1"/>
  <c r="E97" i="9" s="1"/>
  <c r="L173" i="33"/>
  <c r="M173" i="33" s="1"/>
  <c r="E179" i="9" s="1"/>
  <c r="L293" i="33"/>
  <c r="M293" i="33" s="1"/>
  <c r="E299" i="9" s="1"/>
  <c r="L220" i="33"/>
  <c r="M220" i="33" s="1"/>
  <c r="E226" i="9" s="1"/>
  <c r="L310" i="33"/>
  <c r="M310" i="33" s="1"/>
  <c r="E316" i="9" s="1"/>
  <c r="L114" i="33"/>
  <c r="M114" i="33" s="1"/>
  <c r="E120" i="9" s="1"/>
  <c r="L185" i="33"/>
  <c r="M185" i="33" s="1"/>
  <c r="E191" i="9" s="1"/>
  <c r="L269" i="33"/>
  <c r="M269" i="33" s="1"/>
  <c r="E275" i="9" s="1"/>
  <c r="L263" i="33"/>
  <c r="M263" i="33" s="1"/>
  <c r="E269" i="9" s="1"/>
  <c r="L203" i="33"/>
  <c r="M203" i="33" s="1"/>
  <c r="E209" i="9" s="1"/>
  <c r="L175" i="33"/>
  <c r="M175" i="33" s="1"/>
  <c r="E181" i="9" s="1"/>
  <c r="L247" i="33"/>
  <c r="M247" i="33" s="1"/>
  <c r="E253" i="9" s="1"/>
  <c r="L285" i="33"/>
  <c r="M285" i="33" s="1"/>
  <c r="E291" i="9" s="1"/>
  <c r="L254" i="33"/>
  <c r="M254" i="33" s="1"/>
  <c r="E260" i="9" s="1"/>
  <c r="L218" i="33"/>
  <c r="M218" i="33" s="1"/>
  <c r="E224" i="9" s="1"/>
  <c r="L171" i="33"/>
  <c r="M171" i="33" s="1"/>
  <c r="E177" i="9" s="1"/>
  <c r="L69" i="33"/>
  <c r="M69" i="33" s="1"/>
  <c r="E75" i="9" s="1"/>
  <c r="L60" i="33"/>
  <c r="M60" i="33" s="1"/>
  <c r="E66" i="9" s="1"/>
  <c r="L64" i="33"/>
  <c r="M64" i="33" s="1"/>
  <c r="E70" i="9" s="1"/>
  <c r="L58" i="33"/>
  <c r="M58" i="33" s="1"/>
  <c r="E64" i="9" s="1"/>
  <c r="L103" i="33"/>
  <c r="M103" i="33" s="1"/>
  <c r="E109" i="9" s="1"/>
  <c r="L90" i="33"/>
  <c r="M90" i="33" s="1"/>
  <c r="E96" i="9" s="1"/>
  <c r="L36" i="33"/>
  <c r="M36" i="33" s="1"/>
  <c r="E42" i="9" s="1"/>
  <c r="L155" i="33"/>
  <c r="M155" i="33" s="1"/>
  <c r="E161" i="9" s="1"/>
  <c r="L177" i="33"/>
  <c r="M177" i="33" s="1"/>
  <c r="E183" i="9" s="1"/>
  <c r="L31" i="33"/>
  <c r="M31" i="33" s="1"/>
  <c r="E37" i="9" s="1"/>
  <c r="L9" i="33"/>
  <c r="M9" i="33" s="1"/>
  <c r="E15" i="9" s="1"/>
  <c r="L66" i="33"/>
  <c r="M66" i="33" s="1"/>
  <c r="E72" i="9" s="1"/>
  <c r="L17" i="33"/>
  <c r="M17" i="33" s="1"/>
  <c r="E23" i="9" s="1"/>
  <c r="L206" i="33"/>
  <c r="M206" i="33" s="1"/>
  <c r="E212" i="9" s="1"/>
  <c r="L89" i="33"/>
  <c r="M89" i="33" s="1"/>
  <c r="E95" i="9" s="1"/>
  <c r="L144" i="33"/>
  <c r="M144" i="33" s="1"/>
  <c r="E150" i="9" s="1"/>
  <c r="L251" i="33"/>
  <c r="M251" i="33" s="1"/>
  <c r="E257" i="9" s="1"/>
  <c r="L132" i="33"/>
  <c r="M132" i="33" s="1"/>
  <c r="E138" i="9" s="1"/>
  <c r="L237" i="33"/>
  <c r="M237" i="33" s="1"/>
  <c r="E243" i="9" s="1"/>
  <c r="L23" i="33"/>
  <c r="M23" i="33" s="1"/>
  <c r="E29" i="9" s="1"/>
  <c r="L113" i="33"/>
  <c r="M113" i="33" s="1"/>
  <c r="E119" i="9" s="1"/>
  <c r="L183" i="33"/>
  <c r="M183" i="33" s="1"/>
  <c r="E189" i="9" s="1"/>
  <c r="L275" i="33"/>
  <c r="M275" i="33" s="1"/>
  <c r="E281" i="9" s="1"/>
  <c r="L169" i="33"/>
  <c r="M169" i="33" s="1"/>
  <c r="E175" i="9" s="1"/>
  <c r="L212" i="33"/>
  <c r="M212" i="33" s="1"/>
  <c r="E218" i="9" s="1"/>
  <c r="L252" i="33"/>
  <c r="M252" i="33" s="1"/>
  <c r="E258" i="9" s="1"/>
  <c r="L236" i="33"/>
  <c r="M236" i="33" s="1"/>
  <c r="E242" i="9" s="1"/>
  <c r="L294" i="33"/>
  <c r="M294" i="33" s="1"/>
  <c r="E300" i="9" s="1"/>
  <c r="L163" i="33"/>
  <c r="M163" i="33" s="1"/>
  <c r="E169" i="9" s="1"/>
  <c r="L194" i="33"/>
  <c r="M194" i="33" s="1"/>
  <c r="E200" i="9" s="1"/>
  <c r="L191" i="33"/>
  <c r="M191" i="33" s="1"/>
  <c r="E197" i="9" s="1"/>
  <c r="L304" i="33"/>
  <c r="M304" i="33" s="1"/>
  <c r="E310" i="9" s="1"/>
  <c r="L255" i="33"/>
  <c r="M255" i="33" s="1"/>
  <c r="E261" i="9" s="1"/>
  <c r="L186" i="33"/>
  <c r="M186" i="33" s="1"/>
  <c r="E192" i="9" s="1"/>
  <c r="L276" i="33"/>
  <c r="M276" i="33" s="1"/>
  <c r="E282" i="9" s="1"/>
  <c r="L246" i="33"/>
  <c r="M246" i="33" s="1"/>
  <c r="E252" i="9" s="1"/>
  <c r="L307" i="33"/>
  <c r="M307" i="33" s="1"/>
  <c r="E313" i="9" s="1"/>
  <c r="L195" i="33"/>
  <c r="M195" i="33" s="1"/>
  <c r="E201" i="9" s="1"/>
  <c r="L100" i="33"/>
  <c r="M100" i="33" s="1"/>
  <c r="E106" i="9" s="1"/>
  <c r="L53" i="33"/>
  <c r="M53" i="33" s="1"/>
  <c r="E59" i="9" s="1"/>
  <c r="L146" i="33"/>
  <c r="M146" i="33" s="1"/>
  <c r="E152" i="9" s="1"/>
  <c r="L134" i="33"/>
  <c r="M134" i="33" s="1"/>
  <c r="E140" i="9" s="1"/>
  <c r="L74" i="33"/>
  <c r="M74" i="33" s="1"/>
  <c r="E80" i="9" s="1"/>
  <c r="L137" i="33"/>
  <c r="M137" i="33" s="1"/>
  <c r="E143" i="9" s="1"/>
  <c r="L110" i="33"/>
  <c r="M110" i="33" s="1"/>
  <c r="E116" i="9" s="1"/>
  <c r="L25" i="33"/>
  <c r="M25" i="33" s="1"/>
  <c r="E31" i="9" s="1"/>
  <c r="L224" i="33"/>
  <c r="M224" i="33" s="1"/>
  <c r="E230" i="9" s="1"/>
  <c r="L118" i="33"/>
  <c r="M118" i="33" s="1"/>
  <c r="E124" i="9" s="1"/>
  <c r="L80" i="33"/>
  <c r="M80" i="33" s="1"/>
  <c r="E86" i="9" s="1"/>
  <c r="L62" i="33"/>
  <c r="M62" i="33" s="1"/>
  <c r="E68" i="9" s="1"/>
  <c r="L81" i="33"/>
  <c r="M81" i="33" s="1"/>
  <c r="E87" i="9" s="1"/>
  <c r="L14" i="33"/>
  <c r="M14" i="33" s="1"/>
  <c r="E20" i="9" s="1"/>
  <c r="L170" i="33"/>
  <c r="M170" i="33" s="1"/>
  <c r="E176" i="9" s="1"/>
  <c r="L97" i="33"/>
  <c r="M97" i="33" s="1"/>
  <c r="E103" i="9" s="1"/>
  <c r="L157" i="33"/>
  <c r="M157" i="33" s="1"/>
  <c r="E163" i="9" s="1"/>
  <c r="L156" i="33"/>
  <c r="M156" i="33" s="1"/>
  <c r="E162" i="9" s="1"/>
  <c r="L196" i="33"/>
  <c r="M196" i="33" s="1"/>
  <c r="E202" i="9" s="1"/>
  <c r="L306" i="33"/>
  <c r="M306" i="33" s="1"/>
  <c r="E312" i="9" s="1"/>
  <c r="L40" i="33"/>
  <c r="M40" i="33" s="1"/>
  <c r="E46" i="9" s="1"/>
  <c r="L164" i="33"/>
  <c r="M164" i="33" s="1"/>
  <c r="E170" i="9" s="1"/>
  <c r="L149" i="33"/>
  <c r="M149" i="33" s="1"/>
  <c r="E155" i="9" s="1"/>
  <c r="L181" i="33"/>
  <c r="M181" i="33" s="1"/>
  <c r="E187" i="9" s="1"/>
  <c r="L85" i="33"/>
  <c r="M85" i="33" s="1"/>
  <c r="E91" i="9" s="1"/>
  <c r="L150" i="33"/>
  <c r="M150" i="33" s="1"/>
  <c r="E156" i="9" s="1"/>
  <c r="L266" i="33"/>
  <c r="M266" i="33" s="1"/>
  <c r="E272" i="9" s="1"/>
  <c r="L242" i="33"/>
  <c r="M242" i="33" s="1"/>
  <c r="E248" i="9" s="1"/>
  <c r="L298" i="33"/>
  <c r="M298" i="33" s="1"/>
  <c r="E304" i="9" s="1"/>
  <c r="L128" i="33"/>
  <c r="M128" i="33" s="1"/>
  <c r="E134" i="9" s="1"/>
  <c r="L222" i="33"/>
  <c r="M222" i="33" s="1"/>
  <c r="E228" i="9" s="1"/>
  <c r="L182" i="33"/>
  <c r="M182" i="33" s="1"/>
  <c r="E188" i="9" s="1"/>
  <c r="L303" i="33"/>
  <c r="M303" i="33" s="1"/>
  <c r="E309" i="9" s="1"/>
  <c r="L249" i="33"/>
  <c r="M249" i="33" s="1"/>
  <c r="E255" i="9" s="1"/>
  <c r="L210" i="33"/>
  <c r="M210" i="33" s="1"/>
  <c r="E216" i="9" s="1"/>
  <c r="L241" i="33"/>
  <c r="M241" i="33" s="1"/>
  <c r="E247" i="9" s="1"/>
  <c r="L286" i="33"/>
  <c r="M286" i="33" s="1"/>
  <c r="E292" i="9" s="1"/>
  <c r="L299" i="33"/>
  <c r="M299" i="33" s="1"/>
  <c r="E305" i="9" s="1"/>
  <c r="L158" i="33"/>
  <c r="M158" i="33" s="1"/>
  <c r="E164" i="9" s="1"/>
  <c r="L105" i="33"/>
  <c r="M105" i="33" s="1"/>
  <c r="E111" i="9" s="1"/>
  <c r="L117" i="33"/>
  <c r="M117" i="33" s="1"/>
  <c r="E123" i="9" s="1"/>
  <c r="L230" i="33"/>
  <c r="M230" i="33" s="1"/>
  <c r="E236" i="9" s="1"/>
  <c r="L26" i="33"/>
  <c r="M26" i="33" s="1"/>
  <c r="E32" i="9" s="1"/>
  <c r="L159" i="33"/>
  <c r="M159" i="33" s="1"/>
  <c r="E165" i="9" s="1"/>
  <c r="L130" i="33"/>
  <c r="L18" i="33"/>
  <c r="M18" i="33" s="1"/>
  <c r="E24" i="9" s="1"/>
  <c r="L256" i="33"/>
  <c r="M256" i="33" s="1"/>
  <c r="E262" i="9" s="1"/>
  <c r="L226" i="33"/>
  <c r="M226" i="33" s="1"/>
  <c r="E232" i="9" s="1"/>
  <c r="L111" i="33"/>
  <c r="M111" i="33" s="1"/>
  <c r="E117" i="9" s="1"/>
  <c r="L8" i="33"/>
  <c r="M8" i="33" s="1"/>
  <c r="E14" i="9" s="1"/>
  <c r="L88" i="33"/>
  <c r="M88" i="33" s="1"/>
  <c r="E94" i="9" s="1"/>
  <c r="L12" i="33"/>
  <c r="M12" i="33" s="1"/>
  <c r="E18" i="9" s="1"/>
  <c r="L198" i="33"/>
  <c r="M198" i="33" s="1"/>
  <c r="E204" i="9" s="1"/>
  <c r="L109" i="33"/>
  <c r="M109" i="33" s="1"/>
  <c r="E115" i="9" s="1"/>
  <c r="L199" i="33"/>
  <c r="M199" i="33" s="1"/>
  <c r="E205" i="9" s="1"/>
  <c r="L243" i="33"/>
  <c r="M243" i="33" s="1"/>
  <c r="E249" i="9" s="1"/>
  <c r="L176" i="33"/>
  <c r="M176" i="33" s="1"/>
  <c r="E182" i="9" s="1"/>
  <c r="L296" i="33"/>
  <c r="M296" i="33" s="1"/>
  <c r="E302" i="9" s="1"/>
  <c r="L50" i="33"/>
  <c r="M50" i="33" s="1"/>
  <c r="E56" i="9" s="1"/>
  <c r="L115" i="33"/>
  <c r="M115" i="33" s="1"/>
  <c r="E121" i="9" s="1"/>
  <c r="L208" i="33"/>
  <c r="M208" i="33" s="1"/>
  <c r="E214" i="9" s="1"/>
  <c r="L49" i="33"/>
  <c r="M49" i="33" s="1"/>
  <c r="E55" i="9" s="1"/>
  <c r="L160" i="33"/>
  <c r="M160" i="33" s="1"/>
  <c r="E166" i="9" s="1"/>
  <c r="L202" i="33"/>
  <c r="M202" i="33" s="1"/>
  <c r="E208" i="9" s="1"/>
  <c r="L292" i="33"/>
  <c r="M292" i="33" s="1"/>
  <c r="E298" i="9" s="1"/>
  <c r="L223" i="33"/>
  <c r="M223" i="33" s="1"/>
  <c r="E229" i="9" s="1"/>
  <c r="L107" i="33"/>
  <c r="M107" i="33" s="1"/>
  <c r="E113" i="9" s="1"/>
  <c r="L161" i="33"/>
  <c r="M161" i="33" s="1"/>
  <c r="E167" i="9" s="1"/>
  <c r="L277" i="33"/>
  <c r="M277" i="33" s="1"/>
  <c r="E283" i="9" s="1"/>
  <c r="L190" i="33"/>
  <c r="M190" i="33" s="1"/>
  <c r="E196" i="9" s="1"/>
  <c r="L289" i="33"/>
  <c r="M289" i="33" s="1"/>
  <c r="E295" i="9" s="1"/>
  <c r="L281" i="33"/>
  <c r="M281" i="33" s="1"/>
  <c r="E287" i="9" s="1"/>
  <c r="L239" i="33"/>
  <c r="M239" i="33" s="1"/>
  <c r="E245" i="9" s="1"/>
  <c r="L216" i="33"/>
  <c r="M216" i="33" s="1"/>
  <c r="E222" i="9" s="1"/>
  <c r="L270" i="33"/>
  <c r="M270" i="33" s="1"/>
  <c r="E276" i="9" s="1"/>
  <c r="L291" i="33"/>
  <c r="M291" i="33" s="1"/>
  <c r="E297" i="9" s="1"/>
  <c r="L123" i="33"/>
  <c r="M123" i="33" s="1"/>
  <c r="E129" i="9" s="1"/>
  <c r="L92" i="33"/>
  <c r="M92" i="33" s="1"/>
  <c r="E98" i="9" s="1"/>
  <c r="L217" i="33"/>
  <c r="M217" i="33" s="1"/>
  <c r="E223" i="9" s="1"/>
  <c r="L129" i="33"/>
  <c r="M129" i="33" s="1"/>
  <c r="E135" i="9" s="1"/>
  <c r="L39" i="33"/>
  <c r="M39" i="33" s="1"/>
  <c r="E45" i="9" s="1"/>
  <c r="L197" i="33"/>
  <c r="M197" i="33" s="1"/>
  <c r="E203" i="9" s="1"/>
  <c r="L28" i="33"/>
  <c r="M28" i="33" s="1"/>
  <c r="E34" i="9" s="1"/>
  <c r="L95" i="33"/>
  <c r="M95" i="33" s="1"/>
  <c r="E101" i="9" s="1"/>
  <c r="L20" i="33"/>
  <c r="M20" i="33" s="1"/>
  <c r="E26" i="9" s="1"/>
  <c r="L215" i="33"/>
  <c r="M215" i="33" s="1"/>
  <c r="E221" i="9" s="1"/>
  <c r="L102" i="33"/>
  <c r="M102" i="33" s="1"/>
  <c r="E108" i="9" s="1"/>
  <c r="L47" i="33"/>
  <c r="M47" i="33" s="1"/>
  <c r="E53" i="9" s="1"/>
  <c r="L271" i="33"/>
  <c r="M271" i="33" s="1"/>
  <c r="E277" i="9" s="1"/>
  <c r="L33" i="33"/>
  <c r="M33" i="33" s="1"/>
  <c r="E39" i="9" s="1"/>
  <c r="L302" i="33"/>
  <c r="M302" i="33" s="1"/>
  <c r="E308" i="9" s="1"/>
  <c r="L101" i="33"/>
  <c r="M101" i="33" s="1"/>
  <c r="E107" i="9" s="1"/>
  <c r="L201" i="33"/>
  <c r="M201" i="33" s="1"/>
  <c r="E207" i="9" s="1"/>
  <c r="L287" i="33"/>
  <c r="M287" i="33" s="1"/>
  <c r="E293" i="9" s="1"/>
  <c r="L189" i="33"/>
  <c r="M189" i="33" s="1"/>
  <c r="E195" i="9" s="1"/>
  <c r="L35" i="33"/>
  <c r="M35" i="33" s="1"/>
  <c r="E41" i="9" s="1"/>
  <c r="L54" i="33"/>
  <c r="M54" i="33" s="1"/>
  <c r="E60" i="9" s="1"/>
  <c r="L140" i="33"/>
  <c r="M140" i="33" s="1"/>
  <c r="E146" i="9" s="1"/>
  <c r="L213" i="33"/>
  <c r="M213" i="33" s="1"/>
  <c r="E219" i="9" s="1"/>
  <c r="L56" i="33"/>
  <c r="M56" i="33" s="1"/>
  <c r="E62" i="9" s="1"/>
  <c r="L145" i="33"/>
  <c r="M145" i="33" s="1"/>
  <c r="E151" i="9" s="1"/>
  <c r="L179" i="33"/>
  <c r="M179" i="33" s="1"/>
  <c r="E185" i="9" s="1"/>
  <c r="L184" i="33"/>
  <c r="M184" i="33" s="1"/>
  <c r="E190" i="9" s="1"/>
  <c r="L240" i="33"/>
  <c r="M240" i="33" s="1"/>
  <c r="E246" i="9" s="1"/>
  <c r="L124" i="33"/>
  <c r="M124" i="33" s="1"/>
  <c r="E130" i="9" s="1"/>
  <c r="L142" i="33"/>
  <c r="M142" i="33" s="1"/>
  <c r="E148" i="9" s="1"/>
  <c r="L244" i="33"/>
  <c r="M244" i="33" s="1"/>
  <c r="E250" i="9" s="1"/>
  <c r="L165" i="33"/>
  <c r="M165" i="33" s="1"/>
  <c r="E171" i="9" s="1"/>
  <c r="L205" i="33"/>
  <c r="M205" i="33" s="1"/>
  <c r="E211" i="9" s="1"/>
  <c r="L260" i="33"/>
  <c r="M260" i="33" s="1"/>
  <c r="E266" i="9" s="1"/>
  <c r="L268" i="33"/>
  <c r="M268" i="33" s="1"/>
  <c r="E274" i="9" s="1"/>
  <c r="L228" i="33"/>
  <c r="M228" i="33" s="1"/>
  <c r="E234" i="9" s="1"/>
  <c r="L238" i="33"/>
  <c r="M238" i="33" s="1"/>
  <c r="E244" i="9" s="1"/>
  <c r="L232" i="33"/>
  <c r="M232" i="33" s="1"/>
  <c r="E238" i="9" s="1"/>
  <c r="L106" i="33"/>
  <c r="M106" i="33" s="1"/>
  <c r="E112" i="9" s="1"/>
  <c r="L84" i="33"/>
  <c r="M84" i="33" s="1"/>
  <c r="E90" i="9" s="1"/>
  <c r="L52" i="33"/>
  <c r="M52" i="33" s="1"/>
  <c r="E58" i="9" s="1"/>
  <c r="L193" i="33"/>
  <c r="M193" i="33" s="1"/>
  <c r="E199" i="9" s="1"/>
  <c r="L21" i="33"/>
  <c r="M21" i="33" s="1"/>
  <c r="E27" i="9" s="1"/>
  <c r="L283" i="33"/>
  <c r="M283" i="33" s="1"/>
  <c r="E289" i="9" s="1"/>
  <c r="L37" i="33"/>
  <c r="M37" i="33" s="1"/>
  <c r="E43" i="9" s="1"/>
  <c r="L99" i="33"/>
  <c r="M99" i="33" s="1"/>
  <c r="E105" i="9" s="1"/>
  <c r="L32" i="33"/>
  <c r="M32" i="33" s="1"/>
  <c r="E38" i="9" s="1"/>
  <c r="L7" i="33"/>
  <c r="M7" i="33" s="1"/>
  <c r="E13" i="9" s="1"/>
  <c r="L180" i="33"/>
  <c r="M180" i="33" s="1"/>
  <c r="E186" i="9" s="1"/>
  <c r="L98" i="33"/>
  <c r="M98" i="33" s="1"/>
  <c r="E104" i="9" s="1"/>
  <c r="L261" i="33"/>
  <c r="M261" i="33" s="1"/>
  <c r="E267" i="9" s="1"/>
  <c r="L82" i="33"/>
  <c r="M82" i="33" s="1"/>
  <c r="E88" i="9" s="1"/>
  <c r="L16" i="33"/>
  <c r="M16" i="33" s="1"/>
  <c r="E22" i="9" s="1"/>
  <c r="L116" i="33"/>
  <c r="M116" i="33" s="1"/>
  <c r="E122" i="9" s="1"/>
  <c r="L94" i="33"/>
  <c r="M94" i="33" s="1"/>
  <c r="E100" i="9" s="1"/>
  <c r="L305" i="33"/>
  <c r="M305" i="33" s="1"/>
  <c r="E311" i="9" s="1"/>
  <c r="L245" i="33"/>
  <c r="M245" i="33" s="1"/>
  <c r="E251" i="9" s="1"/>
  <c r="L19" i="33"/>
  <c r="M19" i="33" s="1"/>
  <c r="E25" i="9" s="1"/>
  <c r="L70" i="33"/>
  <c r="M70" i="33" s="1"/>
  <c r="E76" i="9" s="1"/>
  <c r="L154" i="33"/>
  <c r="M154" i="33" s="1"/>
  <c r="E160" i="9" s="1"/>
  <c r="L225" i="33"/>
  <c r="M225" i="33" s="1"/>
  <c r="E231" i="9" s="1"/>
  <c r="L24" i="33"/>
  <c r="M24" i="33" s="1"/>
  <c r="E30" i="9" s="1"/>
  <c r="L172" i="33"/>
  <c r="M172" i="33" s="1"/>
  <c r="E178" i="9" s="1"/>
  <c r="L227" i="33"/>
  <c r="M227" i="33" s="1"/>
  <c r="E233" i="9" s="1"/>
  <c r="L207" i="33"/>
  <c r="M207" i="33" s="1"/>
  <c r="E213" i="9" s="1"/>
  <c r="L187" i="33"/>
  <c r="M187" i="33" s="1"/>
  <c r="E193" i="9" s="1"/>
  <c r="L133" i="33"/>
  <c r="M133" i="33" s="1"/>
  <c r="E139" i="9" s="1"/>
  <c r="L151" i="33"/>
  <c r="M151" i="33" s="1"/>
  <c r="E157" i="9" s="1"/>
  <c r="L250" i="33"/>
  <c r="M250" i="33" s="1"/>
  <c r="E256" i="9" s="1"/>
  <c r="L301" i="33"/>
  <c r="M301" i="33" s="1"/>
  <c r="E307" i="9" s="1"/>
  <c r="L152" i="33"/>
  <c r="M152" i="33" s="1"/>
  <c r="E158" i="9" s="1"/>
  <c r="L297" i="33"/>
  <c r="M297" i="33" s="1"/>
  <c r="E303" i="9" s="1"/>
  <c r="L231" i="33"/>
  <c r="M231" i="33" s="1"/>
  <c r="E237" i="9" s="1"/>
  <c r="L264" i="33"/>
  <c r="M264" i="33" s="1"/>
  <c r="E270" i="9" s="1"/>
  <c r="L262" i="33"/>
  <c r="M262" i="33" s="1"/>
  <c r="E268" i="9" s="1"/>
  <c r="L139" i="33"/>
  <c r="M139" i="33" s="1"/>
  <c r="E145" i="9" s="1"/>
  <c r="L174" i="33"/>
  <c r="M174" i="33" s="1"/>
  <c r="E180" i="9" s="1"/>
  <c r="L65" i="33"/>
  <c r="M65" i="33" s="1"/>
  <c r="E71" i="9" s="1"/>
  <c r="L5" i="33"/>
  <c r="M5" i="33" s="1"/>
  <c r="M130" i="33" l="1"/>
  <c r="E136" i="9" s="1"/>
  <c r="D18" i="48"/>
  <c r="H5" i="11"/>
  <c r="I5" i="11" s="1"/>
  <c r="F18" i="48"/>
  <c r="E11" i="9"/>
  <c r="M313" i="33"/>
  <c r="C6" i="9" s="1"/>
  <c r="C7" i="9" s="1"/>
  <c r="D7" i="9" s="1"/>
  <c r="L16" i="11" l="1"/>
  <c r="M16" i="11" s="1"/>
  <c r="H16" i="11"/>
  <c r="I16" i="11" s="1"/>
  <c r="L43" i="11"/>
  <c r="M43" i="11" s="1"/>
  <c r="H43" i="11"/>
  <c r="I43" i="11" s="1"/>
  <c r="L15" i="11"/>
  <c r="M15" i="11" s="1"/>
  <c r="H15" i="11"/>
  <c r="I15" i="11" s="1"/>
  <c r="L48" i="11"/>
  <c r="M48" i="11" s="1"/>
  <c r="H48" i="11"/>
  <c r="I48" i="11" s="1"/>
  <c r="L58" i="11"/>
  <c r="M58" i="11" s="1"/>
  <c r="H58" i="11"/>
  <c r="I58" i="11" s="1"/>
  <c r="L13" i="11"/>
  <c r="M13" i="11" s="1"/>
  <c r="H13" i="11"/>
  <c r="I13" i="11" s="1"/>
  <c r="L64" i="11"/>
  <c r="M64" i="11" s="1"/>
  <c r="H64" i="11"/>
  <c r="I64" i="11" s="1"/>
  <c r="L46" i="11"/>
  <c r="M46" i="11" s="1"/>
  <c r="H46" i="11"/>
  <c r="I46" i="11" s="1"/>
  <c r="L67" i="11"/>
  <c r="M67" i="11" s="1"/>
  <c r="H67" i="11"/>
  <c r="I67" i="11" s="1"/>
  <c r="L19" i="11"/>
  <c r="M19" i="11" s="1"/>
  <c r="H19" i="11"/>
  <c r="I19" i="11" s="1"/>
  <c r="L22" i="11"/>
  <c r="M22" i="11" s="1"/>
  <c r="H22" i="11"/>
  <c r="I22" i="11" s="1"/>
  <c r="L61" i="11"/>
  <c r="M61" i="11" s="1"/>
  <c r="H61" i="11"/>
  <c r="I61" i="11" s="1"/>
  <c r="L20" i="11"/>
  <c r="M20" i="11" s="1"/>
  <c r="H20" i="11"/>
  <c r="I20" i="11" s="1"/>
  <c r="L17" i="11"/>
  <c r="M17" i="11" s="1"/>
  <c r="H17" i="11"/>
  <c r="I17" i="11" s="1"/>
  <c r="L10" i="11"/>
  <c r="M10" i="11" s="1"/>
  <c r="H10" i="11"/>
  <c r="I10" i="11" s="1"/>
  <c r="L6" i="11"/>
  <c r="M6" i="11" s="1"/>
  <c r="H6" i="11"/>
  <c r="I6" i="11" s="1"/>
  <c r="L18" i="11"/>
  <c r="M18" i="11" s="1"/>
  <c r="H18" i="11"/>
  <c r="I18" i="11" s="1"/>
  <c r="L44" i="11"/>
  <c r="M44" i="11" s="1"/>
  <c r="H44" i="11"/>
  <c r="I44" i="11" s="1"/>
  <c r="L38" i="11"/>
  <c r="M38" i="11" s="1"/>
  <c r="H38" i="11"/>
  <c r="I38" i="11" s="1"/>
  <c r="L75" i="11"/>
  <c r="M75" i="11" s="1"/>
  <c r="H75" i="11"/>
  <c r="I75" i="11" s="1"/>
  <c r="L60" i="11"/>
  <c r="M60" i="11" s="1"/>
  <c r="H60" i="11"/>
  <c r="I60" i="11" s="1"/>
  <c r="L28" i="11"/>
  <c r="M28" i="11" s="1"/>
  <c r="H28" i="11"/>
  <c r="I28" i="11" s="1"/>
  <c r="L40" i="11"/>
  <c r="M40" i="11" s="1"/>
  <c r="H40" i="11"/>
  <c r="I40" i="11" s="1"/>
  <c r="L21" i="11"/>
  <c r="M21" i="11" s="1"/>
  <c r="H21" i="11"/>
  <c r="I21" i="11" s="1"/>
  <c r="L66" i="11"/>
  <c r="M66" i="11" s="1"/>
  <c r="H66" i="11"/>
  <c r="I66" i="11" s="1"/>
  <c r="L24" i="11"/>
  <c r="M24" i="11" s="1"/>
  <c r="H24" i="11"/>
  <c r="I24" i="11" s="1"/>
  <c r="L50" i="11"/>
  <c r="M50" i="11" s="1"/>
  <c r="H50" i="11"/>
  <c r="I50" i="11" s="1"/>
  <c r="L8" i="11"/>
  <c r="M8" i="11" s="1"/>
  <c r="H8" i="11"/>
  <c r="I8" i="11" s="1"/>
  <c r="L36" i="11"/>
  <c r="M36" i="11" s="1"/>
  <c r="H36" i="11"/>
  <c r="I36" i="11" s="1"/>
  <c r="L57" i="11"/>
  <c r="M57" i="11" s="1"/>
  <c r="H57" i="11"/>
  <c r="I57" i="11" s="1"/>
  <c r="L30" i="11"/>
  <c r="M30" i="11" s="1"/>
  <c r="H30" i="11"/>
  <c r="I30" i="11" s="1"/>
  <c r="L27" i="11"/>
  <c r="M27" i="11" s="1"/>
  <c r="H27" i="11"/>
  <c r="I27" i="11" s="1"/>
  <c r="L45" i="11"/>
  <c r="M45" i="11" s="1"/>
  <c r="H45" i="11"/>
  <c r="I45" i="11" s="1"/>
  <c r="L51" i="11"/>
  <c r="M51" i="11" s="1"/>
  <c r="H51" i="11"/>
  <c r="I51" i="11" s="1"/>
  <c r="L42" i="11"/>
  <c r="M42" i="11" s="1"/>
  <c r="H42" i="11"/>
  <c r="I42" i="11" s="1"/>
  <c r="L72" i="11"/>
  <c r="M72" i="11" s="1"/>
  <c r="H72" i="11"/>
  <c r="I72" i="11" s="1"/>
  <c r="L56" i="11"/>
  <c r="M56" i="11" s="1"/>
  <c r="H56" i="11"/>
  <c r="I56" i="11" s="1"/>
  <c r="L23" i="11"/>
  <c r="M23" i="11" s="1"/>
  <c r="H23" i="11"/>
  <c r="I23" i="11" s="1"/>
  <c r="L25" i="11"/>
  <c r="M25" i="11" s="1"/>
  <c r="H25" i="11"/>
  <c r="I25" i="11" s="1"/>
  <c r="L32" i="11"/>
  <c r="M32" i="11" s="1"/>
  <c r="H32" i="11"/>
  <c r="I32" i="11" s="1"/>
  <c r="L34" i="11"/>
  <c r="M34" i="11" s="1"/>
  <c r="H34" i="11"/>
  <c r="I34" i="11" s="1"/>
  <c r="L31" i="11"/>
  <c r="M31" i="11" s="1"/>
  <c r="H31" i="11"/>
  <c r="I31" i="11" s="1"/>
  <c r="L69" i="11"/>
  <c r="M69" i="11" s="1"/>
  <c r="H69" i="11"/>
  <c r="I69" i="11" s="1"/>
  <c r="L54" i="11"/>
  <c r="M54" i="11" s="1"/>
  <c r="H54" i="11"/>
  <c r="I54" i="11" s="1"/>
  <c r="L12" i="11"/>
  <c r="M12" i="11" s="1"/>
  <c r="H12" i="11"/>
  <c r="I12" i="11" s="1"/>
  <c r="L73" i="11"/>
  <c r="M73" i="11" s="1"/>
  <c r="H73" i="11"/>
  <c r="I73" i="11" s="1"/>
  <c r="L52" i="11"/>
  <c r="M52" i="11" s="1"/>
  <c r="H52" i="11"/>
  <c r="I52" i="11" s="1"/>
  <c r="L9" i="11"/>
  <c r="M9" i="11" s="1"/>
  <c r="H9" i="11"/>
  <c r="I9" i="11" s="1"/>
  <c r="L11" i="11"/>
  <c r="M11" i="11" s="1"/>
  <c r="H11" i="11"/>
  <c r="I11" i="11" s="1"/>
  <c r="L35" i="11"/>
  <c r="M35" i="11" s="1"/>
  <c r="H35" i="11"/>
  <c r="I35" i="11" s="1"/>
  <c r="L62" i="11"/>
  <c r="M62" i="11" s="1"/>
  <c r="H62" i="11"/>
  <c r="I62" i="11" s="1"/>
  <c r="L49" i="11"/>
  <c r="M49" i="11" s="1"/>
  <c r="H49" i="11"/>
  <c r="I49" i="11" s="1"/>
  <c r="L71" i="11"/>
  <c r="M71" i="11" s="1"/>
  <c r="H71" i="11"/>
  <c r="I71" i="11" s="1"/>
  <c r="L26" i="11"/>
  <c r="M26" i="11" s="1"/>
  <c r="H26" i="11"/>
  <c r="I26" i="11" s="1"/>
  <c r="L65" i="11"/>
  <c r="M65" i="11" s="1"/>
  <c r="H65" i="11"/>
  <c r="I65" i="11" s="1"/>
  <c r="L74" i="11"/>
  <c r="M74" i="11" s="1"/>
  <c r="H74" i="11"/>
  <c r="I74" i="11" s="1"/>
  <c r="L63" i="11"/>
  <c r="M63" i="11" s="1"/>
  <c r="H63" i="11"/>
  <c r="I63" i="11" s="1"/>
  <c r="L55" i="11"/>
  <c r="M55" i="11" s="1"/>
  <c r="H55" i="11"/>
  <c r="I55" i="11" s="1"/>
  <c r="L37" i="11"/>
  <c r="M37" i="11" s="1"/>
  <c r="H37" i="11"/>
  <c r="I37" i="11" s="1"/>
  <c r="L70" i="11"/>
  <c r="M70" i="11" s="1"/>
  <c r="H70" i="11"/>
  <c r="I70" i="11" s="1"/>
  <c r="L33" i="11"/>
  <c r="M33" i="11" s="1"/>
  <c r="H33" i="11"/>
  <c r="I33" i="11" s="1"/>
  <c r="L41" i="11"/>
  <c r="M41" i="11" s="1"/>
  <c r="H41" i="11"/>
  <c r="I41" i="11" s="1"/>
  <c r="L59" i="11"/>
  <c r="M59" i="11" s="1"/>
  <c r="H59" i="11"/>
  <c r="I59" i="11" s="1"/>
  <c r="L47" i="11"/>
  <c r="M47" i="11" s="1"/>
  <c r="H47" i="11"/>
  <c r="I47" i="11" s="1"/>
  <c r="L39" i="11"/>
  <c r="M39" i="11" s="1"/>
  <c r="H39" i="11"/>
  <c r="I39" i="11" s="1"/>
  <c r="L68" i="11"/>
  <c r="M68" i="11" s="1"/>
  <c r="H68" i="11"/>
  <c r="I68" i="11" s="1"/>
  <c r="L14" i="11"/>
  <c r="M14" i="11" s="1"/>
  <c r="H14" i="11"/>
  <c r="I14" i="11" s="1"/>
  <c r="L53" i="11"/>
  <c r="M53" i="11" s="1"/>
  <c r="H53" i="11"/>
  <c r="I53" i="11" s="1"/>
  <c r="L7" i="11"/>
  <c r="M7" i="11" s="1"/>
  <c r="H7" i="11"/>
  <c r="I7" i="11" s="1"/>
  <c r="L29" i="11"/>
  <c r="M29" i="11" s="1"/>
  <c r="H29" i="11"/>
  <c r="I29" i="11" s="1"/>
  <c r="E319" i="9"/>
  <c r="I313" i="11" l="1"/>
  <c r="C324" i="34"/>
  <c r="F15" i="34" s="1"/>
  <c r="E314" i="25"/>
  <c r="L5" i="11"/>
  <c r="M314" i="49"/>
  <c r="N5" i="49" s="1"/>
  <c r="N243" i="49" s="1"/>
  <c r="O243" i="49" s="1"/>
  <c r="D4" i="9"/>
  <c r="G42" i="40"/>
  <c r="C313" i="11"/>
  <c r="M243" i="25" l="1"/>
  <c r="D6" i="34"/>
  <c r="D8" i="34"/>
  <c r="D5" i="34"/>
  <c r="N218" i="49"/>
  <c r="O218" i="49" s="1"/>
  <c r="N169" i="49"/>
  <c r="O169" i="49" s="1"/>
  <c r="N8" i="49"/>
  <c r="N7" i="49"/>
  <c r="N6" i="49"/>
  <c r="N104" i="49"/>
  <c r="O104" i="49" s="1"/>
  <c r="E5" i="37"/>
  <c r="F5" i="37" s="1"/>
  <c r="I5" i="37" s="1"/>
  <c r="D5" i="9"/>
  <c r="B21" i="48"/>
  <c r="D6" i="9"/>
  <c r="H313" i="11"/>
  <c r="M5" i="11"/>
  <c r="L313" i="11"/>
  <c r="M104" i="25" l="1"/>
  <c r="M169" i="25"/>
  <c r="M218" i="25"/>
  <c r="K40" i="40"/>
  <c r="M313" i="11"/>
  <c r="F10" i="9"/>
  <c r="N255" i="49"/>
  <c r="O255" i="49" s="1"/>
  <c r="N300" i="49"/>
  <c r="O300" i="49" s="1"/>
  <c r="N15" i="49"/>
  <c r="O15" i="49" s="1"/>
  <c r="N57" i="49"/>
  <c r="O57" i="49" s="1"/>
  <c r="N112" i="49"/>
  <c r="O112" i="49" s="1"/>
  <c r="N74" i="49"/>
  <c r="O74" i="49" s="1"/>
  <c r="N209" i="49"/>
  <c r="O209" i="49" s="1"/>
  <c r="N39" i="49"/>
  <c r="O39" i="49" s="1"/>
  <c r="N187" i="49"/>
  <c r="O187" i="49" s="1"/>
  <c r="N299" i="49"/>
  <c r="O299" i="49" s="1"/>
  <c r="N178" i="49"/>
  <c r="O178" i="49" s="1"/>
  <c r="N287" i="49"/>
  <c r="O287" i="49" s="1"/>
  <c r="N272" i="49"/>
  <c r="O272" i="49" s="1"/>
  <c r="N34" i="49"/>
  <c r="O34" i="49" s="1"/>
  <c r="N75" i="49"/>
  <c r="O75" i="49" s="1"/>
  <c r="N244" i="49"/>
  <c r="O244" i="49" s="1"/>
  <c r="N182" i="49"/>
  <c r="O182" i="49" s="1"/>
  <c r="O7" i="49"/>
  <c r="N176" i="49"/>
  <c r="O176" i="49" s="1"/>
  <c r="N17" i="49"/>
  <c r="O17" i="49" s="1"/>
  <c r="N123" i="49"/>
  <c r="O123" i="49" s="1"/>
  <c r="N191" i="49"/>
  <c r="O191" i="49" s="1"/>
  <c r="N109" i="49"/>
  <c r="O109" i="49" s="1"/>
  <c r="N99" i="49"/>
  <c r="O99" i="49" s="1"/>
  <c r="N65" i="49"/>
  <c r="O65" i="49" s="1"/>
  <c r="N240" i="49"/>
  <c r="O240" i="49" s="1"/>
  <c r="N22" i="49"/>
  <c r="O22" i="49" s="1"/>
  <c r="N58" i="49"/>
  <c r="O58" i="49" s="1"/>
  <c r="N180" i="49"/>
  <c r="O180" i="49" s="1"/>
  <c r="N213" i="49"/>
  <c r="O213" i="49" s="1"/>
  <c r="N269" i="49"/>
  <c r="O269" i="49" s="1"/>
  <c r="N128" i="49"/>
  <c r="O128" i="49" s="1"/>
  <c r="N98" i="49"/>
  <c r="O98" i="49" s="1"/>
  <c r="N73" i="49"/>
  <c r="O73" i="49" s="1"/>
  <c r="N224" i="49"/>
  <c r="O224" i="49" s="1"/>
  <c r="N289" i="49"/>
  <c r="O289" i="49" s="1"/>
  <c r="N18" i="49"/>
  <c r="O18" i="49" s="1"/>
  <c r="N311" i="49"/>
  <c r="O311" i="49" s="1"/>
  <c r="N155" i="49"/>
  <c r="O155" i="49" s="1"/>
  <c r="N291" i="49"/>
  <c r="O291" i="49" s="1"/>
  <c r="N290" i="49"/>
  <c r="O290" i="49" s="1"/>
  <c r="N32" i="49"/>
  <c r="O32" i="49" s="1"/>
  <c r="N96" i="49"/>
  <c r="O96" i="49" s="1"/>
  <c r="N271" i="49"/>
  <c r="O271" i="49" s="1"/>
  <c r="N117" i="49"/>
  <c r="O117" i="49" s="1"/>
  <c r="N61" i="49"/>
  <c r="O61" i="49" s="1"/>
  <c r="N177" i="49"/>
  <c r="O177" i="49" s="1"/>
  <c r="N26" i="49"/>
  <c r="O26" i="49" s="1"/>
  <c r="N185" i="49"/>
  <c r="O185" i="49" s="1"/>
  <c r="N273" i="49"/>
  <c r="O273" i="49" s="1"/>
  <c r="N140" i="49"/>
  <c r="O140" i="49" s="1"/>
  <c r="N246" i="49"/>
  <c r="O246" i="49" s="1"/>
  <c r="N79" i="49"/>
  <c r="O79" i="49" s="1"/>
  <c r="N160" i="49"/>
  <c r="O160" i="49" s="1"/>
  <c r="N70" i="49"/>
  <c r="O70" i="49" s="1"/>
  <c r="N303" i="49"/>
  <c r="O303" i="49" s="1"/>
  <c r="N254" i="49"/>
  <c r="O254" i="49" s="1"/>
  <c r="N64" i="49"/>
  <c r="O64" i="49" s="1"/>
  <c r="N288" i="49"/>
  <c r="O288" i="49" s="1"/>
  <c r="N292" i="49"/>
  <c r="O292" i="49" s="1"/>
  <c r="N221" i="49"/>
  <c r="O221" i="49" s="1"/>
  <c r="N252" i="49"/>
  <c r="O252" i="49" s="1"/>
  <c r="N301" i="49"/>
  <c r="O301" i="49" s="1"/>
  <c r="N190" i="49"/>
  <c r="O190" i="49" s="1"/>
  <c r="N131" i="49"/>
  <c r="O131" i="49" s="1"/>
  <c r="N10" i="49"/>
  <c r="O10" i="49" s="1"/>
  <c r="N56" i="49"/>
  <c r="O56" i="49" s="1"/>
  <c r="N44" i="49"/>
  <c r="O44" i="49" s="1"/>
  <c r="N312" i="49"/>
  <c r="O312" i="49" s="1"/>
  <c r="N257" i="49"/>
  <c r="O257" i="49" s="1"/>
  <c r="N63" i="49"/>
  <c r="O63" i="49" s="1"/>
  <c r="N147" i="49"/>
  <c r="O147" i="49" s="1"/>
  <c r="N305" i="49"/>
  <c r="O305" i="49" s="1"/>
  <c r="N81" i="49"/>
  <c r="O81" i="49" s="1"/>
  <c r="N309" i="49"/>
  <c r="O309" i="49" s="1"/>
  <c r="N126" i="49"/>
  <c r="O126" i="49" s="1"/>
  <c r="N163" i="49"/>
  <c r="O163" i="49" s="1"/>
  <c r="N122" i="49"/>
  <c r="O122" i="49" s="1"/>
  <c r="N306" i="49"/>
  <c r="O306" i="49" s="1"/>
  <c r="N127" i="49"/>
  <c r="O127" i="49" s="1"/>
  <c r="N278" i="49"/>
  <c r="O278" i="49" s="1"/>
  <c r="N54" i="49"/>
  <c r="O54" i="49" s="1"/>
  <c r="N260" i="49"/>
  <c r="O260" i="49" s="1"/>
  <c r="N9" i="49"/>
  <c r="O9" i="49" s="1"/>
  <c r="N76" i="49"/>
  <c r="O76" i="49" s="1"/>
  <c r="N16" i="49"/>
  <c r="O16" i="49" s="1"/>
  <c r="N188" i="49"/>
  <c r="O188" i="49" s="1"/>
  <c r="N19" i="49"/>
  <c r="O19" i="49" s="1"/>
  <c r="N103" i="49"/>
  <c r="O103" i="49" s="1"/>
  <c r="N154" i="49"/>
  <c r="O154" i="49" s="1"/>
  <c r="N102" i="49"/>
  <c r="O102" i="49" s="1"/>
  <c r="N198" i="49"/>
  <c r="O198" i="49" s="1"/>
  <c r="N133" i="49"/>
  <c r="O133" i="49" s="1"/>
  <c r="O8" i="49"/>
  <c r="N195" i="49"/>
  <c r="O195" i="49" s="1"/>
  <c r="N97" i="49"/>
  <c r="O97" i="49" s="1"/>
  <c r="N119" i="49"/>
  <c r="O119" i="49" s="1"/>
  <c r="N37" i="49"/>
  <c r="O37" i="49" s="1"/>
  <c r="N129" i="49"/>
  <c r="O129" i="49" s="1"/>
  <c r="N226" i="49"/>
  <c r="O226" i="49" s="1"/>
  <c r="N90" i="49"/>
  <c r="O90" i="49" s="1"/>
  <c r="N115" i="49"/>
  <c r="O115" i="49" s="1"/>
  <c r="N233" i="49"/>
  <c r="O233" i="49" s="1"/>
  <c r="N78" i="49"/>
  <c r="O78" i="49" s="1"/>
  <c r="N33" i="49"/>
  <c r="O33" i="49" s="1"/>
  <c r="N150" i="49"/>
  <c r="O150" i="49" s="1"/>
  <c r="N238" i="49"/>
  <c r="O238" i="49" s="1"/>
  <c r="N167" i="49"/>
  <c r="O167" i="49" s="1"/>
  <c r="N156" i="49"/>
  <c r="O156" i="49" s="1"/>
  <c r="N14" i="49"/>
  <c r="O14" i="49" s="1"/>
  <c r="N298" i="49"/>
  <c r="O298" i="49" s="1"/>
  <c r="N113" i="49"/>
  <c r="O113" i="49" s="1"/>
  <c r="N256" i="49"/>
  <c r="O256" i="49" s="1"/>
  <c r="N48" i="49"/>
  <c r="O48" i="49" s="1"/>
  <c r="N294" i="49"/>
  <c r="O294" i="49" s="1"/>
  <c r="N216" i="49"/>
  <c r="O216" i="49" s="1"/>
  <c r="N84" i="49"/>
  <c r="O84" i="49" s="1"/>
  <c r="N179" i="49"/>
  <c r="O179" i="49" s="1"/>
  <c r="N85" i="49"/>
  <c r="O85" i="49" s="1"/>
  <c r="N38" i="49"/>
  <c r="O38" i="49" s="1"/>
  <c r="N285" i="49"/>
  <c r="O285" i="49" s="1"/>
  <c r="N239" i="49"/>
  <c r="O239" i="49" s="1"/>
  <c r="N142" i="49"/>
  <c r="O142" i="49" s="1"/>
  <c r="N183" i="49"/>
  <c r="O183" i="49" s="1"/>
  <c r="N21" i="49"/>
  <c r="O21" i="49" s="1"/>
  <c r="N148" i="49"/>
  <c r="O148" i="49" s="1"/>
  <c r="N247" i="49"/>
  <c r="O247" i="49" s="1"/>
  <c r="N192" i="49"/>
  <c r="O192" i="49" s="1"/>
  <c r="N121" i="49"/>
  <c r="O121" i="49" s="1"/>
  <c r="N12" i="49"/>
  <c r="O12" i="49" s="1"/>
  <c r="N94" i="49"/>
  <c r="O94" i="49" s="1"/>
  <c r="N219" i="49"/>
  <c r="O219" i="49" s="1"/>
  <c r="N145" i="49"/>
  <c r="O145" i="49" s="1"/>
  <c r="N80" i="49"/>
  <c r="O80" i="49" s="1"/>
  <c r="N205" i="49"/>
  <c r="O205" i="49" s="1"/>
  <c r="N242" i="49"/>
  <c r="O242" i="49" s="1"/>
  <c r="N124" i="49"/>
  <c r="O124" i="49" s="1"/>
  <c r="N282" i="49"/>
  <c r="O282" i="49" s="1"/>
  <c r="N158" i="49"/>
  <c r="O158" i="49" s="1"/>
  <c r="N136" i="49"/>
  <c r="O136" i="49" s="1"/>
  <c r="N175" i="49"/>
  <c r="O175" i="49" s="1"/>
  <c r="N208" i="49"/>
  <c r="O208" i="49" s="1"/>
  <c r="N286" i="49"/>
  <c r="O286" i="49" s="1"/>
  <c r="N100" i="49"/>
  <c r="O100" i="49" s="1"/>
  <c r="N30" i="49"/>
  <c r="O30" i="49" s="1"/>
  <c r="N165" i="49"/>
  <c r="O165" i="49" s="1"/>
  <c r="N253" i="49"/>
  <c r="O253" i="49" s="1"/>
  <c r="N53" i="49"/>
  <c r="O53" i="49" s="1"/>
  <c r="N35" i="49"/>
  <c r="O35" i="49" s="1"/>
  <c r="N141" i="49"/>
  <c r="O141" i="49" s="1"/>
  <c r="N47" i="49"/>
  <c r="O47" i="49" s="1"/>
  <c r="N152" i="49"/>
  <c r="O152" i="49" s="1"/>
  <c r="N91" i="49"/>
  <c r="O91" i="49" s="1"/>
  <c r="N225" i="49"/>
  <c r="O225" i="49" s="1"/>
  <c r="N20" i="49"/>
  <c r="O20" i="49" s="1"/>
  <c r="N204" i="49"/>
  <c r="O204" i="49" s="1"/>
  <c r="N107" i="49"/>
  <c r="O107" i="49" s="1"/>
  <c r="N77" i="49"/>
  <c r="O77" i="49" s="1"/>
  <c r="N212" i="49"/>
  <c r="O212" i="49" s="1"/>
  <c r="N72" i="49"/>
  <c r="O72" i="49" s="1"/>
  <c r="N206" i="49"/>
  <c r="O206" i="49" s="1"/>
  <c r="N149" i="49"/>
  <c r="O149" i="49" s="1"/>
  <c r="N310" i="49"/>
  <c r="O310" i="49" s="1"/>
  <c r="N50" i="49"/>
  <c r="O50" i="49" s="1"/>
  <c r="N118" i="49"/>
  <c r="O118" i="49" s="1"/>
  <c r="N68" i="49"/>
  <c r="O68" i="49" s="1"/>
  <c r="N114" i="49"/>
  <c r="O114" i="49" s="1"/>
  <c r="N67" i="49"/>
  <c r="O67" i="49" s="1"/>
  <c r="N194" i="49"/>
  <c r="O194" i="49" s="1"/>
  <c r="N202" i="49"/>
  <c r="O202" i="49" s="1"/>
  <c r="N62" i="49"/>
  <c r="O62" i="49" s="1"/>
  <c r="N184" i="49"/>
  <c r="O184" i="49" s="1"/>
  <c r="N250" i="49"/>
  <c r="O250" i="49" s="1"/>
  <c r="N144" i="49"/>
  <c r="O144" i="49" s="1"/>
  <c r="N130" i="49"/>
  <c r="O130" i="49" s="1"/>
  <c r="N280" i="49"/>
  <c r="O280" i="49" s="1"/>
  <c r="N13" i="49"/>
  <c r="O13" i="49" s="1"/>
  <c r="N228" i="49"/>
  <c r="O228" i="49" s="1"/>
  <c r="N66" i="49"/>
  <c r="O66" i="49" s="1"/>
  <c r="N168" i="49"/>
  <c r="O168" i="49" s="1"/>
  <c r="N161" i="49"/>
  <c r="O161" i="49" s="1"/>
  <c r="N43" i="49"/>
  <c r="O43" i="49" s="1"/>
  <c r="N295" i="49"/>
  <c r="O295" i="49" s="1"/>
  <c r="N276" i="49"/>
  <c r="O276" i="49" s="1"/>
  <c r="N277" i="49"/>
  <c r="O277" i="49" s="1"/>
  <c r="N166" i="49"/>
  <c r="O166" i="49" s="1"/>
  <c r="N259" i="49"/>
  <c r="O259" i="49" s="1"/>
  <c r="N116" i="49"/>
  <c r="O116" i="49" s="1"/>
  <c r="N134" i="49"/>
  <c r="O134" i="49" s="1"/>
  <c r="N110" i="49"/>
  <c r="O110" i="49" s="1"/>
  <c r="N234" i="49"/>
  <c r="O234" i="49" s="1"/>
  <c r="N23" i="49"/>
  <c r="O23" i="49" s="1"/>
  <c r="N82" i="49"/>
  <c r="O82" i="49" s="1"/>
  <c r="N36" i="49"/>
  <c r="O36" i="49" s="1"/>
  <c r="N266" i="49"/>
  <c r="O266" i="49" s="1"/>
  <c r="N174" i="49"/>
  <c r="O174" i="49" s="1"/>
  <c r="N71" i="49"/>
  <c r="O71" i="49" s="1"/>
  <c r="N28" i="49"/>
  <c r="O28" i="49" s="1"/>
  <c r="N59" i="49"/>
  <c r="O59" i="49" s="1"/>
  <c r="N29" i="49"/>
  <c r="O29" i="49" s="1"/>
  <c r="N41" i="49"/>
  <c r="O41" i="49" s="1"/>
  <c r="N296" i="49"/>
  <c r="O296" i="49" s="1"/>
  <c r="N125" i="49"/>
  <c r="O125" i="49" s="1"/>
  <c r="N222" i="49"/>
  <c r="O222" i="49" s="1"/>
  <c r="N88" i="49"/>
  <c r="O88" i="49" s="1"/>
  <c r="N297" i="49"/>
  <c r="O297" i="49" s="1"/>
  <c r="N197" i="49"/>
  <c r="O197" i="49" s="1"/>
  <c r="N283" i="49"/>
  <c r="O283" i="49" s="1"/>
  <c r="N203" i="49"/>
  <c r="O203" i="49" s="1"/>
  <c r="N200" i="49"/>
  <c r="O200" i="49" s="1"/>
  <c r="N108" i="49"/>
  <c r="O108" i="49" s="1"/>
  <c r="N207" i="49"/>
  <c r="O207" i="49" s="1"/>
  <c r="N27" i="49"/>
  <c r="O27" i="49" s="1"/>
  <c r="N51" i="49"/>
  <c r="O51" i="49" s="1"/>
  <c r="N111" i="49"/>
  <c r="O111" i="49" s="1"/>
  <c r="N211" i="49"/>
  <c r="O211" i="49" s="1"/>
  <c r="N25" i="49"/>
  <c r="O25" i="49" s="1"/>
  <c r="N55" i="49"/>
  <c r="O55" i="49" s="1"/>
  <c r="N105" i="49"/>
  <c r="O105" i="49" s="1"/>
  <c r="N302" i="49"/>
  <c r="O302" i="49" s="1"/>
  <c r="N237" i="49"/>
  <c r="O237" i="49" s="1"/>
  <c r="N215" i="49"/>
  <c r="O215" i="49" s="1"/>
  <c r="N60" i="49"/>
  <c r="O60" i="49" s="1"/>
  <c r="N139" i="49"/>
  <c r="O139" i="49" s="1"/>
  <c r="N40" i="49"/>
  <c r="O40" i="49" s="1"/>
  <c r="N69" i="49"/>
  <c r="O69" i="49" s="1"/>
  <c r="N308" i="49"/>
  <c r="O308" i="49" s="1"/>
  <c r="N265" i="49"/>
  <c r="O265" i="49" s="1"/>
  <c r="N45" i="49"/>
  <c r="O45" i="49" s="1"/>
  <c r="N193" i="49"/>
  <c r="O193" i="49" s="1"/>
  <c r="N245" i="49"/>
  <c r="O245" i="49" s="1"/>
  <c r="N153" i="49"/>
  <c r="O153" i="49" s="1"/>
  <c r="N307" i="49"/>
  <c r="O307" i="49" s="1"/>
  <c r="N49" i="49"/>
  <c r="O49" i="49" s="1"/>
  <c r="N196" i="49"/>
  <c r="O196" i="49" s="1"/>
  <c r="N249" i="49"/>
  <c r="O249" i="49" s="1"/>
  <c r="N199" i="49"/>
  <c r="O199" i="49" s="1"/>
  <c r="N313" i="49"/>
  <c r="O313" i="49" s="1"/>
  <c r="N172" i="49"/>
  <c r="O172" i="49" s="1"/>
  <c r="N86" i="49"/>
  <c r="O86" i="49" s="1"/>
  <c r="N267" i="49"/>
  <c r="O267" i="49" s="1"/>
  <c r="N93" i="49"/>
  <c r="O93" i="49" s="1"/>
  <c r="N106" i="49"/>
  <c r="O106" i="49" s="1"/>
  <c r="N87" i="49"/>
  <c r="O87" i="49" s="1"/>
  <c r="N268" i="49"/>
  <c r="O268" i="49" s="1"/>
  <c r="N229" i="49"/>
  <c r="O229" i="49" s="1"/>
  <c r="N248" i="49"/>
  <c r="O248" i="49" s="1"/>
  <c r="N304" i="49"/>
  <c r="O304" i="49" s="1"/>
  <c r="N251" i="49"/>
  <c r="O251" i="49" s="1"/>
  <c r="N24" i="49"/>
  <c r="O24" i="49" s="1"/>
  <c r="N264" i="49"/>
  <c r="O264" i="49" s="1"/>
  <c r="N162" i="49"/>
  <c r="O162" i="49" s="1"/>
  <c r="N235" i="49"/>
  <c r="O235" i="49" s="1"/>
  <c r="N258" i="49"/>
  <c r="O258" i="49" s="1"/>
  <c r="N232" i="49"/>
  <c r="O232" i="49" s="1"/>
  <c r="N46" i="49"/>
  <c r="O46" i="49" s="1"/>
  <c r="N220" i="49"/>
  <c r="O220" i="49" s="1"/>
  <c r="N171" i="49"/>
  <c r="O171" i="49" s="1"/>
  <c r="N52" i="49"/>
  <c r="O52" i="49" s="1"/>
  <c r="N31" i="49"/>
  <c r="O31" i="49" s="1"/>
  <c r="N227" i="49"/>
  <c r="O227" i="49" s="1"/>
  <c r="N214" i="49"/>
  <c r="O214" i="49" s="1"/>
  <c r="N201" i="49"/>
  <c r="O201" i="49" s="1"/>
  <c r="N231" i="49"/>
  <c r="O231" i="49" s="1"/>
  <c r="N270" i="49"/>
  <c r="O270" i="49" s="1"/>
  <c r="N181" i="49"/>
  <c r="O181" i="49" s="1"/>
  <c r="N151" i="49"/>
  <c r="O151" i="49" s="1"/>
  <c r="N120" i="49"/>
  <c r="O120" i="49" s="1"/>
  <c r="N275" i="49"/>
  <c r="O275" i="49" s="1"/>
  <c r="N173" i="49"/>
  <c r="O173" i="49" s="1"/>
  <c r="N274" i="49"/>
  <c r="O274" i="49" s="1"/>
  <c r="N95" i="49"/>
  <c r="O95" i="49" s="1"/>
  <c r="N217" i="49"/>
  <c r="O217" i="49" s="1"/>
  <c r="N159" i="49"/>
  <c r="O159" i="49" s="1"/>
  <c r="N143" i="49"/>
  <c r="O143" i="49" s="1"/>
  <c r="N293" i="49"/>
  <c r="O293" i="49" s="1"/>
  <c r="N42" i="49"/>
  <c r="O42" i="49" s="1"/>
  <c r="N146" i="49"/>
  <c r="O146" i="49" s="1"/>
  <c r="N101" i="49"/>
  <c r="O101" i="49" s="1"/>
  <c r="N261" i="49"/>
  <c r="O261" i="49" s="1"/>
  <c r="N284" i="49"/>
  <c r="O284" i="49" s="1"/>
  <c r="N137" i="49"/>
  <c r="O137" i="49" s="1"/>
  <c r="N157" i="49"/>
  <c r="O157" i="49" s="1"/>
  <c r="N138" i="49"/>
  <c r="O138" i="49" s="1"/>
  <c r="N223" i="49"/>
  <c r="O223" i="49" s="1"/>
  <c r="N83" i="49"/>
  <c r="O83" i="49" s="1"/>
  <c r="N164" i="49"/>
  <c r="O164" i="49" s="1"/>
  <c r="N132" i="49"/>
  <c r="O132" i="49" s="1"/>
  <c r="N230" i="49"/>
  <c r="O230" i="49" s="1"/>
  <c r="N135" i="49"/>
  <c r="O135" i="49" s="1"/>
  <c r="N236" i="49"/>
  <c r="O236" i="49" s="1"/>
  <c r="N263" i="49"/>
  <c r="O263" i="49" s="1"/>
  <c r="N11" i="49"/>
  <c r="O11" i="49" s="1"/>
  <c r="N281" i="49"/>
  <c r="O281" i="49" s="1"/>
  <c r="N189" i="49"/>
  <c r="O189" i="49" s="1"/>
  <c r="N186" i="49"/>
  <c r="O186" i="49" s="1"/>
  <c r="N92" i="49"/>
  <c r="O92" i="49" s="1"/>
  <c r="N170" i="49"/>
  <c r="O170" i="49" s="1"/>
  <c r="N279" i="49"/>
  <c r="O279" i="49" s="1"/>
  <c r="N262" i="49"/>
  <c r="O262" i="49" s="1"/>
  <c r="N210" i="49"/>
  <c r="O210" i="49" s="1"/>
  <c r="N89" i="49"/>
  <c r="O89" i="49" s="1"/>
  <c r="N241" i="49"/>
  <c r="O241" i="49" s="1"/>
  <c r="G16" i="34"/>
  <c r="H16" i="34" s="1"/>
  <c r="F15" i="9" l="1"/>
  <c r="G15" i="9" s="1"/>
  <c r="F19" i="9"/>
  <c r="G19" i="9" s="1"/>
  <c r="F24" i="9"/>
  <c r="G24" i="9" s="1"/>
  <c r="F14" i="9"/>
  <c r="G14" i="9" s="1"/>
  <c r="F18" i="9"/>
  <c r="G18" i="9" s="1"/>
  <c r="F23" i="9"/>
  <c r="G23" i="9" s="1"/>
  <c r="F27" i="9"/>
  <c r="G27" i="9" s="1"/>
  <c r="F32" i="9"/>
  <c r="G32" i="9" s="1"/>
  <c r="F40" i="9"/>
  <c r="G40" i="9" s="1"/>
  <c r="F45" i="9"/>
  <c r="G45" i="9" s="1"/>
  <c r="F49" i="9"/>
  <c r="G49" i="9" s="1"/>
  <c r="F67" i="9"/>
  <c r="G67" i="9" s="1"/>
  <c r="F76" i="9"/>
  <c r="G76" i="9" s="1"/>
  <c r="F99" i="9"/>
  <c r="G99" i="9" s="1"/>
  <c r="F108" i="9"/>
  <c r="G108" i="9" s="1"/>
  <c r="F131" i="9"/>
  <c r="G131" i="9" s="1"/>
  <c r="F140" i="9"/>
  <c r="G140" i="9" s="1"/>
  <c r="F163" i="9"/>
  <c r="G163" i="9" s="1"/>
  <c r="F172" i="9"/>
  <c r="G172" i="9" s="1"/>
  <c r="F195" i="9"/>
  <c r="G195" i="9" s="1"/>
  <c r="F204" i="9"/>
  <c r="G204" i="9" s="1"/>
  <c r="F213" i="9"/>
  <c r="G213" i="9" s="1"/>
  <c r="F227" i="9"/>
  <c r="G227" i="9" s="1"/>
  <c r="F236" i="9"/>
  <c r="G236" i="9" s="1"/>
  <c r="F17" i="9"/>
  <c r="G17" i="9" s="1"/>
  <c r="F20" i="9"/>
  <c r="G20" i="9" s="1"/>
  <c r="F26" i="9"/>
  <c r="G26" i="9" s="1"/>
  <c r="F29" i="9"/>
  <c r="G29" i="9" s="1"/>
  <c r="F35" i="9"/>
  <c r="G35" i="9" s="1"/>
  <c r="F38" i="9"/>
  <c r="G38" i="9" s="1"/>
  <c r="F41" i="9"/>
  <c r="G41" i="9" s="1"/>
  <c r="F53" i="9"/>
  <c r="G53" i="9" s="1"/>
  <c r="F57" i="9"/>
  <c r="G57" i="9" s="1"/>
  <c r="F62" i="9"/>
  <c r="G62" i="9" s="1"/>
  <c r="F66" i="9"/>
  <c r="G66" i="9" s="1"/>
  <c r="F71" i="9"/>
  <c r="G71" i="9" s="1"/>
  <c r="F80" i="9"/>
  <c r="G80" i="9" s="1"/>
  <c r="F85" i="9"/>
  <c r="G85" i="9" s="1"/>
  <c r="F89" i="9"/>
  <c r="G89" i="9" s="1"/>
  <c r="F94" i="9"/>
  <c r="G94" i="9" s="1"/>
  <c r="F98" i="9"/>
  <c r="G98" i="9" s="1"/>
  <c r="F103" i="9"/>
  <c r="G103" i="9" s="1"/>
  <c r="F112" i="9"/>
  <c r="G112" i="9" s="1"/>
  <c r="F117" i="9"/>
  <c r="G117" i="9" s="1"/>
  <c r="F121" i="9"/>
  <c r="G121" i="9" s="1"/>
  <c r="F126" i="9"/>
  <c r="G126" i="9" s="1"/>
  <c r="F130" i="9"/>
  <c r="G130" i="9" s="1"/>
  <c r="F135" i="9"/>
  <c r="G135" i="9" s="1"/>
  <c r="F144" i="9"/>
  <c r="G144" i="9" s="1"/>
  <c r="F149" i="9"/>
  <c r="G149" i="9" s="1"/>
  <c r="F153" i="9"/>
  <c r="G153" i="9" s="1"/>
  <c r="F158" i="9"/>
  <c r="G158" i="9" s="1"/>
  <c r="F162" i="9"/>
  <c r="G162" i="9" s="1"/>
  <c r="F167" i="9"/>
  <c r="G167" i="9" s="1"/>
  <c r="F48" i="9"/>
  <c r="G48" i="9" s="1"/>
  <c r="F52" i="9"/>
  <c r="G52" i="9" s="1"/>
  <c r="F75" i="9"/>
  <c r="G75" i="9" s="1"/>
  <c r="F84" i="9"/>
  <c r="G84" i="9" s="1"/>
  <c r="F107" i="9"/>
  <c r="G107" i="9" s="1"/>
  <c r="F116" i="9"/>
  <c r="G116" i="9" s="1"/>
  <c r="F139" i="9"/>
  <c r="G139" i="9" s="1"/>
  <c r="F148" i="9"/>
  <c r="G148" i="9" s="1"/>
  <c r="F171" i="9"/>
  <c r="G171" i="9" s="1"/>
  <c r="F28" i="9"/>
  <c r="G28" i="9" s="1"/>
  <c r="F37" i="9"/>
  <c r="G37" i="9" s="1"/>
  <c r="F44" i="9"/>
  <c r="G44" i="9" s="1"/>
  <c r="F56" i="9"/>
  <c r="G56" i="9" s="1"/>
  <c r="F61" i="9"/>
  <c r="G61" i="9" s="1"/>
  <c r="F65" i="9"/>
  <c r="G65" i="9" s="1"/>
  <c r="F70" i="9"/>
  <c r="G70" i="9" s="1"/>
  <c r="F74" i="9"/>
  <c r="G74" i="9" s="1"/>
  <c r="F79" i="9"/>
  <c r="G79" i="9" s="1"/>
  <c r="F88" i="9"/>
  <c r="G88" i="9" s="1"/>
  <c r="F93" i="9"/>
  <c r="G93" i="9" s="1"/>
  <c r="F97" i="9"/>
  <c r="G97" i="9" s="1"/>
  <c r="F102" i="9"/>
  <c r="G102" i="9" s="1"/>
  <c r="F106" i="9"/>
  <c r="G106" i="9" s="1"/>
  <c r="F111" i="9"/>
  <c r="G111" i="9" s="1"/>
  <c r="F120" i="9"/>
  <c r="G120" i="9" s="1"/>
  <c r="F125" i="9"/>
  <c r="G125" i="9" s="1"/>
  <c r="F129" i="9"/>
  <c r="G129" i="9" s="1"/>
  <c r="F134" i="9"/>
  <c r="G134" i="9" s="1"/>
  <c r="F138" i="9"/>
  <c r="G138" i="9" s="1"/>
  <c r="F143" i="9"/>
  <c r="G143" i="9" s="1"/>
  <c r="F152" i="9"/>
  <c r="G152" i="9" s="1"/>
  <c r="F157" i="9"/>
  <c r="G157" i="9" s="1"/>
  <c r="F161" i="9"/>
  <c r="G161" i="9" s="1"/>
  <c r="F166" i="9"/>
  <c r="G166" i="9" s="1"/>
  <c r="F170" i="9"/>
  <c r="G170" i="9" s="1"/>
  <c r="F175" i="9"/>
  <c r="G175" i="9" s="1"/>
  <c r="F184" i="9"/>
  <c r="G184" i="9" s="1"/>
  <c r="F189" i="9"/>
  <c r="G189" i="9" s="1"/>
  <c r="F193" i="9"/>
  <c r="G193" i="9" s="1"/>
  <c r="F198" i="9"/>
  <c r="G198" i="9" s="1"/>
  <c r="F202" i="9"/>
  <c r="G202" i="9" s="1"/>
  <c r="F207" i="9"/>
  <c r="G207" i="9" s="1"/>
  <c r="F216" i="9"/>
  <c r="G216" i="9" s="1"/>
  <c r="F225" i="9"/>
  <c r="G225" i="9" s="1"/>
  <c r="F230" i="9"/>
  <c r="G230" i="9" s="1"/>
  <c r="F234" i="9"/>
  <c r="G234" i="9" s="1"/>
  <c r="F239" i="9"/>
  <c r="G239" i="9" s="1"/>
  <c r="F248" i="9"/>
  <c r="G248" i="9" s="1"/>
  <c r="F257" i="9"/>
  <c r="G257" i="9" s="1"/>
  <c r="F262" i="9"/>
  <c r="G262" i="9" s="1"/>
  <c r="F266" i="9"/>
  <c r="G266" i="9" s="1"/>
  <c r="F271" i="9"/>
  <c r="G271" i="9" s="1"/>
  <c r="F280" i="9"/>
  <c r="G280" i="9" s="1"/>
  <c r="F289" i="9"/>
  <c r="G289" i="9" s="1"/>
  <c r="F294" i="9"/>
  <c r="G294" i="9" s="1"/>
  <c r="F298" i="9"/>
  <c r="G298" i="9" s="1"/>
  <c r="F303" i="9"/>
  <c r="G303" i="9" s="1"/>
  <c r="F312" i="9"/>
  <c r="G312" i="9" s="1"/>
  <c r="F13" i="9"/>
  <c r="G13" i="9" s="1"/>
  <c r="F16" i="9"/>
  <c r="G16" i="9" s="1"/>
  <c r="F25" i="9"/>
  <c r="G25" i="9" s="1"/>
  <c r="F31" i="9"/>
  <c r="G31" i="9" s="1"/>
  <c r="F34" i="9"/>
  <c r="G34" i="9" s="1"/>
  <c r="F51" i="9"/>
  <c r="G51" i="9" s="1"/>
  <c r="F60" i="9"/>
  <c r="G60" i="9" s="1"/>
  <c r="F83" i="9"/>
  <c r="G83" i="9" s="1"/>
  <c r="F92" i="9"/>
  <c r="G92" i="9" s="1"/>
  <c r="F115" i="9"/>
  <c r="G115" i="9" s="1"/>
  <c r="F124" i="9"/>
  <c r="G124" i="9" s="1"/>
  <c r="F147" i="9"/>
  <c r="G147" i="9" s="1"/>
  <c r="F156" i="9"/>
  <c r="G156" i="9" s="1"/>
  <c r="F179" i="9"/>
  <c r="G179" i="9" s="1"/>
  <c r="F188" i="9"/>
  <c r="G188" i="9" s="1"/>
  <c r="F211" i="9"/>
  <c r="G211" i="9" s="1"/>
  <c r="F220" i="9"/>
  <c r="G220" i="9" s="1"/>
  <c r="F229" i="9"/>
  <c r="G229" i="9" s="1"/>
  <c r="F22" i="9"/>
  <c r="G22" i="9" s="1"/>
  <c r="F47" i="9"/>
  <c r="G47" i="9" s="1"/>
  <c r="F50" i="9"/>
  <c r="G50" i="9" s="1"/>
  <c r="F55" i="9"/>
  <c r="G55" i="9" s="1"/>
  <c r="F64" i="9"/>
  <c r="G64" i="9" s="1"/>
  <c r="F69" i="9"/>
  <c r="G69" i="9" s="1"/>
  <c r="F73" i="9"/>
  <c r="G73" i="9" s="1"/>
  <c r="F78" i="9"/>
  <c r="G78" i="9" s="1"/>
  <c r="F82" i="9"/>
  <c r="G82" i="9" s="1"/>
  <c r="F87" i="9"/>
  <c r="G87" i="9" s="1"/>
  <c r="F96" i="9"/>
  <c r="G96" i="9" s="1"/>
  <c r="F101" i="9"/>
  <c r="G101" i="9" s="1"/>
  <c r="F105" i="9"/>
  <c r="G105" i="9" s="1"/>
  <c r="F110" i="9"/>
  <c r="G110" i="9" s="1"/>
  <c r="F114" i="9"/>
  <c r="G114" i="9" s="1"/>
  <c r="F119" i="9"/>
  <c r="G119" i="9" s="1"/>
  <c r="F128" i="9"/>
  <c r="G128" i="9" s="1"/>
  <c r="F133" i="9"/>
  <c r="G133" i="9" s="1"/>
  <c r="F137" i="9"/>
  <c r="G137" i="9" s="1"/>
  <c r="F142" i="9"/>
  <c r="G142" i="9" s="1"/>
  <c r="F146" i="9"/>
  <c r="G146" i="9" s="1"/>
  <c r="F151" i="9"/>
  <c r="G151" i="9" s="1"/>
  <c r="F160" i="9"/>
  <c r="G160" i="9" s="1"/>
  <c r="F165" i="9"/>
  <c r="G165" i="9" s="1"/>
  <c r="F169" i="9"/>
  <c r="G169" i="9" s="1"/>
  <c r="F33" i="9"/>
  <c r="G33" i="9" s="1"/>
  <c r="F39" i="9"/>
  <c r="G39" i="9" s="1"/>
  <c r="F43" i="9"/>
  <c r="G43" i="9" s="1"/>
  <c r="F59" i="9"/>
  <c r="G59" i="9" s="1"/>
  <c r="F68" i="9"/>
  <c r="G68" i="9" s="1"/>
  <c r="F91" i="9"/>
  <c r="G91" i="9" s="1"/>
  <c r="F100" i="9"/>
  <c r="G100" i="9" s="1"/>
  <c r="F123" i="9"/>
  <c r="G123" i="9" s="1"/>
  <c r="F132" i="9"/>
  <c r="G132" i="9" s="1"/>
  <c r="F155" i="9"/>
  <c r="G155" i="9" s="1"/>
  <c r="F164" i="9"/>
  <c r="G164" i="9" s="1"/>
  <c r="F12" i="9"/>
  <c r="G12" i="9" s="1"/>
  <c r="F21" i="9"/>
  <c r="G21" i="9" s="1"/>
  <c r="F30" i="9"/>
  <c r="G30" i="9" s="1"/>
  <c r="F36" i="9"/>
  <c r="G36" i="9" s="1"/>
  <c r="F42" i="9"/>
  <c r="G42" i="9" s="1"/>
  <c r="F46" i="9"/>
  <c r="G46" i="9" s="1"/>
  <c r="F54" i="9"/>
  <c r="G54" i="9" s="1"/>
  <c r="F58" i="9"/>
  <c r="G58" i="9" s="1"/>
  <c r="F63" i="9"/>
  <c r="G63" i="9" s="1"/>
  <c r="F72" i="9"/>
  <c r="G72" i="9" s="1"/>
  <c r="F77" i="9"/>
  <c r="G77" i="9" s="1"/>
  <c r="F81" i="9"/>
  <c r="G81" i="9" s="1"/>
  <c r="F86" i="9"/>
  <c r="G86" i="9" s="1"/>
  <c r="F90" i="9"/>
  <c r="G90" i="9" s="1"/>
  <c r="F95" i="9"/>
  <c r="G95" i="9" s="1"/>
  <c r="F104" i="9"/>
  <c r="G104" i="9" s="1"/>
  <c r="F109" i="9"/>
  <c r="G109" i="9" s="1"/>
  <c r="F113" i="9"/>
  <c r="G113" i="9" s="1"/>
  <c r="F118" i="9"/>
  <c r="G118" i="9" s="1"/>
  <c r="F122" i="9"/>
  <c r="G122" i="9" s="1"/>
  <c r="F127" i="9"/>
  <c r="G127" i="9" s="1"/>
  <c r="F136" i="9"/>
  <c r="G136" i="9" s="1"/>
  <c r="F141" i="9"/>
  <c r="G141" i="9" s="1"/>
  <c r="F145" i="9"/>
  <c r="G145" i="9" s="1"/>
  <c r="F150" i="9"/>
  <c r="G150" i="9" s="1"/>
  <c r="F154" i="9"/>
  <c r="G154" i="9" s="1"/>
  <c r="F159" i="9"/>
  <c r="G159" i="9" s="1"/>
  <c r="F168" i="9"/>
  <c r="G168" i="9" s="1"/>
  <c r="F173" i="9"/>
  <c r="G173" i="9" s="1"/>
  <c r="F177" i="9"/>
  <c r="G177" i="9" s="1"/>
  <c r="F182" i="9"/>
  <c r="G182" i="9" s="1"/>
  <c r="F186" i="9"/>
  <c r="G186" i="9" s="1"/>
  <c r="F191" i="9"/>
  <c r="G191" i="9" s="1"/>
  <c r="F200" i="9"/>
  <c r="G200" i="9" s="1"/>
  <c r="F205" i="9"/>
  <c r="G205" i="9" s="1"/>
  <c r="F209" i="9"/>
  <c r="G209" i="9" s="1"/>
  <c r="F214" i="9"/>
  <c r="G214" i="9" s="1"/>
  <c r="F218" i="9"/>
  <c r="G218" i="9" s="1"/>
  <c r="F223" i="9"/>
  <c r="G223" i="9" s="1"/>
  <c r="F232" i="9"/>
  <c r="G232" i="9" s="1"/>
  <c r="F241" i="9"/>
  <c r="G241" i="9" s="1"/>
  <c r="F246" i="9"/>
  <c r="G246" i="9" s="1"/>
  <c r="F250" i="9"/>
  <c r="G250" i="9" s="1"/>
  <c r="F255" i="9"/>
  <c r="G255" i="9" s="1"/>
  <c r="F264" i="9"/>
  <c r="G264" i="9" s="1"/>
  <c r="F273" i="9"/>
  <c r="G273" i="9" s="1"/>
  <c r="F278" i="9"/>
  <c r="G278" i="9" s="1"/>
  <c r="F282" i="9"/>
  <c r="G282" i="9" s="1"/>
  <c r="F287" i="9"/>
  <c r="G287" i="9" s="1"/>
  <c r="F296" i="9"/>
  <c r="G296" i="9" s="1"/>
  <c r="F305" i="9"/>
  <c r="G305" i="9" s="1"/>
  <c r="F310" i="9"/>
  <c r="G310" i="9" s="1"/>
  <c r="F314" i="9"/>
  <c r="G314" i="9" s="1"/>
  <c r="F174" i="9"/>
  <c r="G174" i="9" s="1"/>
  <c r="F176" i="9"/>
  <c r="G176" i="9" s="1"/>
  <c r="F178" i="9"/>
  <c r="G178" i="9" s="1"/>
  <c r="F185" i="9"/>
  <c r="G185" i="9" s="1"/>
  <c r="F190" i="9"/>
  <c r="G190" i="9" s="1"/>
  <c r="F197" i="9"/>
  <c r="G197" i="9" s="1"/>
  <c r="F221" i="9"/>
  <c r="G221" i="9" s="1"/>
  <c r="F228" i="9"/>
  <c r="G228" i="9" s="1"/>
  <c r="F252" i="9"/>
  <c r="G252" i="9" s="1"/>
  <c r="F261" i="9"/>
  <c r="G261" i="9" s="1"/>
  <c r="F301" i="9"/>
  <c r="G301" i="9" s="1"/>
  <c r="F192" i="9"/>
  <c r="G192" i="9" s="1"/>
  <c r="F199" i="9"/>
  <c r="G199" i="9" s="1"/>
  <c r="F235" i="9"/>
  <c r="G235" i="9" s="1"/>
  <c r="F242" i="9"/>
  <c r="G242" i="9" s="1"/>
  <c r="F267" i="9"/>
  <c r="G267" i="9" s="1"/>
  <c r="F270" i="9"/>
  <c r="G270" i="9" s="1"/>
  <c r="F276" i="9"/>
  <c r="G276" i="9" s="1"/>
  <c r="F279" i="9"/>
  <c r="G279" i="9" s="1"/>
  <c r="F288" i="9"/>
  <c r="G288" i="9" s="1"/>
  <c r="F291" i="9"/>
  <c r="G291" i="9" s="1"/>
  <c r="F297" i="9"/>
  <c r="G297" i="9" s="1"/>
  <c r="F306" i="9"/>
  <c r="G306" i="9" s="1"/>
  <c r="F316" i="9"/>
  <c r="G316" i="9" s="1"/>
  <c r="F180" i="9"/>
  <c r="G180" i="9" s="1"/>
  <c r="F187" i="9"/>
  <c r="G187" i="9" s="1"/>
  <c r="F194" i="9"/>
  <c r="G194" i="9" s="1"/>
  <c r="F201" i="9"/>
  <c r="G201" i="9" s="1"/>
  <c r="F206" i="9"/>
  <c r="G206" i="9" s="1"/>
  <c r="F237" i="9"/>
  <c r="G237" i="9" s="1"/>
  <c r="F245" i="9"/>
  <c r="G245" i="9" s="1"/>
  <c r="F285" i="9"/>
  <c r="G285" i="9" s="1"/>
  <c r="F300" i="9"/>
  <c r="G300" i="9" s="1"/>
  <c r="F309" i="9"/>
  <c r="G309" i="9" s="1"/>
  <c r="F208" i="9"/>
  <c r="G208" i="9" s="1"/>
  <c r="F251" i="9"/>
  <c r="G251" i="9" s="1"/>
  <c r="F254" i="9"/>
  <c r="G254" i="9" s="1"/>
  <c r="F260" i="9"/>
  <c r="G260" i="9" s="1"/>
  <c r="F263" i="9"/>
  <c r="G263" i="9" s="1"/>
  <c r="F272" i="9"/>
  <c r="G272" i="9" s="1"/>
  <c r="F275" i="9"/>
  <c r="G275" i="9" s="1"/>
  <c r="F281" i="9"/>
  <c r="G281" i="9" s="1"/>
  <c r="F290" i="9"/>
  <c r="G290" i="9" s="1"/>
  <c r="F315" i="9"/>
  <c r="G315" i="9" s="1"/>
  <c r="F196" i="9"/>
  <c r="G196" i="9" s="1"/>
  <c r="F203" i="9"/>
  <c r="G203" i="9" s="1"/>
  <c r="F210" i="9"/>
  <c r="G210" i="9" s="1"/>
  <c r="F215" i="9"/>
  <c r="G215" i="9" s="1"/>
  <c r="F222" i="9"/>
  <c r="G222" i="9" s="1"/>
  <c r="F269" i="9"/>
  <c r="G269" i="9" s="1"/>
  <c r="F284" i="9"/>
  <c r="G284" i="9" s="1"/>
  <c r="F293" i="9"/>
  <c r="G293" i="9" s="1"/>
  <c r="F217" i="9"/>
  <c r="G217" i="9" s="1"/>
  <c r="F224" i="9"/>
  <c r="G224" i="9" s="1"/>
  <c r="F244" i="9"/>
  <c r="G244" i="9" s="1"/>
  <c r="F247" i="9"/>
  <c r="G247" i="9" s="1"/>
  <c r="F256" i="9"/>
  <c r="G256" i="9" s="1"/>
  <c r="F259" i="9"/>
  <c r="G259" i="9" s="1"/>
  <c r="F265" i="9"/>
  <c r="G265" i="9" s="1"/>
  <c r="F274" i="9"/>
  <c r="G274" i="9" s="1"/>
  <c r="F299" i="9"/>
  <c r="G299" i="9" s="1"/>
  <c r="F302" i="9"/>
  <c r="G302" i="9" s="1"/>
  <c r="F308" i="9"/>
  <c r="G308" i="9" s="1"/>
  <c r="F311" i="9"/>
  <c r="G311" i="9" s="1"/>
  <c r="F318" i="9"/>
  <c r="G318" i="9" s="1"/>
  <c r="F181" i="9"/>
  <c r="G181" i="9" s="1"/>
  <c r="F212" i="9"/>
  <c r="G212" i="9" s="1"/>
  <c r="F226" i="9"/>
  <c r="G226" i="9" s="1"/>
  <c r="F231" i="9"/>
  <c r="G231" i="9" s="1"/>
  <c r="F238" i="9"/>
  <c r="G238" i="9" s="1"/>
  <c r="F253" i="9"/>
  <c r="G253" i="9" s="1"/>
  <c r="F268" i="9"/>
  <c r="G268" i="9" s="1"/>
  <c r="F277" i="9"/>
  <c r="G277" i="9" s="1"/>
  <c r="F183" i="9"/>
  <c r="G183" i="9" s="1"/>
  <c r="F219" i="9"/>
  <c r="G219" i="9" s="1"/>
  <c r="F233" i="9"/>
  <c r="G233" i="9" s="1"/>
  <c r="F240" i="9"/>
  <c r="G240" i="9" s="1"/>
  <c r="F243" i="9"/>
  <c r="G243" i="9" s="1"/>
  <c r="F249" i="9"/>
  <c r="G249" i="9" s="1"/>
  <c r="F258" i="9"/>
  <c r="G258" i="9" s="1"/>
  <c r="F283" i="9"/>
  <c r="G283" i="9" s="1"/>
  <c r="F286" i="9"/>
  <c r="G286" i="9" s="1"/>
  <c r="F292" i="9"/>
  <c r="G292" i="9" s="1"/>
  <c r="F295" i="9"/>
  <c r="G295" i="9" s="1"/>
  <c r="F304" i="9"/>
  <c r="G304" i="9" s="1"/>
  <c r="F307" i="9"/>
  <c r="G307" i="9" s="1"/>
  <c r="F313" i="9"/>
  <c r="G313" i="9" s="1"/>
  <c r="F317" i="9"/>
  <c r="G317" i="9" s="1"/>
  <c r="F11" i="9"/>
  <c r="M210" i="25"/>
  <c r="M230" i="25"/>
  <c r="M42" i="25"/>
  <c r="M214" i="25"/>
  <c r="M24" i="25"/>
  <c r="M313" i="25"/>
  <c r="M69" i="25"/>
  <c r="M51" i="25"/>
  <c r="M296" i="25"/>
  <c r="M36" i="25"/>
  <c r="M166" i="25"/>
  <c r="M144" i="25"/>
  <c r="M149" i="25"/>
  <c r="M141" i="25"/>
  <c r="M282" i="25"/>
  <c r="M148" i="25"/>
  <c r="M150" i="25"/>
  <c r="M195" i="25"/>
  <c r="M260" i="25"/>
  <c r="M70" i="25"/>
  <c r="M262" i="25"/>
  <c r="M186" i="25"/>
  <c r="M263" i="25"/>
  <c r="M132" i="25"/>
  <c r="M138" i="25"/>
  <c r="M261" i="25"/>
  <c r="M293" i="25"/>
  <c r="M95" i="25"/>
  <c r="M120" i="25"/>
  <c r="M270" i="25"/>
  <c r="M227" i="25"/>
  <c r="M220" i="25"/>
  <c r="M235" i="25"/>
  <c r="M251" i="25"/>
  <c r="M268" i="25"/>
  <c r="M267" i="25"/>
  <c r="M199" i="25"/>
  <c r="M307" i="25"/>
  <c r="M45" i="25"/>
  <c r="M40" i="25"/>
  <c r="M237" i="25"/>
  <c r="M25" i="25"/>
  <c r="M27" i="25"/>
  <c r="M203" i="25"/>
  <c r="M88" i="25"/>
  <c r="M41" i="25"/>
  <c r="M71" i="25"/>
  <c r="M82" i="25"/>
  <c r="M134" i="25"/>
  <c r="M277" i="25"/>
  <c r="M161" i="25"/>
  <c r="M13" i="25"/>
  <c r="M250" i="25"/>
  <c r="M194" i="25"/>
  <c r="M118" i="25"/>
  <c r="M206" i="25"/>
  <c r="M107" i="25"/>
  <c r="M91" i="25"/>
  <c r="M35" i="25"/>
  <c r="M30" i="25"/>
  <c r="M175" i="25"/>
  <c r="M124" i="25"/>
  <c r="M145" i="25"/>
  <c r="M121" i="25"/>
  <c r="M21" i="25"/>
  <c r="M285" i="25"/>
  <c r="M84" i="25"/>
  <c r="M256" i="25"/>
  <c r="M156" i="25"/>
  <c r="M33" i="25"/>
  <c r="M90" i="25"/>
  <c r="M119" i="25"/>
  <c r="M8" i="25"/>
  <c r="M154" i="25"/>
  <c r="M16" i="25"/>
  <c r="M54" i="25"/>
  <c r="M122" i="25"/>
  <c r="M81" i="25"/>
  <c r="M257" i="25"/>
  <c r="M10" i="25"/>
  <c r="M252" i="25"/>
  <c r="M64" i="25"/>
  <c r="M160" i="25"/>
  <c r="M273" i="25"/>
  <c r="M61" i="25"/>
  <c r="M32" i="25"/>
  <c r="M311" i="25"/>
  <c r="M73" i="25"/>
  <c r="M213" i="25"/>
  <c r="M240" i="25"/>
  <c r="M191" i="25"/>
  <c r="M7" i="25"/>
  <c r="M34" i="25"/>
  <c r="M299" i="25"/>
  <c r="M74" i="25"/>
  <c r="M300" i="25"/>
  <c r="M11" i="25"/>
  <c r="M284" i="25"/>
  <c r="M275" i="25"/>
  <c r="M171" i="25"/>
  <c r="M93" i="25"/>
  <c r="M193" i="25"/>
  <c r="M55" i="25"/>
  <c r="M200" i="25"/>
  <c r="M28" i="25"/>
  <c r="M43" i="25"/>
  <c r="M202" i="25"/>
  <c r="M77" i="25"/>
  <c r="M165" i="25"/>
  <c r="M80" i="25"/>
  <c r="M239" i="25"/>
  <c r="M48" i="25"/>
  <c r="M115" i="25"/>
  <c r="M188" i="25"/>
  <c r="M309" i="25"/>
  <c r="M63" i="25"/>
  <c r="M301" i="25"/>
  <c r="M177" i="25"/>
  <c r="M155" i="25"/>
  <c r="M269" i="25"/>
  <c r="M22" i="25"/>
  <c r="M176" i="25"/>
  <c r="M178" i="25"/>
  <c r="M15" i="25"/>
  <c r="M241" i="25"/>
  <c r="M279" i="25"/>
  <c r="M189" i="25"/>
  <c r="M236" i="25"/>
  <c r="M164" i="25"/>
  <c r="M157" i="25"/>
  <c r="M101" i="25"/>
  <c r="M143" i="25"/>
  <c r="M274" i="25"/>
  <c r="M151" i="25"/>
  <c r="M231" i="25"/>
  <c r="M31" i="25"/>
  <c r="M46" i="25"/>
  <c r="M162" i="25"/>
  <c r="M304" i="25"/>
  <c r="M87" i="25"/>
  <c r="M86" i="25"/>
  <c r="M249" i="25"/>
  <c r="M153" i="25"/>
  <c r="M265" i="25"/>
  <c r="M139" i="25"/>
  <c r="M302" i="25"/>
  <c r="M211" i="25"/>
  <c r="M207" i="25"/>
  <c r="M283" i="25"/>
  <c r="M222" i="25"/>
  <c r="M29" i="25"/>
  <c r="M174" i="25"/>
  <c r="M23" i="25"/>
  <c r="M116" i="25"/>
  <c r="M276" i="25"/>
  <c r="M168" i="25"/>
  <c r="M280" i="25"/>
  <c r="M184" i="25"/>
  <c r="M67" i="25"/>
  <c r="M50" i="25"/>
  <c r="M72" i="25"/>
  <c r="M204" i="25"/>
  <c r="M152" i="25"/>
  <c r="M53" i="25"/>
  <c r="M100" i="25"/>
  <c r="M136" i="25"/>
  <c r="M242" i="25"/>
  <c r="M219" i="25"/>
  <c r="M192" i="25"/>
  <c r="M183" i="25"/>
  <c r="M38" i="25"/>
  <c r="M216" i="25"/>
  <c r="M113" i="25"/>
  <c r="M167" i="25"/>
  <c r="M78" i="25"/>
  <c r="M226" i="25"/>
  <c r="M97" i="25"/>
  <c r="M133" i="25"/>
  <c r="M103" i="25"/>
  <c r="M76" i="25"/>
  <c r="M278" i="25"/>
  <c r="M163" i="25"/>
  <c r="M305" i="25"/>
  <c r="M312" i="25"/>
  <c r="M131" i="25"/>
  <c r="M221" i="25"/>
  <c r="M254" i="25"/>
  <c r="M79" i="25"/>
  <c r="M185" i="25"/>
  <c r="M117" i="25"/>
  <c r="M290" i="25"/>
  <c r="M18" i="25"/>
  <c r="M98" i="25"/>
  <c r="M180" i="25"/>
  <c r="M65" i="25"/>
  <c r="M123" i="25"/>
  <c r="M182" i="25"/>
  <c r="M272" i="25"/>
  <c r="M187" i="25"/>
  <c r="M112" i="25"/>
  <c r="M255" i="25"/>
  <c r="M92" i="25"/>
  <c r="M223" i="25"/>
  <c r="M217" i="25"/>
  <c r="M181" i="25"/>
  <c r="M258" i="25"/>
  <c r="M229" i="25"/>
  <c r="M49" i="25"/>
  <c r="M215" i="25"/>
  <c r="M297" i="25"/>
  <c r="M110" i="25"/>
  <c r="M228" i="25"/>
  <c r="M68" i="25"/>
  <c r="M225" i="25"/>
  <c r="M208" i="25"/>
  <c r="M12" i="25"/>
  <c r="M179" i="25"/>
  <c r="M14" i="25"/>
  <c r="M37" i="25"/>
  <c r="M102" i="25"/>
  <c r="M306" i="25"/>
  <c r="M56" i="25"/>
  <c r="M288" i="25"/>
  <c r="M140" i="25"/>
  <c r="M96" i="25"/>
  <c r="M224" i="25"/>
  <c r="M109" i="25"/>
  <c r="M75" i="25"/>
  <c r="M209" i="25"/>
  <c r="M89" i="25"/>
  <c r="M170" i="25"/>
  <c r="M281" i="25"/>
  <c r="M135" i="25"/>
  <c r="M83" i="25"/>
  <c r="M137" i="25"/>
  <c r="M146" i="25"/>
  <c r="M159" i="25"/>
  <c r="M173" i="25"/>
  <c r="M201" i="25"/>
  <c r="M52" i="25"/>
  <c r="M232" i="25"/>
  <c r="M264" i="25"/>
  <c r="M248" i="25"/>
  <c r="M106" i="25"/>
  <c r="M172" i="25"/>
  <c r="M196" i="25"/>
  <c r="M245" i="25"/>
  <c r="M308" i="25"/>
  <c r="M60" i="25"/>
  <c r="M105" i="25"/>
  <c r="M111" i="25"/>
  <c r="M108" i="25"/>
  <c r="M197" i="25"/>
  <c r="M125" i="25"/>
  <c r="M59" i="25"/>
  <c r="M266" i="25"/>
  <c r="M234" i="25"/>
  <c r="M259" i="25"/>
  <c r="M295" i="25"/>
  <c r="M66" i="25"/>
  <c r="M130" i="25"/>
  <c r="M62" i="25"/>
  <c r="M114" i="25"/>
  <c r="M310" i="25"/>
  <c r="M212" i="25"/>
  <c r="M20" i="25"/>
  <c r="M47" i="25"/>
  <c r="M253" i="25"/>
  <c r="M286" i="25"/>
  <c r="M158" i="25"/>
  <c r="M205" i="25"/>
  <c r="M94" i="25"/>
  <c r="M247" i="25"/>
  <c r="M142" i="25"/>
  <c r="M85" i="25"/>
  <c r="M294" i="25"/>
  <c r="M298" i="25"/>
  <c r="M238" i="25"/>
  <c r="M233" i="25"/>
  <c r="M129" i="25"/>
  <c r="M198" i="25"/>
  <c r="M19" i="25"/>
  <c r="M9" i="25"/>
  <c r="M127" i="25"/>
  <c r="M126" i="25"/>
  <c r="M147" i="25"/>
  <c r="M44" i="25"/>
  <c r="M190" i="25"/>
  <c r="M292" i="25"/>
  <c r="M303" i="25"/>
  <c r="M246" i="25"/>
  <c r="M26" i="25"/>
  <c r="M271" i="25"/>
  <c r="M291" i="25"/>
  <c r="M289" i="25"/>
  <c r="M128" i="25"/>
  <c r="M58" i="25"/>
  <c r="M99" i="25"/>
  <c r="M17" i="25"/>
  <c r="M244" i="25"/>
  <c r="M287" i="25"/>
  <c r="M39" i="25"/>
  <c r="M57" i="25"/>
  <c r="K41" i="40"/>
  <c r="K42" i="40" s="1"/>
  <c r="I313" i="37"/>
  <c r="F30" i="48"/>
  <c r="F313" i="37"/>
  <c r="O6" i="49"/>
  <c r="E48" i="48"/>
  <c r="F48" i="48" s="1"/>
  <c r="F50" i="48" s="1"/>
  <c r="D289" i="39" l="1"/>
  <c r="D289" i="12"/>
  <c r="D227" i="39"/>
  <c r="D227" i="12"/>
  <c r="D220" i="39"/>
  <c r="D220" i="12"/>
  <c r="D268" i="39"/>
  <c r="D268" i="12"/>
  <c r="D287" i="39"/>
  <c r="D287" i="12"/>
  <c r="D309" i="12"/>
  <c r="D309" i="39"/>
  <c r="D245" i="39"/>
  <c r="D245" i="12"/>
  <c r="D195" i="39"/>
  <c r="D195" i="12"/>
  <c r="D282" i="12"/>
  <c r="D282" i="39"/>
  <c r="D186" i="39"/>
  <c r="D186" i="12"/>
  <c r="D179" i="39"/>
  <c r="D179" i="12"/>
  <c r="D281" i="39"/>
  <c r="D281" i="12"/>
  <c r="D235" i="39"/>
  <c r="D235" i="12"/>
  <c r="D185" i="39"/>
  <c r="D185" i="12"/>
  <c r="D144" i="39"/>
  <c r="D144" i="12"/>
  <c r="D103" i="12"/>
  <c r="D103" i="39"/>
  <c r="D57" i="39"/>
  <c r="D57" i="12"/>
  <c r="D6" i="12"/>
  <c r="D6" i="39"/>
  <c r="D53" i="39"/>
  <c r="D53" i="12"/>
  <c r="D140" i="39"/>
  <c r="D140" i="12"/>
  <c r="D99" i="12"/>
  <c r="D99" i="39"/>
  <c r="D58" i="39"/>
  <c r="D58" i="12"/>
  <c r="D205" i="12"/>
  <c r="D205" i="39"/>
  <c r="D77" i="12"/>
  <c r="D77" i="39"/>
  <c r="D306" i="39"/>
  <c r="D306" i="12"/>
  <c r="D256" i="39"/>
  <c r="D256" i="12"/>
  <c r="D201" i="39"/>
  <c r="D201" i="12"/>
  <c r="D160" i="39"/>
  <c r="D160" i="12"/>
  <c r="D119" i="12"/>
  <c r="D119" i="39"/>
  <c r="D73" i="39"/>
  <c r="D73" i="12"/>
  <c r="D22" i="12"/>
  <c r="D22" i="39"/>
  <c r="D46" i="39"/>
  <c r="D46" i="12"/>
  <c r="D129" i="12"/>
  <c r="D129" i="39"/>
  <c r="D88" i="39"/>
  <c r="D88" i="12"/>
  <c r="D47" i="12"/>
  <c r="D47" i="39"/>
  <c r="D230" i="39"/>
  <c r="D230" i="12"/>
  <c r="D125" i="12"/>
  <c r="D125" i="39"/>
  <c r="D26" i="12"/>
  <c r="D26" i="39"/>
  <c r="D286" i="39"/>
  <c r="D286" i="12"/>
  <c r="D213" i="12"/>
  <c r="D213" i="39"/>
  <c r="D206" i="12"/>
  <c r="D206" i="39"/>
  <c r="D259" i="39"/>
  <c r="D259" i="12"/>
  <c r="D278" i="39"/>
  <c r="D278" i="12"/>
  <c r="D284" i="39"/>
  <c r="D284" i="12"/>
  <c r="D202" i="39"/>
  <c r="D202" i="12"/>
  <c r="D188" i="12"/>
  <c r="D188" i="39"/>
  <c r="D273" i="39"/>
  <c r="D273" i="12"/>
  <c r="D295" i="39"/>
  <c r="D295" i="12"/>
  <c r="D172" i="12"/>
  <c r="D172" i="39"/>
  <c r="D276" i="39"/>
  <c r="D276" i="12"/>
  <c r="D226" i="12"/>
  <c r="D226" i="39"/>
  <c r="D180" i="12"/>
  <c r="D180" i="39"/>
  <c r="D139" i="12"/>
  <c r="D139" i="39"/>
  <c r="D98" i="39"/>
  <c r="D98" i="12"/>
  <c r="D52" i="39"/>
  <c r="D52" i="12"/>
  <c r="D158" i="39"/>
  <c r="D158" i="12"/>
  <c r="D37" i="12"/>
  <c r="D37" i="39"/>
  <c r="D136" i="39"/>
  <c r="D136" i="12"/>
  <c r="D95" i="39"/>
  <c r="D95" i="12"/>
  <c r="D49" i="39"/>
  <c r="D49" i="12"/>
  <c r="D182" i="39"/>
  <c r="D182" i="12"/>
  <c r="D54" i="39"/>
  <c r="D54" i="12"/>
  <c r="D297" i="39"/>
  <c r="D297" i="12"/>
  <c r="D251" i="39"/>
  <c r="D251" i="12"/>
  <c r="D196" i="39"/>
  <c r="D196" i="12"/>
  <c r="D155" i="12"/>
  <c r="D155" i="39"/>
  <c r="D114" i="12"/>
  <c r="D114" i="39"/>
  <c r="D68" i="39"/>
  <c r="D68" i="12"/>
  <c r="D165" i="39"/>
  <c r="D165" i="12"/>
  <c r="D42" i="39"/>
  <c r="D42" i="12"/>
  <c r="D124" i="39"/>
  <c r="D124" i="12"/>
  <c r="D83" i="12"/>
  <c r="D83" i="39"/>
  <c r="D35" i="12"/>
  <c r="D35" i="39"/>
  <c r="D221" i="12"/>
  <c r="D221" i="39"/>
  <c r="D102" i="39"/>
  <c r="D102" i="12"/>
  <c r="D21" i="39"/>
  <c r="D21" i="12"/>
  <c r="D280" i="39"/>
  <c r="D280" i="12"/>
  <c r="D177" i="12"/>
  <c r="D177" i="39"/>
  <c r="D175" i="39"/>
  <c r="D175" i="12"/>
  <c r="D253" i="12"/>
  <c r="D253" i="39"/>
  <c r="D263" i="39"/>
  <c r="D263" i="12"/>
  <c r="D275" i="39"/>
  <c r="D275" i="12"/>
  <c r="D303" i="39"/>
  <c r="D303" i="12"/>
  <c r="D181" i="39"/>
  <c r="D181" i="12"/>
  <c r="D270" i="39"/>
  <c r="D270" i="12"/>
  <c r="D255" i="39"/>
  <c r="D255" i="12"/>
  <c r="D170" i="39"/>
  <c r="D170" i="12"/>
  <c r="D272" i="39"/>
  <c r="D272" i="12"/>
  <c r="D217" i="12"/>
  <c r="D217" i="39"/>
  <c r="D176" i="12"/>
  <c r="D176" i="39"/>
  <c r="D135" i="12"/>
  <c r="D135" i="39"/>
  <c r="D89" i="12"/>
  <c r="D89" i="39"/>
  <c r="D48" i="39"/>
  <c r="D48" i="12"/>
  <c r="D149" i="12"/>
  <c r="D149" i="39"/>
  <c r="D33" i="12"/>
  <c r="D33" i="39"/>
  <c r="D131" i="12"/>
  <c r="D131" i="39"/>
  <c r="D90" i="12"/>
  <c r="D90" i="39"/>
  <c r="D44" i="39"/>
  <c r="D44" i="12"/>
  <c r="D173" i="39"/>
  <c r="D173" i="12"/>
  <c r="D45" i="12"/>
  <c r="D45" i="39"/>
  <c r="D292" i="39"/>
  <c r="D292" i="12"/>
  <c r="D242" i="12"/>
  <c r="D242" i="39"/>
  <c r="D192" i="12"/>
  <c r="D192" i="39"/>
  <c r="D151" i="12"/>
  <c r="D151" i="39"/>
  <c r="D105" i="12"/>
  <c r="D105" i="39"/>
  <c r="D64" i="39"/>
  <c r="D64" i="12"/>
  <c r="D142" i="39"/>
  <c r="D142" i="12"/>
  <c r="D161" i="12"/>
  <c r="D161" i="39"/>
  <c r="D120" i="39"/>
  <c r="D120" i="12"/>
  <c r="D79" i="12"/>
  <c r="D79" i="39"/>
  <c r="D32" i="39"/>
  <c r="D32" i="12"/>
  <c r="D207" i="39"/>
  <c r="D207" i="12"/>
  <c r="D93" i="12"/>
  <c r="D93" i="39"/>
  <c r="D17" i="39"/>
  <c r="D17" i="12"/>
  <c r="D277" i="39"/>
  <c r="D277" i="12"/>
  <c r="D271" i="39"/>
  <c r="D271" i="12"/>
  <c r="D312" i="39"/>
  <c r="D312" i="12"/>
  <c r="D250" i="39"/>
  <c r="D250" i="12"/>
  <c r="D216" i="39"/>
  <c r="D216" i="12"/>
  <c r="D269" i="12"/>
  <c r="D269" i="39"/>
  <c r="D294" i="12"/>
  <c r="D294" i="39"/>
  <c r="D174" i="39"/>
  <c r="D174" i="12"/>
  <c r="D264" i="39"/>
  <c r="D264" i="12"/>
  <c r="D246" i="39"/>
  <c r="D246" i="12"/>
  <c r="D168" i="39"/>
  <c r="D168" i="12"/>
  <c r="D267" i="39"/>
  <c r="D267" i="12"/>
  <c r="D212" i="39"/>
  <c r="D212" i="12"/>
  <c r="D171" i="39"/>
  <c r="D171" i="12"/>
  <c r="D130" i="39"/>
  <c r="D130" i="12"/>
  <c r="D84" i="39"/>
  <c r="D84" i="12"/>
  <c r="D40" i="39"/>
  <c r="D40" i="12"/>
  <c r="D126" i="39"/>
  <c r="D126" i="12"/>
  <c r="D27" i="39"/>
  <c r="D27" i="12"/>
  <c r="D127" i="12"/>
  <c r="D127" i="39"/>
  <c r="D81" i="12"/>
  <c r="D81" i="39"/>
  <c r="D41" i="39"/>
  <c r="D41" i="12"/>
  <c r="D150" i="39"/>
  <c r="D150" i="12"/>
  <c r="D28" i="12"/>
  <c r="D28" i="39"/>
  <c r="D288" i="39"/>
  <c r="D288" i="12"/>
  <c r="D233" i="12"/>
  <c r="D233" i="39"/>
  <c r="D187" i="39"/>
  <c r="D187" i="12"/>
  <c r="D146" i="39"/>
  <c r="D146" i="12"/>
  <c r="D100" i="39"/>
  <c r="D100" i="12"/>
  <c r="D59" i="12"/>
  <c r="D59" i="39"/>
  <c r="D133" i="12"/>
  <c r="D133" i="39"/>
  <c r="D156" i="39"/>
  <c r="D156" i="12"/>
  <c r="D115" i="12"/>
  <c r="D115" i="39"/>
  <c r="D74" i="39"/>
  <c r="D74" i="12"/>
  <c r="D29" i="39"/>
  <c r="D29" i="12"/>
  <c r="D198" i="39"/>
  <c r="D198" i="12"/>
  <c r="D70" i="39"/>
  <c r="D70" i="12"/>
  <c r="D12" i="12"/>
  <c r="D12" i="39"/>
  <c r="D311" i="39"/>
  <c r="D311" i="12"/>
  <c r="D252" i="39"/>
  <c r="D252" i="12"/>
  <c r="D262" i="39"/>
  <c r="D262" i="12"/>
  <c r="D305" i="39"/>
  <c r="D305" i="12"/>
  <c r="D241" i="12"/>
  <c r="D241" i="39"/>
  <c r="D209" i="12"/>
  <c r="D209" i="39"/>
  <c r="D266" i="12"/>
  <c r="D266" i="39"/>
  <c r="D279" i="39"/>
  <c r="D279" i="12"/>
  <c r="D310" i="39"/>
  <c r="D310" i="12"/>
  <c r="D261" i="39"/>
  <c r="D261" i="12"/>
  <c r="D222" i="12"/>
  <c r="D222" i="39"/>
  <c r="D308" i="39"/>
  <c r="D308" i="12"/>
  <c r="D258" i="12"/>
  <c r="D258" i="39"/>
  <c r="D208" i="39"/>
  <c r="D208" i="12"/>
  <c r="D167" i="39"/>
  <c r="D167" i="12"/>
  <c r="D121" i="12"/>
  <c r="D121" i="39"/>
  <c r="D80" i="39"/>
  <c r="D80" i="12"/>
  <c r="D36" i="39"/>
  <c r="D36" i="12"/>
  <c r="D117" i="12"/>
  <c r="D117" i="39"/>
  <c r="D163" i="12"/>
  <c r="D163" i="39"/>
  <c r="D122" i="39"/>
  <c r="D122" i="12"/>
  <c r="D76" i="39"/>
  <c r="D76" i="12"/>
  <c r="D141" i="39"/>
  <c r="D141" i="12"/>
  <c r="D25" i="39"/>
  <c r="D25" i="12"/>
  <c r="D283" i="39"/>
  <c r="D283" i="12"/>
  <c r="D228" i="39"/>
  <c r="D228" i="12"/>
  <c r="D183" i="39"/>
  <c r="D183" i="12"/>
  <c r="D137" i="12"/>
  <c r="D137" i="39"/>
  <c r="D96" i="39"/>
  <c r="D96" i="12"/>
  <c r="D55" i="12"/>
  <c r="D55" i="39"/>
  <c r="D110" i="12"/>
  <c r="D110" i="39"/>
  <c r="D152" i="39"/>
  <c r="D152" i="12"/>
  <c r="D111" i="12"/>
  <c r="D111" i="39"/>
  <c r="D65" i="12"/>
  <c r="D65" i="39"/>
  <c r="D23" i="39"/>
  <c r="D23" i="12"/>
  <c r="D189" i="12"/>
  <c r="D189" i="39"/>
  <c r="D61" i="39"/>
  <c r="D61" i="12"/>
  <c r="D8" i="12"/>
  <c r="D8" i="39"/>
  <c r="D307" i="39"/>
  <c r="D307" i="12"/>
  <c r="D243" i="39"/>
  <c r="D243" i="12"/>
  <c r="D247" i="39"/>
  <c r="D247" i="12"/>
  <c r="D302" i="39"/>
  <c r="D302" i="12"/>
  <c r="D238" i="12"/>
  <c r="D238" i="39"/>
  <c r="D204" i="39"/>
  <c r="D204" i="12"/>
  <c r="D257" i="12"/>
  <c r="D257" i="39"/>
  <c r="D239" i="39"/>
  <c r="D239" i="12"/>
  <c r="D300" i="39"/>
  <c r="D300" i="12"/>
  <c r="D236" i="39"/>
  <c r="D236" i="12"/>
  <c r="D215" i="39"/>
  <c r="D215" i="12"/>
  <c r="D304" i="39"/>
  <c r="D304" i="12"/>
  <c r="D249" i="12"/>
  <c r="D249" i="39"/>
  <c r="D203" i="39"/>
  <c r="D203" i="12"/>
  <c r="D162" i="39"/>
  <c r="D162" i="12"/>
  <c r="D116" i="39"/>
  <c r="D116" i="12"/>
  <c r="D75" i="12"/>
  <c r="D75" i="39"/>
  <c r="D30" i="12"/>
  <c r="D30" i="39"/>
  <c r="D94" i="39"/>
  <c r="D94" i="12"/>
  <c r="D159" i="12"/>
  <c r="D159" i="39"/>
  <c r="D113" i="12"/>
  <c r="D113" i="39"/>
  <c r="D72" i="39"/>
  <c r="D72" i="12"/>
  <c r="D16" i="12"/>
  <c r="D16" i="39"/>
  <c r="D118" i="39"/>
  <c r="D118" i="12"/>
  <c r="D19" i="39"/>
  <c r="D19" i="12"/>
  <c r="D274" i="12"/>
  <c r="D274" i="39"/>
  <c r="D224" i="39"/>
  <c r="D224" i="12"/>
  <c r="D178" i="39"/>
  <c r="D178" i="12"/>
  <c r="D132" i="39"/>
  <c r="D132" i="12"/>
  <c r="D91" i="39"/>
  <c r="D91" i="12"/>
  <c r="D50" i="39"/>
  <c r="D50" i="12"/>
  <c r="D101" i="12"/>
  <c r="D101" i="39"/>
  <c r="D147" i="12"/>
  <c r="D147" i="39"/>
  <c r="D106" i="39"/>
  <c r="D106" i="12"/>
  <c r="D60" i="39"/>
  <c r="D60" i="12"/>
  <c r="D20" i="12"/>
  <c r="D20" i="39"/>
  <c r="D166" i="39"/>
  <c r="D166" i="12"/>
  <c r="D43" i="12"/>
  <c r="D43" i="39"/>
  <c r="D18" i="12"/>
  <c r="D18" i="39"/>
  <c r="D301" i="12"/>
  <c r="D301" i="39"/>
  <c r="D237" i="12"/>
  <c r="D237" i="39"/>
  <c r="D232" i="39"/>
  <c r="D232" i="12"/>
  <c r="D296" i="39"/>
  <c r="D296" i="12"/>
  <c r="D218" i="39"/>
  <c r="D218" i="12"/>
  <c r="D197" i="39"/>
  <c r="D197" i="12"/>
  <c r="D254" i="12"/>
  <c r="D254" i="39"/>
  <c r="D231" i="39"/>
  <c r="D231" i="12"/>
  <c r="D291" i="39"/>
  <c r="D291" i="12"/>
  <c r="D229" i="12"/>
  <c r="D229" i="39"/>
  <c r="D191" i="39"/>
  <c r="D191" i="12"/>
  <c r="D299" i="39"/>
  <c r="D299" i="12"/>
  <c r="D244" i="39"/>
  <c r="D244" i="12"/>
  <c r="D199" i="39"/>
  <c r="D199" i="12"/>
  <c r="D153" i="12"/>
  <c r="D153" i="39"/>
  <c r="D112" i="39"/>
  <c r="D112" i="12"/>
  <c r="D71" i="12"/>
  <c r="D71" i="39"/>
  <c r="D24" i="12"/>
  <c r="D24" i="39"/>
  <c r="D85" i="12"/>
  <c r="D85" i="39"/>
  <c r="D154" i="39"/>
  <c r="D154" i="12"/>
  <c r="D108" i="39"/>
  <c r="D108" i="12"/>
  <c r="D67" i="12"/>
  <c r="D67" i="39"/>
  <c r="D223" i="39"/>
  <c r="D223" i="12"/>
  <c r="D109" i="12"/>
  <c r="D109" i="39"/>
  <c r="D10" i="12"/>
  <c r="D10" i="39"/>
  <c r="D265" i="39"/>
  <c r="D265" i="12"/>
  <c r="D219" i="39"/>
  <c r="D219" i="12"/>
  <c r="D169" i="12"/>
  <c r="D169" i="39"/>
  <c r="D128" i="39"/>
  <c r="D128" i="12"/>
  <c r="D87" i="12"/>
  <c r="D87" i="39"/>
  <c r="D38" i="39"/>
  <c r="D38" i="12"/>
  <c r="D78" i="39"/>
  <c r="D78" i="12"/>
  <c r="D143" i="12"/>
  <c r="D143" i="39"/>
  <c r="D97" i="12"/>
  <c r="D97" i="39"/>
  <c r="D56" i="39"/>
  <c r="D56" i="12"/>
  <c r="D14" i="39"/>
  <c r="D14" i="12"/>
  <c r="D157" i="12"/>
  <c r="D157" i="39"/>
  <c r="D39" i="12"/>
  <c r="D39" i="39"/>
  <c r="D13" i="39"/>
  <c r="D13" i="12"/>
  <c r="D298" i="12"/>
  <c r="D298" i="39"/>
  <c r="D234" i="39"/>
  <c r="D234" i="12"/>
  <c r="D225" i="12"/>
  <c r="D225" i="39"/>
  <c r="D293" i="39"/>
  <c r="D293" i="12"/>
  <c r="D211" i="39"/>
  <c r="D211" i="12"/>
  <c r="D190" i="39"/>
  <c r="D190" i="12"/>
  <c r="D248" i="39"/>
  <c r="D248" i="12"/>
  <c r="D200" i="39"/>
  <c r="D200" i="12"/>
  <c r="D285" i="12"/>
  <c r="D285" i="39"/>
  <c r="D193" i="12"/>
  <c r="D193" i="39"/>
  <c r="D184" i="39"/>
  <c r="D184" i="12"/>
  <c r="D290" i="12"/>
  <c r="D290" i="39"/>
  <c r="D240" i="39"/>
  <c r="D240" i="12"/>
  <c r="D194" i="39"/>
  <c r="D194" i="12"/>
  <c r="D148" i="39"/>
  <c r="D148" i="12"/>
  <c r="D107" i="12"/>
  <c r="D107" i="39"/>
  <c r="D66" i="39"/>
  <c r="D66" i="12"/>
  <c r="D15" i="39"/>
  <c r="D15" i="12"/>
  <c r="D62" i="39"/>
  <c r="D62" i="12"/>
  <c r="D145" i="12"/>
  <c r="D145" i="39"/>
  <c r="D104" i="39"/>
  <c r="D104" i="12"/>
  <c r="D63" i="12"/>
  <c r="D63" i="39"/>
  <c r="D214" i="39"/>
  <c r="D214" i="12"/>
  <c r="D86" i="39"/>
  <c r="D86" i="12"/>
  <c r="D7" i="39"/>
  <c r="D7" i="12"/>
  <c r="D260" i="39"/>
  <c r="D260" i="12"/>
  <c r="D210" i="12"/>
  <c r="D210" i="39"/>
  <c r="D164" i="12"/>
  <c r="D164" i="39"/>
  <c r="D123" i="39"/>
  <c r="D123" i="12"/>
  <c r="D82" i="39"/>
  <c r="D82" i="12"/>
  <c r="D31" i="12"/>
  <c r="D31" i="39"/>
  <c r="D69" i="12"/>
  <c r="D69" i="39"/>
  <c r="D138" i="39"/>
  <c r="D138" i="12"/>
  <c r="D92" i="39"/>
  <c r="D92" i="12"/>
  <c r="D51" i="12"/>
  <c r="D51" i="39"/>
  <c r="D11" i="39"/>
  <c r="D11" i="12"/>
  <c r="D134" i="39"/>
  <c r="D134" i="12"/>
  <c r="D34" i="39"/>
  <c r="D34" i="12"/>
  <c r="D9" i="39"/>
  <c r="D9" i="12"/>
  <c r="H42" i="40"/>
  <c r="C42" i="40" s="1"/>
  <c r="N4" i="11" s="1"/>
  <c r="M6" i="25"/>
  <c r="M314" i="25" s="1"/>
  <c r="F144" i="25"/>
  <c r="F158" i="25"/>
  <c r="F288" i="25"/>
  <c r="F305" i="25"/>
  <c r="F289" i="25"/>
  <c r="F273" i="25"/>
  <c r="F19" i="25"/>
  <c r="F85" i="25"/>
  <c r="F69" i="25"/>
  <c r="F53" i="25"/>
  <c r="F37" i="25"/>
  <c r="F22" i="25"/>
  <c r="F258" i="25"/>
  <c r="F194" i="25"/>
  <c r="F130" i="25"/>
  <c r="F204" i="25"/>
  <c r="F132" i="25"/>
  <c r="F214" i="25"/>
  <c r="F150" i="25"/>
  <c r="F272" i="25"/>
  <c r="F116" i="25"/>
  <c r="F38" i="25"/>
  <c r="F303" i="25"/>
  <c r="F287" i="25"/>
  <c r="F255" i="25"/>
  <c r="F239" i="25"/>
  <c r="F223" i="25"/>
  <c r="F207" i="25"/>
  <c r="F191" i="25"/>
  <c r="F175" i="25"/>
  <c r="F159" i="25"/>
  <c r="F143" i="25"/>
  <c r="F127" i="25"/>
  <c r="F111" i="25"/>
  <c r="F95" i="25"/>
  <c r="F9" i="25"/>
  <c r="F86" i="25"/>
  <c r="F138" i="25"/>
  <c r="F44" i="25"/>
  <c r="F306" i="25"/>
  <c r="F178" i="25"/>
  <c r="F192" i="25"/>
  <c r="F262" i="25"/>
  <c r="F208" i="25"/>
  <c r="F251" i="25"/>
  <c r="F203" i="25"/>
  <c r="F155" i="25"/>
  <c r="F107" i="25"/>
  <c r="F54" i="25"/>
  <c r="F47" i="25"/>
  <c r="F298" i="25"/>
  <c r="F228" i="25"/>
  <c r="F52" i="25"/>
  <c r="F61" i="25"/>
  <c r="F14" i="25"/>
  <c r="F266" i="25"/>
  <c r="F244" i="25"/>
  <c r="F212" i="25"/>
  <c r="F236" i="25"/>
  <c r="F198" i="25"/>
  <c r="F96" i="25"/>
  <c r="F267" i="25"/>
  <c r="F235" i="25"/>
  <c r="F171" i="25"/>
  <c r="F139" i="25"/>
  <c r="F91" i="25"/>
  <c r="F79" i="25"/>
  <c r="F16" i="25"/>
  <c r="F304" i="25"/>
  <c r="F148" i="25"/>
  <c r="F82" i="25"/>
  <c r="F77" i="25"/>
  <c r="F30" i="25"/>
  <c r="F202" i="25"/>
  <c r="F100" i="25"/>
  <c r="F102" i="25"/>
  <c r="F156" i="25"/>
  <c r="F222" i="25"/>
  <c r="F13" i="25"/>
  <c r="F242" i="25"/>
  <c r="F114" i="25"/>
  <c r="F180" i="25"/>
  <c r="F94" i="25"/>
  <c r="F134" i="25"/>
  <c r="F34" i="25"/>
  <c r="F219" i="25"/>
  <c r="F187" i="25"/>
  <c r="F123" i="25"/>
  <c r="F68" i="25"/>
  <c r="F63" i="25"/>
  <c r="F98" i="25"/>
  <c r="F300" i="25"/>
  <c r="F36" i="25"/>
  <c r="F45" i="25"/>
  <c r="F216" i="25"/>
  <c r="F209" i="25"/>
  <c r="F301" i="25"/>
  <c r="F285" i="25"/>
  <c r="F312" i="25"/>
  <c r="F296" i="25"/>
  <c r="F280" i="25"/>
  <c r="F263" i="25"/>
  <c r="F247" i="25"/>
  <c r="F231" i="25"/>
  <c r="F215" i="25"/>
  <c r="F199" i="25"/>
  <c r="F183" i="25"/>
  <c r="F167" i="25"/>
  <c r="F151" i="25"/>
  <c r="F135" i="25"/>
  <c r="F119" i="25"/>
  <c r="F103" i="25"/>
  <c r="F87" i="25"/>
  <c r="F71" i="25"/>
  <c r="F55" i="25"/>
  <c r="F39" i="25"/>
  <c r="F24" i="25"/>
  <c r="F270" i="25"/>
  <c r="F254" i="25"/>
  <c r="F238" i="25"/>
  <c r="F206" i="25"/>
  <c r="F190" i="25"/>
  <c r="F174" i="25"/>
  <c r="F142" i="25"/>
  <c r="F126" i="25"/>
  <c r="F110" i="25"/>
  <c r="F78" i="25"/>
  <c r="F62" i="25"/>
  <c r="F46" i="25"/>
  <c r="F31" i="25"/>
  <c r="F15" i="25"/>
  <c r="F282" i="25"/>
  <c r="F311" i="25"/>
  <c r="F295" i="25"/>
  <c r="F279" i="25"/>
  <c r="F260" i="25"/>
  <c r="F196" i="25"/>
  <c r="F164" i="25"/>
  <c r="F84" i="25"/>
  <c r="F21" i="25"/>
  <c r="F269" i="25"/>
  <c r="F253" i="25"/>
  <c r="F237" i="25"/>
  <c r="F221" i="25"/>
  <c r="F205" i="25"/>
  <c r="F189" i="25"/>
  <c r="F173" i="25"/>
  <c r="F157" i="25"/>
  <c r="F141" i="25"/>
  <c r="F125" i="25"/>
  <c r="F109" i="25"/>
  <c r="F93" i="25"/>
  <c r="F286" i="25"/>
  <c r="F299" i="25"/>
  <c r="F264" i="25"/>
  <c r="F232" i="25"/>
  <c r="F184" i="25"/>
  <c r="F152" i="25"/>
  <c r="F120" i="25"/>
  <c r="F104" i="25"/>
  <c r="F72" i="25"/>
  <c r="F40" i="25"/>
  <c r="F7" i="25"/>
  <c r="F225" i="25"/>
  <c r="F177" i="25"/>
  <c r="F145" i="25"/>
  <c r="F113" i="25"/>
  <c r="F81" i="25"/>
  <c r="F49" i="25"/>
  <c r="F33" i="25"/>
  <c r="F313" i="25"/>
  <c r="F308" i="25"/>
  <c r="F259" i="25"/>
  <c r="F211" i="25"/>
  <c r="F147" i="25"/>
  <c r="F99" i="25"/>
  <c r="F51" i="25"/>
  <c r="F218" i="25"/>
  <c r="F170" i="25"/>
  <c r="F122" i="25"/>
  <c r="F74" i="25"/>
  <c r="F27" i="25"/>
  <c r="F310" i="25"/>
  <c r="F291" i="25"/>
  <c r="F240" i="25"/>
  <c r="F128" i="25"/>
  <c r="F64" i="25"/>
  <c r="F265" i="25"/>
  <c r="F185" i="25"/>
  <c r="F105" i="25"/>
  <c r="F57" i="25"/>
  <c r="F10" i="25"/>
  <c r="F309" i="25"/>
  <c r="F293" i="25"/>
  <c r="F277" i="25"/>
  <c r="F246" i="25"/>
  <c r="F230" i="25"/>
  <c r="F182" i="25"/>
  <c r="F166" i="25"/>
  <c r="F118" i="25"/>
  <c r="F70" i="25"/>
  <c r="F23" i="25"/>
  <c r="F302" i="25"/>
  <c r="F271" i="25"/>
  <c r="F283" i="25"/>
  <c r="F248" i="25"/>
  <c r="F200" i="25"/>
  <c r="F168" i="25"/>
  <c r="F136" i="25"/>
  <c r="F88" i="25"/>
  <c r="F56" i="25"/>
  <c r="F25" i="25"/>
  <c r="F257" i="25"/>
  <c r="F241" i="25"/>
  <c r="F193" i="25"/>
  <c r="F161" i="25"/>
  <c r="F129" i="25"/>
  <c r="F97" i="25"/>
  <c r="F65" i="25"/>
  <c r="F18" i="25"/>
  <c r="F281" i="25"/>
  <c r="F276" i="25"/>
  <c r="F227" i="25"/>
  <c r="F179" i="25"/>
  <c r="F131" i="25"/>
  <c r="F83" i="25"/>
  <c r="F35" i="25"/>
  <c r="F250" i="25"/>
  <c r="F154" i="25"/>
  <c r="F106" i="25"/>
  <c r="F58" i="25"/>
  <c r="F11" i="25"/>
  <c r="F278" i="25"/>
  <c r="F275" i="25"/>
  <c r="F224" i="25"/>
  <c r="F176" i="25"/>
  <c r="F80" i="25"/>
  <c r="F32" i="25"/>
  <c r="F249" i="25"/>
  <c r="F201" i="25"/>
  <c r="F137" i="25"/>
  <c r="F73" i="25"/>
  <c r="F26" i="25"/>
  <c r="F290" i="25"/>
  <c r="F274" i="25"/>
  <c r="F268" i="25"/>
  <c r="F252" i="25"/>
  <c r="F220" i="25"/>
  <c r="F188" i="25"/>
  <c r="F172" i="25"/>
  <c r="F140" i="25"/>
  <c r="F124" i="25"/>
  <c r="F108" i="25"/>
  <c r="F92" i="25"/>
  <c r="F76" i="25"/>
  <c r="F60" i="25"/>
  <c r="F29" i="25"/>
  <c r="F261" i="25"/>
  <c r="F245" i="25"/>
  <c r="F229" i="25"/>
  <c r="F213" i="25"/>
  <c r="F197" i="25"/>
  <c r="F181" i="25"/>
  <c r="F165" i="25"/>
  <c r="F149" i="25"/>
  <c r="F133" i="25"/>
  <c r="F117" i="25"/>
  <c r="F101" i="25"/>
  <c r="F8" i="25"/>
  <c r="F297" i="25"/>
  <c r="F292" i="25"/>
  <c r="F243" i="25"/>
  <c r="F195" i="25"/>
  <c r="F163" i="25"/>
  <c r="F115" i="25"/>
  <c r="F67" i="25"/>
  <c r="F20" i="25"/>
  <c r="F234" i="25"/>
  <c r="F186" i="25"/>
  <c r="F90" i="25"/>
  <c r="F42" i="25"/>
  <c r="F294" i="25"/>
  <c r="F307" i="25"/>
  <c r="F256" i="25"/>
  <c r="F160" i="25"/>
  <c r="F112" i="25"/>
  <c r="F48" i="25"/>
  <c r="F17" i="25"/>
  <c r="F233" i="25"/>
  <c r="F217" i="25"/>
  <c r="F169" i="25"/>
  <c r="F153" i="25"/>
  <c r="F121" i="25"/>
  <c r="F89" i="25"/>
  <c r="F41" i="25"/>
  <c r="F284" i="25"/>
  <c r="F75" i="25"/>
  <c r="F59" i="25"/>
  <c r="F43" i="25"/>
  <c r="F28" i="25"/>
  <c r="F12" i="25"/>
  <c r="F226" i="25"/>
  <c r="F210" i="25"/>
  <c r="F162" i="25"/>
  <c r="F146" i="25"/>
  <c r="F66" i="25"/>
  <c r="F50" i="25"/>
  <c r="G324" i="34"/>
  <c r="H324" i="34" s="1"/>
  <c r="F22" i="48"/>
  <c r="F24" i="48" s="1"/>
  <c r="G11" i="9"/>
  <c r="D5" i="12" s="1"/>
  <c r="F319" i="9"/>
  <c r="O314" i="49"/>
  <c r="C41" i="40" l="1"/>
  <c r="J4" i="11" s="1"/>
  <c r="J222" i="11" s="1"/>
  <c r="F6" i="25"/>
  <c r="N140" i="11"/>
  <c r="N147" i="11"/>
  <c r="N156" i="11"/>
  <c r="N163" i="11"/>
  <c r="N172" i="11"/>
  <c r="N139" i="11"/>
  <c r="N148" i="11"/>
  <c r="N155" i="11"/>
  <c r="N164" i="11"/>
  <c r="N171" i="11"/>
  <c r="N143" i="11"/>
  <c r="N151" i="11"/>
  <c r="N159" i="11"/>
  <c r="N167" i="11"/>
  <c r="N191" i="11"/>
  <c r="N197" i="11"/>
  <c r="N252" i="11"/>
  <c r="N259" i="11"/>
  <c r="N263" i="11"/>
  <c r="N267" i="11"/>
  <c r="N271" i="11"/>
  <c r="N275" i="11"/>
  <c r="N279" i="11"/>
  <c r="N283" i="11"/>
  <c r="N287" i="11"/>
  <c r="N291" i="11"/>
  <c r="N295" i="11"/>
  <c r="N299" i="11"/>
  <c r="N303" i="11"/>
  <c r="N307" i="11"/>
  <c r="N311" i="11"/>
  <c r="N185" i="11"/>
  <c r="N203" i="11"/>
  <c r="N211" i="11"/>
  <c r="N219" i="11"/>
  <c r="N227" i="11"/>
  <c r="N235" i="11"/>
  <c r="N144" i="11"/>
  <c r="N152" i="11"/>
  <c r="N160" i="11"/>
  <c r="N168" i="11"/>
  <c r="N177" i="11"/>
  <c r="N251" i="11"/>
  <c r="N145" i="11"/>
  <c r="N153" i="11"/>
  <c r="N161" i="11"/>
  <c r="N169" i="11"/>
  <c r="N199" i="11"/>
  <c r="N207" i="11"/>
  <c r="N215" i="11"/>
  <c r="N223" i="11"/>
  <c r="N231" i="11"/>
  <c r="N239" i="11"/>
  <c r="N247" i="11"/>
  <c r="N249" i="11"/>
  <c r="N260" i="11"/>
  <c r="N264" i="11"/>
  <c r="N268" i="11"/>
  <c r="N181" i="11"/>
  <c r="N193" i="11"/>
  <c r="N305" i="11"/>
  <c r="N300" i="11"/>
  <c r="N308" i="11"/>
  <c r="N257" i="11"/>
  <c r="N183" i="11"/>
  <c r="N292" i="11"/>
  <c r="N84" i="11"/>
  <c r="N21" i="11"/>
  <c r="N202" i="11"/>
  <c r="N142" i="11"/>
  <c r="N26" i="11"/>
  <c r="N120" i="11"/>
  <c r="N56" i="11"/>
  <c r="N306" i="11"/>
  <c r="N274" i="11"/>
  <c r="N220" i="11"/>
  <c r="N125" i="11"/>
  <c r="N198" i="11"/>
  <c r="N103" i="11"/>
  <c r="N39" i="11"/>
  <c r="N222" i="11"/>
  <c r="N65" i="11"/>
  <c r="N123" i="11"/>
  <c r="N59" i="11"/>
  <c r="N240" i="11"/>
  <c r="N179" i="11"/>
  <c r="N22" i="11"/>
  <c r="N102" i="11"/>
  <c r="N38" i="11"/>
  <c r="N130" i="11"/>
  <c r="N66" i="11"/>
  <c r="N304" i="11"/>
  <c r="N24" i="11"/>
  <c r="N43" i="11"/>
  <c r="N86" i="11"/>
  <c r="N296" i="11"/>
  <c r="N277" i="11"/>
  <c r="N285" i="11"/>
  <c r="N237" i="11"/>
  <c r="N297" i="11"/>
  <c r="N269" i="11"/>
  <c r="N79" i="11"/>
  <c r="N16" i="11"/>
  <c r="N190" i="11"/>
  <c r="N137" i="11"/>
  <c r="N10" i="11"/>
  <c r="N115" i="11"/>
  <c r="N51" i="11"/>
  <c r="N302" i="11"/>
  <c r="N270" i="11"/>
  <c r="N212" i="11"/>
  <c r="N109" i="11"/>
  <c r="N192" i="11"/>
  <c r="N92" i="11"/>
  <c r="N29" i="11"/>
  <c r="N214" i="11"/>
  <c r="N49" i="11"/>
  <c r="N112" i="11"/>
  <c r="N48" i="11"/>
  <c r="N232" i="11"/>
  <c r="N133" i="11"/>
  <c r="N6" i="11"/>
  <c r="N94" i="11"/>
  <c r="N122" i="11"/>
  <c r="N58" i="11"/>
  <c r="N273" i="11"/>
  <c r="N33" i="11"/>
  <c r="N162" i="11"/>
  <c r="N114" i="11"/>
  <c r="N221" i="11"/>
  <c r="N288" i="11"/>
  <c r="N132" i="11"/>
  <c r="N68" i="11"/>
  <c r="N254" i="11"/>
  <c r="N184" i="11"/>
  <c r="N121" i="11"/>
  <c r="N256" i="11"/>
  <c r="N104" i="11"/>
  <c r="N40" i="11"/>
  <c r="N298" i="11"/>
  <c r="N266" i="11"/>
  <c r="N204" i="11"/>
  <c r="N93" i="11"/>
  <c r="N186" i="11"/>
  <c r="N87" i="11"/>
  <c r="N107" i="11"/>
  <c r="N117" i="11"/>
  <c r="N50" i="11"/>
  <c r="N255" i="11"/>
  <c r="N281" i="11"/>
  <c r="N253" i="11"/>
  <c r="N205" i="11"/>
  <c r="N265" i="11"/>
  <c r="N127" i="11"/>
  <c r="N63" i="11"/>
  <c r="N242" i="11"/>
  <c r="N178" i="11"/>
  <c r="N105" i="11"/>
  <c r="N196" i="11"/>
  <c r="N99" i="11"/>
  <c r="N35" i="11"/>
  <c r="N294" i="11"/>
  <c r="N262" i="11"/>
  <c r="N173" i="11"/>
  <c r="N77" i="11"/>
  <c r="N180" i="11"/>
  <c r="N76" i="11"/>
  <c r="N13" i="11"/>
  <c r="N195" i="11"/>
  <c r="N18" i="11"/>
  <c r="N96" i="11"/>
  <c r="N32" i="11"/>
  <c r="N216" i="11"/>
  <c r="N101" i="11"/>
  <c r="N146" i="11"/>
  <c r="N78" i="11"/>
  <c r="N15" i="11"/>
  <c r="N106" i="11"/>
  <c r="N42" i="11"/>
  <c r="N289" i="11"/>
  <c r="N97" i="11"/>
  <c r="N12" i="11"/>
  <c r="N54" i="11"/>
  <c r="N245" i="11"/>
  <c r="N272" i="11"/>
  <c r="N243" i="11"/>
  <c r="N189" i="11"/>
  <c r="N241" i="11"/>
  <c r="N116" i="11"/>
  <c r="N52" i="11"/>
  <c r="N234" i="11"/>
  <c r="N175" i="11"/>
  <c r="N89" i="11"/>
  <c r="N187" i="11"/>
  <c r="N88" i="11"/>
  <c r="N25" i="11"/>
  <c r="N290" i="11"/>
  <c r="N258" i="11"/>
  <c r="N165" i="11"/>
  <c r="N61" i="11"/>
  <c r="N135" i="11"/>
  <c r="N71" i="11"/>
  <c r="N8" i="11"/>
  <c r="N129" i="11"/>
  <c r="N248" i="11"/>
  <c r="N91" i="11"/>
  <c r="N28" i="11"/>
  <c r="N208" i="11"/>
  <c r="N85" i="11"/>
  <c r="N134" i="11"/>
  <c r="N70" i="11"/>
  <c r="N7" i="11"/>
  <c r="N98" i="11"/>
  <c r="N34" i="11"/>
  <c r="N217" i="11"/>
  <c r="N55" i="11"/>
  <c r="N194" i="11"/>
  <c r="N154" i="11"/>
  <c r="N229" i="11"/>
  <c r="N233" i="11"/>
  <c r="N312" i="11"/>
  <c r="N293" i="11"/>
  <c r="N225" i="11"/>
  <c r="N111" i="11"/>
  <c r="N47" i="11"/>
  <c r="N226" i="11"/>
  <c r="N166" i="11"/>
  <c r="N73" i="11"/>
  <c r="N174" i="11"/>
  <c r="N83" i="11"/>
  <c r="N20" i="11"/>
  <c r="N286" i="11"/>
  <c r="N244" i="11"/>
  <c r="N157" i="11"/>
  <c r="N45" i="11"/>
  <c r="N124" i="11"/>
  <c r="N60" i="11"/>
  <c r="N246" i="11"/>
  <c r="N113" i="11"/>
  <c r="N182" i="11"/>
  <c r="N80" i="11"/>
  <c r="N17" i="11"/>
  <c r="N200" i="11"/>
  <c r="N69" i="11"/>
  <c r="N126" i="11"/>
  <c r="N62" i="11"/>
  <c r="N170" i="11"/>
  <c r="N90" i="11"/>
  <c r="N27" i="11"/>
  <c r="N213" i="11"/>
  <c r="N238" i="11"/>
  <c r="N53" i="11"/>
  <c r="N82" i="11"/>
  <c r="N284" i="11"/>
  <c r="N209" i="11"/>
  <c r="N100" i="11"/>
  <c r="N36" i="11"/>
  <c r="N218" i="11"/>
  <c r="N158" i="11"/>
  <c r="N57" i="11"/>
  <c r="N136" i="11"/>
  <c r="N72" i="11"/>
  <c r="N9" i="11"/>
  <c r="N282" i="11"/>
  <c r="N236" i="11"/>
  <c r="N149" i="11"/>
  <c r="N30" i="11"/>
  <c r="N119" i="11"/>
  <c r="N176" i="11"/>
  <c r="N75" i="11"/>
  <c r="N118" i="11"/>
  <c r="N19" i="11"/>
  <c r="N309" i="11"/>
  <c r="N201" i="11"/>
  <c r="N280" i="11"/>
  <c r="N261" i="11"/>
  <c r="N301" i="11"/>
  <c r="N95" i="11"/>
  <c r="N31" i="11"/>
  <c r="N210" i="11"/>
  <c r="N150" i="11"/>
  <c r="N41" i="11"/>
  <c r="N131" i="11"/>
  <c r="N67" i="11"/>
  <c r="N310" i="11"/>
  <c r="N278" i="11"/>
  <c r="N228" i="11"/>
  <c r="N141" i="11"/>
  <c r="N14" i="11"/>
  <c r="N108" i="11"/>
  <c r="N44" i="11"/>
  <c r="N230" i="11"/>
  <c r="N81" i="11"/>
  <c r="N128" i="11"/>
  <c r="N64" i="11"/>
  <c r="N250" i="11"/>
  <c r="N188" i="11"/>
  <c r="N37" i="11"/>
  <c r="N110" i="11"/>
  <c r="N46" i="11"/>
  <c r="N138" i="11"/>
  <c r="N74" i="11"/>
  <c r="N11" i="11"/>
  <c r="N276" i="11"/>
  <c r="N206" i="11"/>
  <c r="N224" i="11"/>
  <c r="N23" i="11"/>
  <c r="G15" i="34"/>
  <c r="N5" i="11"/>
  <c r="D5" i="39"/>
  <c r="G319" i="9"/>
  <c r="D313" i="12" s="1"/>
  <c r="J229" i="11" l="1"/>
  <c r="J296" i="11"/>
  <c r="J47" i="11"/>
  <c r="J175" i="11"/>
  <c r="O175" i="11" s="1"/>
  <c r="P175" i="11" s="1"/>
  <c r="J88" i="11"/>
  <c r="O88" i="11" s="1"/>
  <c r="P88" i="11" s="1"/>
  <c r="J22" i="11"/>
  <c r="O22" i="11" s="1"/>
  <c r="P22" i="11" s="1"/>
  <c r="J254" i="11"/>
  <c r="J209" i="11"/>
  <c r="O209" i="11" s="1"/>
  <c r="P209" i="11" s="1"/>
  <c r="J306" i="11"/>
  <c r="O306" i="11" s="1"/>
  <c r="P306" i="11" s="1"/>
  <c r="J38" i="11"/>
  <c r="O38" i="11" s="1"/>
  <c r="P38" i="11" s="1"/>
  <c r="J147" i="11"/>
  <c r="J42" i="11"/>
  <c r="O42" i="11" s="1"/>
  <c r="P42" i="11" s="1"/>
  <c r="J156" i="11"/>
  <c r="O156" i="11" s="1"/>
  <c r="P156" i="11" s="1"/>
  <c r="J141" i="11"/>
  <c r="O141" i="11" s="1"/>
  <c r="P141" i="11" s="1"/>
  <c r="J198" i="11"/>
  <c r="J262" i="11"/>
  <c r="O262" i="11" s="1"/>
  <c r="P262" i="11" s="1"/>
  <c r="J108" i="11"/>
  <c r="O108" i="11" s="1"/>
  <c r="P108" i="11" s="1"/>
  <c r="J101" i="11"/>
  <c r="O101" i="11" s="1"/>
  <c r="P101" i="11" s="1"/>
  <c r="J227" i="11"/>
  <c r="J64" i="11"/>
  <c r="O64" i="11" s="1"/>
  <c r="P64" i="11" s="1"/>
  <c r="J267" i="11"/>
  <c r="O267" i="11" s="1"/>
  <c r="P267" i="11" s="1"/>
  <c r="J83" i="11"/>
  <c r="O83" i="11" s="1"/>
  <c r="P83" i="11" s="1"/>
  <c r="J128" i="11"/>
  <c r="J72" i="11"/>
  <c r="O72" i="11" s="1"/>
  <c r="P72" i="11" s="1"/>
  <c r="J163" i="11"/>
  <c r="O163" i="11" s="1"/>
  <c r="P163" i="11" s="1"/>
  <c r="J133" i="11"/>
  <c r="O133" i="11" s="1"/>
  <c r="P133" i="11" s="1"/>
  <c r="J194" i="11"/>
  <c r="J288" i="11"/>
  <c r="O288" i="11" s="1"/>
  <c r="P288" i="11" s="1"/>
  <c r="J154" i="11"/>
  <c r="O154" i="11" s="1"/>
  <c r="P154" i="11" s="1"/>
  <c r="J239" i="11"/>
  <c r="O239" i="11" s="1"/>
  <c r="P239" i="11" s="1"/>
  <c r="J285" i="11"/>
  <c r="J178" i="11"/>
  <c r="O178" i="11" s="1"/>
  <c r="P178" i="11" s="1"/>
  <c r="J93" i="11"/>
  <c r="O93" i="11" s="1"/>
  <c r="P93" i="11" s="1"/>
  <c r="J39" i="11"/>
  <c r="O39" i="11" s="1"/>
  <c r="P39" i="11" s="1"/>
  <c r="J117" i="11"/>
  <c r="J289" i="11"/>
  <c r="O289" i="11" s="1"/>
  <c r="P289" i="11" s="1"/>
  <c r="J207" i="11"/>
  <c r="O207" i="11" s="1"/>
  <c r="P207" i="11" s="1"/>
  <c r="J174" i="11"/>
  <c r="O174" i="11" s="1"/>
  <c r="P174" i="11" s="1"/>
  <c r="J79" i="11"/>
  <c r="J90" i="11"/>
  <c r="O90" i="11" s="1"/>
  <c r="P90" i="11" s="1"/>
  <c r="J105" i="11"/>
  <c r="O105" i="11" s="1"/>
  <c r="P105" i="11" s="1"/>
  <c r="J275" i="11"/>
  <c r="O275" i="11" s="1"/>
  <c r="P275" i="11" s="1"/>
  <c r="J95" i="11"/>
  <c r="J145" i="11"/>
  <c r="O145" i="11" s="1"/>
  <c r="P145" i="11" s="1"/>
  <c r="J8" i="11"/>
  <c r="O8" i="11" s="1"/>
  <c r="P8" i="11" s="1"/>
  <c r="J185" i="11"/>
  <c r="O185" i="11" s="1"/>
  <c r="P185" i="11" s="1"/>
  <c r="J49" i="11"/>
  <c r="J260" i="11"/>
  <c r="O260" i="11" s="1"/>
  <c r="P260" i="11" s="1"/>
  <c r="J170" i="11"/>
  <c r="O170" i="11" s="1"/>
  <c r="P170" i="11" s="1"/>
  <c r="J266" i="11"/>
  <c r="O266" i="11" s="1"/>
  <c r="P266" i="11" s="1"/>
  <c r="J200" i="11"/>
  <c r="O200" i="11" s="1"/>
  <c r="P200" i="11" s="1"/>
  <c r="J9" i="11"/>
  <c r="O9" i="11" s="1"/>
  <c r="P9" i="11" s="1"/>
  <c r="J74" i="11"/>
  <c r="O74" i="11" s="1"/>
  <c r="P74" i="11" s="1"/>
  <c r="J294" i="11"/>
  <c r="O294" i="11" s="1"/>
  <c r="P294" i="11" s="1"/>
  <c r="J131" i="11"/>
  <c r="J60" i="11"/>
  <c r="O60" i="11" s="1"/>
  <c r="P60" i="11" s="1"/>
  <c r="J52" i="11"/>
  <c r="O52" i="11" s="1"/>
  <c r="P52" i="11" s="1"/>
  <c r="J13" i="11"/>
  <c r="O13" i="11" s="1"/>
  <c r="P13" i="11" s="1"/>
  <c r="J78" i="11"/>
  <c r="O78" i="11" s="1"/>
  <c r="P78" i="11" s="1"/>
  <c r="J232" i="11"/>
  <c r="O232" i="11" s="1"/>
  <c r="P232" i="11" s="1"/>
  <c r="J103" i="11"/>
  <c r="O103" i="11" s="1"/>
  <c r="P103" i="11" s="1"/>
  <c r="J43" i="11"/>
  <c r="O43" i="11" s="1"/>
  <c r="P43" i="11" s="1"/>
  <c r="J246" i="11"/>
  <c r="J122" i="11"/>
  <c r="O122" i="11" s="1"/>
  <c r="P122" i="11" s="1"/>
  <c r="J187" i="11"/>
  <c r="O187" i="11" s="1"/>
  <c r="P187" i="11" s="1"/>
  <c r="J48" i="11"/>
  <c r="O48" i="11" s="1"/>
  <c r="P48" i="11" s="1"/>
  <c r="J114" i="11"/>
  <c r="J136" i="11"/>
  <c r="O136" i="11" s="1"/>
  <c r="P136" i="11" s="1"/>
  <c r="J284" i="11"/>
  <c r="O284" i="11" s="1"/>
  <c r="P284" i="11" s="1"/>
  <c r="J17" i="11"/>
  <c r="O17" i="11" s="1"/>
  <c r="P17" i="11" s="1"/>
  <c r="J84" i="11"/>
  <c r="O84" i="11" s="1"/>
  <c r="P84" i="11" s="1"/>
  <c r="J233" i="11"/>
  <c r="O233" i="11" s="1"/>
  <c r="P233" i="11" s="1"/>
  <c r="J102" i="11"/>
  <c r="O102" i="11" s="1"/>
  <c r="P102" i="11" s="1"/>
  <c r="J40" i="11"/>
  <c r="O40" i="11" s="1"/>
  <c r="P40" i="11" s="1"/>
  <c r="J309" i="11"/>
  <c r="O309" i="11" s="1"/>
  <c r="P309" i="11" s="1"/>
  <c r="J191" i="11"/>
  <c r="O191" i="11" s="1"/>
  <c r="P191" i="11" s="1"/>
  <c r="J270" i="11"/>
  <c r="O270" i="11" s="1"/>
  <c r="P270" i="11" s="1"/>
  <c r="J119" i="11"/>
  <c r="O119" i="11" s="1"/>
  <c r="P119" i="11" s="1"/>
  <c r="J50" i="11"/>
  <c r="J297" i="11"/>
  <c r="O297" i="11" s="1"/>
  <c r="P297" i="11" s="1"/>
  <c r="J70" i="11"/>
  <c r="O70" i="11" s="1"/>
  <c r="P70" i="11" s="1"/>
  <c r="J192" i="11"/>
  <c r="O192" i="11" s="1"/>
  <c r="P192" i="11" s="1"/>
  <c r="J282" i="11"/>
  <c r="J91" i="11"/>
  <c r="O91" i="11" s="1"/>
  <c r="P91" i="11" s="1"/>
  <c r="J146" i="11"/>
  <c r="O146" i="11" s="1"/>
  <c r="P146" i="11" s="1"/>
  <c r="J104" i="11"/>
  <c r="O104" i="11" s="1"/>
  <c r="P104" i="11" s="1"/>
  <c r="J99" i="11"/>
  <c r="J107" i="11"/>
  <c r="O107" i="11" s="1"/>
  <c r="P107" i="11" s="1"/>
  <c r="J253" i="11"/>
  <c r="O253" i="11" s="1"/>
  <c r="P253" i="11" s="1"/>
  <c r="J44" i="11"/>
  <c r="O44" i="11" s="1"/>
  <c r="P44" i="11" s="1"/>
  <c r="J184" i="11"/>
  <c r="O184" i="11" s="1"/>
  <c r="P184" i="11" s="1"/>
  <c r="J261" i="11"/>
  <c r="O261" i="11" s="1"/>
  <c r="P261" i="11" s="1"/>
  <c r="J201" i="11"/>
  <c r="O201" i="11" s="1"/>
  <c r="P201" i="11" s="1"/>
  <c r="J271" i="11"/>
  <c r="O271" i="11" s="1"/>
  <c r="P271" i="11" s="1"/>
  <c r="J215" i="11"/>
  <c r="O215" i="11" s="1"/>
  <c r="P215" i="11" s="1"/>
  <c r="J189" i="11"/>
  <c r="O189" i="11" s="1"/>
  <c r="P189" i="11" s="1"/>
  <c r="J181" i="11"/>
  <c r="O181" i="11" s="1"/>
  <c r="P181" i="11" s="1"/>
  <c r="J15" i="11"/>
  <c r="O15" i="11" s="1"/>
  <c r="P15" i="11" s="1"/>
  <c r="J124" i="11"/>
  <c r="O124" i="11" s="1"/>
  <c r="P124" i="11" s="1"/>
  <c r="J98" i="11"/>
  <c r="O98" i="11" s="1"/>
  <c r="P98" i="11" s="1"/>
  <c r="J214" i="11"/>
  <c r="O214" i="11" s="1"/>
  <c r="P214" i="11" s="1"/>
  <c r="J244" i="11"/>
  <c r="O244" i="11" s="1"/>
  <c r="P244" i="11" s="1"/>
  <c r="J115" i="11"/>
  <c r="J112" i="11"/>
  <c r="O112" i="11" s="1"/>
  <c r="P112" i="11" s="1"/>
  <c r="J63" i="11"/>
  <c r="O63" i="11" s="1"/>
  <c r="P63" i="11" s="1"/>
  <c r="J139" i="11"/>
  <c r="O139" i="11" s="1"/>
  <c r="P139" i="11" s="1"/>
  <c r="J268" i="11"/>
  <c r="J272" i="11"/>
  <c r="O272" i="11" s="1"/>
  <c r="P272" i="11" s="1"/>
  <c r="J11" i="11"/>
  <c r="O11" i="11" s="1"/>
  <c r="P11" i="11" s="1"/>
  <c r="J203" i="11"/>
  <c r="O203" i="11" s="1"/>
  <c r="P203" i="11" s="1"/>
  <c r="J182" i="11"/>
  <c r="O182" i="11" s="1"/>
  <c r="P182" i="11" s="1"/>
  <c r="J96" i="11"/>
  <c r="O96" i="11" s="1"/>
  <c r="P96" i="11" s="1"/>
  <c r="J150" i="11"/>
  <c r="O150" i="11" s="1"/>
  <c r="P150" i="11" s="1"/>
  <c r="J148" i="11"/>
  <c r="O148" i="11" s="1"/>
  <c r="P148" i="11" s="1"/>
  <c r="J308" i="11"/>
  <c r="O308" i="11" s="1"/>
  <c r="P308" i="11" s="1"/>
  <c r="J307" i="11"/>
  <c r="O307" i="11" s="1"/>
  <c r="P307" i="11" s="1"/>
  <c r="J80" i="11"/>
  <c r="O80" i="11" s="1"/>
  <c r="P80" i="11" s="1"/>
  <c r="J231" i="11"/>
  <c r="O231" i="11" s="1"/>
  <c r="P231" i="11" s="1"/>
  <c r="J92" i="11"/>
  <c r="J129" i="11"/>
  <c r="O129" i="11" s="1"/>
  <c r="P129" i="11" s="1"/>
  <c r="J219" i="11"/>
  <c r="O219" i="11" s="1"/>
  <c r="P219" i="11" s="1"/>
  <c r="J138" i="11"/>
  <c r="O138" i="11" s="1"/>
  <c r="P138" i="11" s="1"/>
  <c r="J169" i="11"/>
  <c r="O169" i="11" s="1"/>
  <c r="P169" i="11" s="1"/>
  <c r="J31" i="11"/>
  <c r="O31" i="11" s="1"/>
  <c r="P31" i="11" s="1"/>
  <c r="J32" i="11"/>
  <c r="O32" i="11" s="1"/>
  <c r="P32" i="11" s="1"/>
  <c r="J211" i="11"/>
  <c r="O211" i="11" s="1"/>
  <c r="P211" i="11" s="1"/>
  <c r="J56" i="11"/>
  <c r="O56" i="11" s="1"/>
  <c r="P56" i="11" s="1"/>
  <c r="J180" i="11"/>
  <c r="O180" i="11" s="1"/>
  <c r="P180" i="11" s="1"/>
  <c r="J242" i="11"/>
  <c r="O242" i="11" s="1"/>
  <c r="P242" i="11" s="1"/>
  <c r="J81" i="11"/>
  <c r="O81" i="11" s="1"/>
  <c r="P81" i="11" s="1"/>
  <c r="J65" i="11"/>
  <c r="O65" i="11" s="1"/>
  <c r="P65" i="11" s="1"/>
  <c r="J249" i="11"/>
  <c r="O249" i="11" s="1"/>
  <c r="P249" i="11" s="1"/>
  <c r="J255" i="11"/>
  <c r="O255" i="11" s="1"/>
  <c r="P255" i="11" s="1"/>
  <c r="J116" i="11"/>
  <c r="O116" i="11" s="1"/>
  <c r="P116" i="11" s="1"/>
  <c r="J172" i="11"/>
  <c r="O172" i="11" s="1"/>
  <c r="P172" i="11" s="1"/>
  <c r="J248" i="11"/>
  <c r="O248" i="11" s="1"/>
  <c r="P248" i="11" s="1"/>
  <c r="J196" i="11"/>
  <c r="O196" i="11" s="1"/>
  <c r="P196" i="11" s="1"/>
  <c r="J258" i="11"/>
  <c r="O258" i="11" s="1"/>
  <c r="P258" i="11" s="1"/>
  <c r="J67" i="11"/>
  <c r="O67" i="11" s="1"/>
  <c r="P67" i="11" s="1"/>
  <c r="J280" i="11"/>
  <c r="O280" i="11" s="1"/>
  <c r="P280" i="11" s="1"/>
  <c r="J110" i="11"/>
  <c r="O110" i="11" s="1"/>
  <c r="P110" i="11" s="1"/>
  <c r="J144" i="11"/>
  <c r="O144" i="11" s="1"/>
  <c r="P144" i="11" s="1"/>
  <c r="J125" i="11"/>
  <c r="O125" i="11" s="1"/>
  <c r="P125" i="11" s="1"/>
  <c r="J121" i="11"/>
  <c r="O121" i="11" s="1"/>
  <c r="P121" i="11" s="1"/>
  <c r="J293" i="11"/>
  <c r="O293" i="11" s="1"/>
  <c r="P293" i="11" s="1"/>
  <c r="J273" i="11"/>
  <c r="O273" i="11" s="1"/>
  <c r="P273" i="11" s="1"/>
  <c r="J68" i="11"/>
  <c r="O68" i="11" s="1"/>
  <c r="P68" i="11" s="1"/>
  <c r="J66" i="11"/>
  <c r="O66" i="11" s="1"/>
  <c r="P66" i="11" s="1"/>
  <c r="J256" i="11"/>
  <c r="O256" i="11" s="1"/>
  <c r="P256" i="11" s="1"/>
  <c r="J23" i="11"/>
  <c r="O23" i="11" s="1"/>
  <c r="P23" i="11" s="1"/>
  <c r="J220" i="11"/>
  <c r="O220" i="11" s="1"/>
  <c r="P220" i="11" s="1"/>
  <c r="J218" i="11"/>
  <c r="O218" i="11" s="1"/>
  <c r="P218" i="11" s="1"/>
  <c r="J291" i="11"/>
  <c r="O291" i="11" s="1"/>
  <c r="P291" i="11" s="1"/>
  <c r="J206" i="11"/>
  <c r="O206" i="11" s="1"/>
  <c r="P206" i="11" s="1"/>
  <c r="J225" i="11"/>
  <c r="O225" i="11" s="1"/>
  <c r="P225" i="11" s="1"/>
  <c r="J25" i="11"/>
  <c r="O25" i="11" s="1"/>
  <c r="P25" i="11" s="1"/>
  <c r="J26" i="11"/>
  <c r="O26" i="11" s="1"/>
  <c r="P26" i="11" s="1"/>
  <c r="J208" i="11"/>
  <c r="O208" i="11" s="1"/>
  <c r="P208" i="11" s="1"/>
  <c r="J283" i="11"/>
  <c r="O283" i="11" s="1"/>
  <c r="P283" i="11" s="1"/>
  <c r="J159" i="11"/>
  <c r="O159" i="11" s="1"/>
  <c r="P159" i="11" s="1"/>
  <c r="J142" i="11"/>
  <c r="O142" i="11" s="1"/>
  <c r="P142" i="11" s="1"/>
  <c r="J179" i="11"/>
  <c r="O179" i="11" s="1"/>
  <c r="P179" i="11" s="1"/>
  <c r="J77" i="11"/>
  <c r="O77" i="11" s="1"/>
  <c r="P77" i="11" s="1"/>
  <c r="J221" i="11"/>
  <c r="O221" i="11" s="1"/>
  <c r="P221" i="11" s="1"/>
  <c r="J140" i="11"/>
  <c r="O140" i="11" s="1"/>
  <c r="P140" i="11" s="1"/>
  <c r="J164" i="11"/>
  <c r="O164" i="11" s="1"/>
  <c r="P164" i="11" s="1"/>
  <c r="J82" i="11"/>
  <c r="O82" i="11" s="1"/>
  <c r="P82" i="11" s="1"/>
  <c r="J111" i="11"/>
  <c r="O111" i="11" s="1"/>
  <c r="P111" i="11" s="1"/>
  <c r="J109" i="11"/>
  <c r="O109" i="11" s="1"/>
  <c r="P109" i="11" s="1"/>
  <c r="J149" i="11"/>
  <c r="O149" i="11" s="1"/>
  <c r="P149" i="11" s="1"/>
  <c r="J176" i="11"/>
  <c r="O176" i="11" s="1"/>
  <c r="P176" i="11" s="1"/>
  <c r="J265" i="11"/>
  <c r="O265" i="11" s="1"/>
  <c r="P265" i="11" s="1"/>
  <c r="J158" i="11"/>
  <c r="O158" i="11" s="1"/>
  <c r="P158" i="11" s="1"/>
  <c r="J137" i="11"/>
  <c r="O137" i="11" s="1"/>
  <c r="P137" i="11" s="1"/>
  <c r="J171" i="11"/>
  <c r="O171" i="11" s="1"/>
  <c r="P171" i="11" s="1"/>
  <c r="J286" i="11"/>
  <c r="O286" i="11" s="1"/>
  <c r="P286" i="11" s="1"/>
  <c r="J89" i="11"/>
  <c r="O89" i="11" s="1"/>
  <c r="P89" i="11" s="1"/>
  <c r="J153" i="11"/>
  <c r="O153" i="11" s="1"/>
  <c r="P153" i="11" s="1"/>
  <c r="J157" i="11"/>
  <c r="O157" i="11" s="1"/>
  <c r="P157" i="11" s="1"/>
  <c r="J143" i="11"/>
  <c r="O143" i="11" s="1"/>
  <c r="P143" i="11" s="1"/>
  <c r="J234" i="11"/>
  <c r="O234" i="11" s="1"/>
  <c r="P234" i="11" s="1"/>
  <c r="J213" i="11"/>
  <c r="O213" i="11" s="1"/>
  <c r="P213" i="11" s="1"/>
  <c r="J97" i="11"/>
  <c r="O97" i="11" s="1"/>
  <c r="P97" i="11" s="1"/>
  <c r="J87" i="11"/>
  <c r="O87" i="11" s="1"/>
  <c r="P87" i="11" s="1"/>
  <c r="J183" i="11"/>
  <c r="O183" i="11" s="1"/>
  <c r="P183" i="11" s="1"/>
  <c r="J29" i="11"/>
  <c r="O29" i="11" s="1"/>
  <c r="P29" i="11" s="1"/>
  <c r="J161" i="11"/>
  <c r="O161" i="11" s="1"/>
  <c r="P161" i="11" s="1"/>
  <c r="J235" i="11"/>
  <c r="O235" i="11" s="1"/>
  <c r="P235" i="11" s="1"/>
  <c r="J188" i="11"/>
  <c r="O188" i="11" s="1"/>
  <c r="P188" i="11" s="1"/>
  <c r="J186" i="11"/>
  <c r="O186" i="11" s="1"/>
  <c r="P186" i="11" s="1"/>
  <c r="J41" i="11"/>
  <c r="O41" i="11" s="1"/>
  <c r="P41" i="11" s="1"/>
  <c r="J269" i="11"/>
  <c r="O269" i="11" s="1"/>
  <c r="P269" i="11" s="1"/>
  <c r="J36" i="11"/>
  <c r="O36" i="11" s="1"/>
  <c r="P36" i="11" s="1"/>
  <c r="J199" i="11"/>
  <c r="O199" i="11" s="1"/>
  <c r="P199" i="11" s="1"/>
  <c r="J45" i="11"/>
  <c r="O45" i="11" s="1"/>
  <c r="P45" i="11" s="1"/>
  <c r="J240" i="11"/>
  <c r="O240" i="11" s="1"/>
  <c r="P240" i="11" s="1"/>
  <c r="J193" i="11"/>
  <c r="O193" i="11" s="1"/>
  <c r="P193" i="11" s="1"/>
  <c r="J53" i="11"/>
  <c r="O53" i="11" s="1"/>
  <c r="P53" i="11" s="1"/>
  <c r="J58" i="11"/>
  <c r="O58" i="11" s="1"/>
  <c r="P58" i="11" s="1"/>
  <c r="J62" i="11"/>
  <c r="O62" i="11" s="1"/>
  <c r="P62" i="11" s="1"/>
  <c r="J243" i="11"/>
  <c r="O243" i="11" s="1"/>
  <c r="P243" i="11" s="1"/>
  <c r="J10" i="11"/>
  <c r="O10" i="11" s="1"/>
  <c r="P10" i="11" s="1"/>
  <c r="J212" i="11"/>
  <c r="O212" i="11" s="1"/>
  <c r="P212" i="11" s="1"/>
  <c r="J274" i="11"/>
  <c r="O274" i="11" s="1"/>
  <c r="P274" i="11" s="1"/>
  <c r="J304" i="11"/>
  <c r="O304" i="11" s="1"/>
  <c r="P304" i="11" s="1"/>
  <c r="J303" i="11"/>
  <c r="O303" i="11" s="1"/>
  <c r="P303" i="11" s="1"/>
  <c r="J73" i="11"/>
  <c r="O73" i="11" s="1"/>
  <c r="P73" i="11" s="1"/>
  <c r="J160" i="11"/>
  <c r="O160" i="11" s="1"/>
  <c r="P160" i="11" s="1"/>
  <c r="J12" i="11"/>
  <c r="O12" i="11" s="1"/>
  <c r="P12" i="11" s="1"/>
  <c r="J195" i="11"/>
  <c r="O195" i="11" s="1"/>
  <c r="P195" i="11" s="1"/>
  <c r="J277" i="11"/>
  <c r="O277" i="11" s="1"/>
  <c r="P277" i="11" s="1"/>
  <c r="J228" i="11"/>
  <c r="O228" i="11" s="1"/>
  <c r="P228" i="11" s="1"/>
  <c r="J226" i="11"/>
  <c r="O226" i="11" s="1"/>
  <c r="P226" i="11" s="1"/>
  <c r="J197" i="11"/>
  <c r="O197" i="11" s="1"/>
  <c r="P197" i="11" s="1"/>
  <c r="J310" i="11"/>
  <c r="O310" i="11" s="1"/>
  <c r="P310" i="11" s="1"/>
  <c r="J5" i="11"/>
  <c r="J46" i="11"/>
  <c r="O46" i="11" s="1"/>
  <c r="P46" i="11" s="1"/>
  <c r="J166" i="11"/>
  <c r="O166" i="11" s="1"/>
  <c r="P166" i="11" s="1"/>
  <c r="J155" i="11"/>
  <c r="O155" i="11" s="1"/>
  <c r="P155" i="11" s="1"/>
  <c r="J237" i="11"/>
  <c r="O237" i="11" s="1"/>
  <c r="P237" i="11" s="1"/>
  <c r="J24" i="11"/>
  <c r="O24" i="11" s="1"/>
  <c r="P24" i="11" s="1"/>
  <c r="J18" i="11"/>
  <c r="O18" i="11" s="1"/>
  <c r="P18" i="11" s="1"/>
  <c r="J230" i="11"/>
  <c r="O230" i="11" s="1"/>
  <c r="P230" i="11" s="1"/>
  <c r="J118" i="11"/>
  <c r="O118" i="11" s="1"/>
  <c r="P118" i="11" s="1"/>
  <c r="J75" i="11"/>
  <c r="O75" i="11" s="1"/>
  <c r="P75" i="11" s="1"/>
  <c r="J34" i="11"/>
  <c r="O34" i="11" s="1"/>
  <c r="P34" i="11" s="1"/>
  <c r="J251" i="11"/>
  <c r="O251" i="11" s="1"/>
  <c r="P251" i="11" s="1"/>
  <c r="J7" i="11"/>
  <c r="O7" i="11" s="1"/>
  <c r="P7" i="11" s="1"/>
  <c r="J264" i="11"/>
  <c r="O264" i="11" s="1"/>
  <c r="P264" i="11" s="1"/>
  <c r="J210" i="11"/>
  <c r="O210" i="11" s="1"/>
  <c r="P210" i="11" s="1"/>
  <c r="J302" i="11"/>
  <c r="O302" i="11" s="1"/>
  <c r="P302" i="11" s="1"/>
  <c r="J55" i="11"/>
  <c r="O55" i="11" s="1"/>
  <c r="P55" i="11" s="1"/>
  <c r="J216" i="11"/>
  <c r="O216" i="11" s="1"/>
  <c r="P216" i="11" s="1"/>
  <c r="J152" i="11"/>
  <c r="O152" i="11" s="1"/>
  <c r="P152" i="11" s="1"/>
  <c r="J76" i="11"/>
  <c r="O76" i="11" s="1"/>
  <c r="P76" i="11" s="1"/>
  <c r="J236" i="11"/>
  <c r="O236" i="11" s="1"/>
  <c r="P236" i="11" s="1"/>
  <c r="J162" i="11"/>
  <c r="O162" i="11" s="1"/>
  <c r="P162" i="11" s="1"/>
  <c r="J127" i="11"/>
  <c r="O127" i="11" s="1"/>
  <c r="P127" i="11" s="1"/>
  <c r="J300" i="11"/>
  <c r="O300" i="11" s="1"/>
  <c r="P300" i="11" s="1"/>
  <c r="J298" i="11"/>
  <c r="O298" i="11" s="1"/>
  <c r="P298" i="11" s="1"/>
  <c r="J28" i="11"/>
  <c r="O28" i="11" s="1"/>
  <c r="P28" i="11" s="1"/>
  <c r="J33" i="11"/>
  <c r="O33" i="11" s="1"/>
  <c r="P33" i="11" s="1"/>
  <c r="J177" i="11"/>
  <c r="O177" i="11" s="1"/>
  <c r="P177" i="11" s="1"/>
  <c r="J247" i="11"/>
  <c r="O247" i="11" s="1"/>
  <c r="P247" i="11" s="1"/>
  <c r="J106" i="11"/>
  <c r="O106" i="11" s="1"/>
  <c r="P106" i="11" s="1"/>
  <c r="J224" i="11"/>
  <c r="O224" i="11" s="1"/>
  <c r="P224" i="11" s="1"/>
  <c r="J59" i="11"/>
  <c r="O59" i="11" s="1"/>
  <c r="P59" i="11" s="1"/>
  <c r="J252" i="11"/>
  <c r="O252" i="11" s="1"/>
  <c r="P252" i="11" s="1"/>
  <c r="J250" i="11"/>
  <c r="O250" i="11" s="1"/>
  <c r="P250" i="11" s="1"/>
  <c r="J245" i="11"/>
  <c r="O245" i="11" s="1"/>
  <c r="P245" i="11" s="1"/>
  <c r="J279" i="11"/>
  <c r="O279" i="11" s="1"/>
  <c r="P279" i="11" s="1"/>
  <c r="J100" i="11"/>
  <c r="O100" i="11" s="1"/>
  <c r="P100" i="11" s="1"/>
  <c r="J263" i="11"/>
  <c r="O263" i="11" s="1"/>
  <c r="P263" i="11" s="1"/>
  <c r="J126" i="11"/>
  <c r="O126" i="11" s="1"/>
  <c r="P126" i="11" s="1"/>
  <c r="J151" i="11"/>
  <c r="O151" i="11" s="1"/>
  <c r="P151" i="11" s="1"/>
  <c r="J6" i="11"/>
  <c r="O6" i="11" s="1"/>
  <c r="P6" i="11" s="1"/>
  <c r="J134" i="11"/>
  <c r="O134" i="11" s="1"/>
  <c r="P134" i="11" s="1"/>
  <c r="J132" i="11"/>
  <c r="O132" i="11" s="1"/>
  <c r="P132" i="11" s="1"/>
  <c r="J130" i="11"/>
  <c r="O130" i="11" s="1"/>
  <c r="P130" i="11" s="1"/>
  <c r="J165" i="11"/>
  <c r="O165" i="11" s="1"/>
  <c r="P165" i="11" s="1"/>
  <c r="J86" i="11"/>
  <c r="O86" i="11" s="1"/>
  <c r="P86" i="11" s="1"/>
  <c r="J276" i="11"/>
  <c r="O276" i="11" s="1"/>
  <c r="P276" i="11" s="1"/>
  <c r="J51" i="11"/>
  <c r="O51" i="11" s="1"/>
  <c r="P51" i="11" s="1"/>
  <c r="J287" i="11"/>
  <c r="O287" i="11" s="1"/>
  <c r="P287" i="11" s="1"/>
  <c r="J190" i="11"/>
  <c r="O190" i="11" s="1"/>
  <c r="P190" i="11" s="1"/>
  <c r="J217" i="11"/>
  <c r="O217" i="11" s="1"/>
  <c r="P217" i="11" s="1"/>
  <c r="J223" i="11"/>
  <c r="O223" i="11" s="1"/>
  <c r="P223" i="11" s="1"/>
  <c r="J85" i="11"/>
  <c r="O85" i="11" s="1"/>
  <c r="P85" i="11" s="1"/>
  <c r="J259" i="11"/>
  <c r="O259" i="11" s="1"/>
  <c r="P259" i="11" s="1"/>
  <c r="J27" i="11"/>
  <c r="O27" i="11" s="1"/>
  <c r="P27" i="11" s="1"/>
  <c r="J292" i="11"/>
  <c r="O292" i="11" s="1"/>
  <c r="P292" i="11" s="1"/>
  <c r="J290" i="11"/>
  <c r="O290" i="11" s="1"/>
  <c r="P290" i="11" s="1"/>
  <c r="J312" i="11"/>
  <c r="O312" i="11" s="1"/>
  <c r="P312" i="11" s="1"/>
  <c r="J311" i="11"/>
  <c r="O311" i="11" s="1"/>
  <c r="P311" i="11" s="1"/>
  <c r="J305" i="11"/>
  <c r="O305" i="11" s="1"/>
  <c r="P305" i="11" s="1"/>
  <c r="J238" i="11"/>
  <c r="O238" i="11" s="1"/>
  <c r="P238" i="11" s="1"/>
  <c r="J241" i="11"/>
  <c r="O241" i="11" s="1"/>
  <c r="P241" i="11" s="1"/>
  <c r="J37" i="11"/>
  <c r="O37" i="11" s="1"/>
  <c r="P37" i="11" s="1"/>
  <c r="J35" i="11"/>
  <c r="O35" i="11" s="1"/>
  <c r="P35" i="11" s="1"/>
  <c r="J57" i="11"/>
  <c r="O57" i="11" s="1"/>
  <c r="P57" i="11" s="1"/>
  <c r="J30" i="11"/>
  <c r="O30" i="11" s="1"/>
  <c r="P30" i="11" s="1"/>
  <c r="J21" i="11"/>
  <c r="O21" i="11" s="1"/>
  <c r="P21" i="11" s="1"/>
  <c r="J19" i="11"/>
  <c r="O19" i="11" s="1"/>
  <c r="P19" i="11" s="1"/>
  <c r="J113" i="11"/>
  <c r="O113" i="11" s="1"/>
  <c r="P113" i="11" s="1"/>
  <c r="J123" i="11"/>
  <c r="O123" i="11" s="1"/>
  <c r="P123" i="11" s="1"/>
  <c r="J257" i="11"/>
  <c r="O257" i="11" s="1"/>
  <c r="P257" i="11" s="1"/>
  <c r="J54" i="11"/>
  <c r="O54" i="11" s="1"/>
  <c r="P54" i="11" s="1"/>
  <c r="J135" i="11"/>
  <c r="O135" i="11" s="1"/>
  <c r="P135" i="11" s="1"/>
  <c r="J295" i="11"/>
  <c r="O295" i="11" s="1"/>
  <c r="P295" i="11" s="1"/>
  <c r="J69" i="11"/>
  <c r="O69" i="11" s="1"/>
  <c r="P69" i="11" s="1"/>
  <c r="J204" i="11"/>
  <c r="O204" i="11" s="1"/>
  <c r="P204" i="11" s="1"/>
  <c r="J202" i="11"/>
  <c r="O202" i="11" s="1"/>
  <c r="P202" i="11" s="1"/>
  <c r="J167" i="11"/>
  <c r="O167" i="11" s="1"/>
  <c r="P167" i="11" s="1"/>
  <c r="J299" i="11"/>
  <c r="O299" i="11" s="1"/>
  <c r="P299" i="11" s="1"/>
  <c r="J278" i="11"/>
  <c r="O278" i="11" s="1"/>
  <c r="P278" i="11" s="1"/>
  <c r="J71" i="11"/>
  <c r="O71" i="11" s="1"/>
  <c r="P71" i="11" s="1"/>
  <c r="J173" i="11"/>
  <c r="O173" i="11" s="1"/>
  <c r="P173" i="11" s="1"/>
  <c r="J168" i="11"/>
  <c r="O168" i="11" s="1"/>
  <c r="P168" i="11" s="1"/>
  <c r="J20" i="11"/>
  <c r="O20" i="11" s="1"/>
  <c r="P20" i="11" s="1"/>
  <c r="J281" i="11"/>
  <c r="O281" i="11" s="1"/>
  <c r="P281" i="11" s="1"/>
  <c r="J14" i="11"/>
  <c r="O14" i="11" s="1"/>
  <c r="P14" i="11" s="1"/>
  <c r="J16" i="11"/>
  <c r="O16" i="11" s="1"/>
  <c r="P16" i="11" s="1"/>
  <c r="J205" i="11"/>
  <c r="O205" i="11" s="1"/>
  <c r="P205" i="11" s="1"/>
  <c r="J120" i="11"/>
  <c r="O120" i="11" s="1"/>
  <c r="P120" i="11" s="1"/>
  <c r="J94" i="11"/>
  <c r="O94" i="11" s="1"/>
  <c r="P94" i="11" s="1"/>
  <c r="J61" i="11"/>
  <c r="O61" i="11" s="1"/>
  <c r="P61" i="11" s="1"/>
  <c r="J301" i="11"/>
  <c r="O301" i="11" s="1"/>
  <c r="P301" i="11" s="1"/>
  <c r="O95" i="11"/>
  <c r="P95" i="11" s="1"/>
  <c r="O246" i="11"/>
  <c r="P246" i="11" s="1"/>
  <c r="O254" i="11"/>
  <c r="P254" i="11" s="1"/>
  <c r="O296" i="11"/>
  <c r="P296" i="11" s="1"/>
  <c r="O79" i="11"/>
  <c r="P79" i="11" s="1"/>
  <c r="O198" i="11"/>
  <c r="P198" i="11" s="1"/>
  <c r="O128" i="11"/>
  <c r="P128" i="11" s="1"/>
  <c r="O50" i="11"/>
  <c r="P50" i="11" s="1"/>
  <c r="O49" i="11"/>
  <c r="P49" i="11" s="1"/>
  <c r="O131" i="11"/>
  <c r="P131" i="11" s="1"/>
  <c r="O229" i="11"/>
  <c r="P229" i="11" s="1"/>
  <c r="O117" i="11"/>
  <c r="P117" i="11" s="1"/>
  <c r="O227" i="11"/>
  <c r="P227" i="11" s="1"/>
  <c r="O115" i="11"/>
  <c r="P115" i="11" s="1"/>
  <c r="O47" i="11"/>
  <c r="P47" i="11" s="1"/>
  <c r="O194" i="11"/>
  <c r="P194" i="11" s="1"/>
  <c r="O114" i="11"/>
  <c r="P114" i="11" s="1"/>
  <c r="O92" i="11"/>
  <c r="P92" i="11" s="1"/>
  <c r="O285" i="11"/>
  <c r="P285" i="11" s="1"/>
  <c r="O268" i="11"/>
  <c r="P268" i="11" s="1"/>
  <c r="O147" i="11"/>
  <c r="P147" i="11" s="1"/>
  <c r="O282" i="11"/>
  <c r="P282" i="11" s="1"/>
  <c r="O99" i="11"/>
  <c r="P99" i="11" s="1"/>
  <c r="O222" i="11"/>
  <c r="P222" i="11" s="1"/>
  <c r="E34" i="48"/>
  <c r="D313" i="39"/>
  <c r="N313" i="11"/>
  <c r="F314" i="25"/>
  <c r="E33" i="48" l="1"/>
  <c r="F34" i="48" s="1"/>
  <c r="F85" i="39"/>
  <c r="F85" i="12"/>
  <c r="F212" i="12"/>
  <c r="F212" i="39"/>
  <c r="F217" i="39"/>
  <c r="F217" i="12"/>
  <c r="F279" i="39"/>
  <c r="F279" i="12"/>
  <c r="F65" i="39"/>
  <c r="F65" i="12"/>
  <c r="F299" i="39"/>
  <c r="F299" i="12"/>
  <c r="F189" i="12"/>
  <c r="F189" i="39"/>
  <c r="F79" i="39"/>
  <c r="F79" i="12"/>
  <c r="F106" i="39"/>
  <c r="F106" i="12"/>
  <c r="F71" i="39"/>
  <c r="F71" i="12"/>
  <c r="F6" i="39"/>
  <c r="F6" i="12"/>
  <c r="F100" i="39"/>
  <c r="F100" i="12"/>
  <c r="F156" i="12"/>
  <c r="F156" i="39"/>
  <c r="F29" i="12"/>
  <c r="F29" i="39"/>
  <c r="F108" i="39"/>
  <c r="F108" i="12"/>
  <c r="F21" i="12"/>
  <c r="F21" i="39"/>
  <c r="F117" i="12"/>
  <c r="F117" i="39"/>
  <c r="F166" i="39"/>
  <c r="F166" i="12"/>
  <c r="F159" i="39"/>
  <c r="F159" i="12"/>
  <c r="F50" i="12"/>
  <c r="F50" i="39"/>
  <c r="F119" i="12"/>
  <c r="F119" i="39"/>
  <c r="F144" i="12"/>
  <c r="F144" i="39"/>
  <c r="F255" i="39"/>
  <c r="F255" i="12"/>
  <c r="F136" i="12"/>
  <c r="F136" i="39"/>
  <c r="F308" i="39"/>
  <c r="F308" i="12"/>
  <c r="F39" i="39"/>
  <c r="F39" i="12"/>
  <c r="F225" i="39"/>
  <c r="F225" i="12"/>
  <c r="F213" i="12"/>
  <c r="F213" i="39"/>
  <c r="F273" i="39"/>
  <c r="F273" i="12"/>
  <c r="F284" i="39"/>
  <c r="F284" i="12"/>
  <c r="F281" i="39"/>
  <c r="F281" i="12"/>
  <c r="F202" i="39"/>
  <c r="F202" i="12"/>
  <c r="F113" i="12"/>
  <c r="F113" i="39"/>
  <c r="F238" i="39"/>
  <c r="F238" i="12"/>
  <c r="F165" i="12"/>
  <c r="F165" i="39"/>
  <c r="F247" i="39"/>
  <c r="F247" i="12"/>
  <c r="F236" i="12"/>
  <c r="F236" i="39"/>
  <c r="F237" i="39"/>
  <c r="F237" i="12"/>
  <c r="F228" i="12"/>
  <c r="F228" i="39"/>
  <c r="F274" i="12"/>
  <c r="F274" i="39"/>
  <c r="F240" i="12"/>
  <c r="F240" i="39"/>
  <c r="F235" i="39"/>
  <c r="F235" i="12"/>
  <c r="F265" i="12"/>
  <c r="F265" i="39"/>
  <c r="F25" i="12"/>
  <c r="F25" i="39"/>
  <c r="F66" i="12"/>
  <c r="F66" i="39"/>
  <c r="F280" i="39"/>
  <c r="F280" i="12"/>
  <c r="F249" i="39"/>
  <c r="F249" i="12"/>
  <c r="F11" i="12"/>
  <c r="F11" i="39"/>
  <c r="F214" i="39"/>
  <c r="F214" i="12"/>
  <c r="F146" i="12"/>
  <c r="F146" i="39"/>
  <c r="F270" i="12"/>
  <c r="F270" i="39"/>
  <c r="F103" i="12"/>
  <c r="F103" i="39"/>
  <c r="F74" i="12"/>
  <c r="F74" i="39"/>
  <c r="F207" i="39"/>
  <c r="F207" i="12"/>
  <c r="F27" i="12"/>
  <c r="F27" i="39"/>
  <c r="F131" i="12"/>
  <c r="F131" i="39"/>
  <c r="F155" i="12"/>
  <c r="F155" i="39"/>
  <c r="F120" i="12"/>
  <c r="F120" i="39"/>
  <c r="F55" i="39"/>
  <c r="F55" i="12"/>
  <c r="F78" i="12"/>
  <c r="F78" i="39"/>
  <c r="F211" i="39"/>
  <c r="F211" i="12"/>
  <c r="F137" i="12"/>
  <c r="F137" i="39"/>
  <c r="F215" i="39"/>
  <c r="F215" i="12"/>
  <c r="F47" i="39"/>
  <c r="F47" i="12"/>
  <c r="F221" i="39"/>
  <c r="F221" i="12"/>
  <c r="F163" i="12"/>
  <c r="F163" i="39"/>
  <c r="F262" i="39"/>
  <c r="F262" i="12"/>
  <c r="F271" i="39"/>
  <c r="F271" i="12"/>
  <c r="F242" i="39"/>
  <c r="F242" i="12"/>
  <c r="F261" i="12"/>
  <c r="F261" i="39"/>
  <c r="F161" i="12"/>
  <c r="F161" i="39"/>
  <c r="F178" i="39"/>
  <c r="F178" i="12"/>
  <c r="F176" i="39"/>
  <c r="F176" i="12"/>
  <c r="F22" i="39"/>
  <c r="F22" i="12"/>
  <c r="F296" i="39"/>
  <c r="F296" i="12"/>
  <c r="F209" i="39"/>
  <c r="F209" i="12"/>
  <c r="F201" i="39"/>
  <c r="F201" i="12"/>
  <c r="F254" i="12"/>
  <c r="F254" i="39"/>
  <c r="F301" i="12"/>
  <c r="F301" i="39"/>
  <c r="F20" i="39"/>
  <c r="F20" i="12"/>
  <c r="F204" i="12"/>
  <c r="F204" i="39"/>
  <c r="F19" i="12"/>
  <c r="F19" i="39"/>
  <c r="F305" i="39"/>
  <c r="F305" i="12"/>
  <c r="F177" i="39"/>
  <c r="F177" i="12"/>
  <c r="F76" i="12"/>
  <c r="F76" i="39"/>
  <c r="F157" i="39"/>
  <c r="F157" i="12"/>
  <c r="F77" i="39"/>
  <c r="F77" i="12"/>
  <c r="F9" i="12"/>
  <c r="F9" i="39"/>
  <c r="F208" i="12"/>
  <c r="F208" i="39"/>
  <c r="F127" i="12"/>
  <c r="F127" i="39"/>
  <c r="F239" i="39"/>
  <c r="F239" i="12"/>
  <c r="F98" i="12"/>
  <c r="F98" i="39"/>
  <c r="F23" i="39"/>
  <c r="F23" i="12"/>
  <c r="F57" i="39"/>
  <c r="F57" i="12"/>
  <c r="F290" i="12"/>
  <c r="F290" i="39"/>
  <c r="F252" i="12"/>
  <c r="F252" i="39"/>
  <c r="F140" i="12"/>
  <c r="F140" i="39"/>
  <c r="F92" i="39"/>
  <c r="F92" i="12"/>
  <c r="F164" i="12"/>
  <c r="F164" i="39"/>
  <c r="F282" i="12"/>
  <c r="F282" i="39"/>
  <c r="F143" i="39"/>
  <c r="F143" i="12"/>
  <c r="F220" i="12"/>
  <c r="F220" i="39"/>
  <c r="F192" i="39"/>
  <c r="F192" i="12"/>
  <c r="F210" i="39"/>
  <c r="F210" i="12"/>
  <c r="F268" i="39"/>
  <c r="F268" i="12"/>
  <c r="F256" i="39"/>
  <c r="F256" i="12"/>
  <c r="F244" i="12"/>
  <c r="F244" i="39"/>
  <c r="F263" i="39"/>
  <c r="F263" i="12"/>
  <c r="F104" i="12"/>
  <c r="F104" i="39"/>
  <c r="F151" i="39"/>
  <c r="F151" i="12"/>
  <c r="F59" i="12"/>
  <c r="F59" i="39"/>
  <c r="F96" i="12"/>
  <c r="F96" i="39"/>
  <c r="F200" i="39"/>
  <c r="F200" i="12"/>
  <c r="F303" i="39"/>
  <c r="F303" i="12"/>
  <c r="F289" i="12"/>
  <c r="F289" i="39"/>
  <c r="F67" i="39"/>
  <c r="F67" i="12"/>
  <c r="F198" i="39"/>
  <c r="F198" i="12"/>
  <c r="F97" i="12"/>
  <c r="F97" i="39"/>
  <c r="F310" i="12"/>
  <c r="F310" i="39"/>
  <c r="F101" i="39"/>
  <c r="F101" i="12"/>
  <c r="F232" i="12"/>
  <c r="F232" i="39"/>
  <c r="F31" i="39"/>
  <c r="F31" i="12"/>
  <c r="F41" i="39"/>
  <c r="F41" i="12"/>
  <c r="F12" i="39"/>
  <c r="F12" i="12"/>
  <c r="F69" i="39"/>
  <c r="F69" i="12"/>
  <c r="F311" i="39"/>
  <c r="F311" i="12"/>
  <c r="F132" i="12"/>
  <c r="F132" i="39"/>
  <c r="F33" i="39"/>
  <c r="F33" i="12"/>
  <c r="F152" i="12"/>
  <c r="F152" i="39"/>
  <c r="F179" i="39"/>
  <c r="F179" i="12"/>
  <c r="F184" i="39"/>
  <c r="F184" i="12"/>
  <c r="F264" i="39"/>
  <c r="F264" i="12"/>
  <c r="F223" i="39"/>
  <c r="F223" i="12"/>
  <c r="F233" i="39"/>
  <c r="F233" i="12"/>
  <c r="F196" i="39"/>
  <c r="F196" i="12"/>
  <c r="F298" i="12"/>
  <c r="F298" i="39"/>
  <c r="F277" i="39"/>
  <c r="F277" i="12"/>
  <c r="F194" i="39"/>
  <c r="F194" i="12"/>
  <c r="F245" i="12"/>
  <c r="F245" i="39"/>
  <c r="F114" i="12"/>
  <c r="F114" i="39"/>
  <c r="F45" i="12"/>
  <c r="F45" i="39"/>
  <c r="F203" i="39"/>
  <c r="F203" i="12"/>
  <c r="F175" i="39"/>
  <c r="F175" i="12"/>
  <c r="F168" i="39"/>
  <c r="F168" i="12"/>
  <c r="F133" i="12"/>
  <c r="F133" i="39"/>
  <c r="F61" i="39"/>
  <c r="F61" i="12"/>
  <c r="F141" i="39"/>
  <c r="F141" i="12"/>
  <c r="F306" i="12"/>
  <c r="F306" i="39"/>
  <c r="F195" i="12"/>
  <c r="F195" i="39"/>
  <c r="F80" i="12"/>
  <c r="F80" i="39"/>
  <c r="F251" i="39"/>
  <c r="F251" i="12"/>
  <c r="F107" i="39"/>
  <c r="F107" i="12"/>
  <c r="F267" i="39"/>
  <c r="F267" i="12"/>
  <c r="F304" i="39"/>
  <c r="F304" i="12"/>
  <c r="F42" i="12"/>
  <c r="F42" i="39"/>
  <c r="F30" i="39"/>
  <c r="F30" i="12"/>
  <c r="F153" i="12"/>
  <c r="F153" i="39"/>
  <c r="F7" i="12"/>
  <c r="F7" i="39"/>
  <c r="F75" i="39"/>
  <c r="F75" i="12"/>
  <c r="F43" i="39"/>
  <c r="F43" i="12"/>
  <c r="F116" i="39"/>
  <c r="F116" i="12"/>
  <c r="F81" i="39"/>
  <c r="F81" i="12"/>
  <c r="F34" i="12"/>
  <c r="F34" i="39"/>
  <c r="F253" i="39"/>
  <c r="F253" i="12"/>
  <c r="F64" i="12"/>
  <c r="F64" i="39"/>
  <c r="F37" i="39"/>
  <c r="F37" i="12"/>
  <c r="F258" i="12"/>
  <c r="F258" i="39"/>
  <c r="F94" i="12"/>
  <c r="F94" i="39"/>
  <c r="F173" i="39"/>
  <c r="F173" i="12"/>
  <c r="F295" i="39"/>
  <c r="F295" i="12"/>
  <c r="F190" i="39"/>
  <c r="F190" i="12"/>
  <c r="F134" i="12"/>
  <c r="F134" i="39"/>
  <c r="F250" i="39"/>
  <c r="F250" i="12"/>
  <c r="F216" i="12"/>
  <c r="F216" i="39"/>
  <c r="F46" i="12"/>
  <c r="F46" i="39"/>
  <c r="F109" i="39"/>
  <c r="F109" i="12"/>
  <c r="F142" i="12"/>
  <c r="F142" i="39"/>
  <c r="F293" i="39"/>
  <c r="F293" i="12"/>
  <c r="F138" i="12"/>
  <c r="F138" i="39"/>
  <c r="F160" i="12"/>
  <c r="F160" i="39"/>
  <c r="F62" i="12"/>
  <c r="F62" i="39"/>
  <c r="F269" i="12"/>
  <c r="F269" i="39"/>
  <c r="F87" i="39"/>
  <c r="F87" i="12"/>
  <c r="F286" i="12"/>
  <c r="F286" i="39"/>
  <c r="F218" i="39"/>
  <c r="F218" i="12"/>
  <c r="F121" i="12"/>
  <c r="F121" i="39"/>
  <c r="F248" i="12"/>
  <c r="F248" i="39"/>
  <c r="F180" i="12"/>
  <c r="F180" i="39"/>
  <c r="F219" i="39"/>
  <c r="F219" i="12"/>
  <c r="F150" i="12"/>
  <c r="F150" i="39"/>
  <c r="F63" i="39"/>
  <c r="F63" i="12"/>
  <c r="F181" i="39"/>
  <c r="F181" i="12"/>
  <c r="F70" i="12"/>
  <c r="F70" i="39"/>
  <c r="F102" i="12"/>
  <c r="F102" i="39"/>
  <c r="F187" i="39"/>
  <c r="F187" i="12"/>
  <c r="F52" i="12"/>
  <c r="F52" i="39"/>
  <c r="F170" i="39"/>
  <c r="F170" i="12"/>
  <c r="F105" i="39"/>
  <c r="F105" i="12"/>
  <c r="F93" i="39"/>
  <c r="F93" i="12"/>
  <c r="F276" i="39"/>
  <c r="F276" i="12"/>
  <c r="F111" i="39"/>
  <c r="F111" i="12"/>
  <c r="F272" i="39"/>
  <c r="F272" i="12"/>
  <c r="F294" i="39"/>
  <c r="F294" i="12"/>
  <c r="F88" i="12"/>
  <c r="F88" i="39"/>
  <c r="F24" i="39"/>
  <c r="F24" i="12"/>
  <c r="F139" i="39"/>
  <c r="F139" i="12"/>
  <c r="F312" i="39"/>
  <c r="F312" i="12"/>
  <c r="F191" i="39"/>
  <c r="F191" i="12"/>
  <c r="F185" i="39"/>
  <c r="F185" i="12"/>
  <c r="F234" i="39"/>
  <c r="F234" i="12"/>
  <c r="F86" i="12"/>
  <c r="F86" i="39"/>
  <c r="F246" i="39"/>
  <c r="F246" i="12"/>
  <c r="F205" i="39"/>
  <c r="F205" i="12"/>
  <c r="F278" i="39"/>
  <c r="F278" i="12"/>
  <c r="F54" i="12"/>
  <c r="F54" i="39"/>
  <c r="F35" i="39"/>
  <c r="F35" i="12"/>
  <c r="F292" i="39"/>
  <c r="F292" i="12"/>
  <c r="F51" i="12"/>
  <c r="F51" i="39"/>
  <c r="F300" i="39"/>
  <c r="F300" i="12"/>
  <c r="F302" i="12"/>
  <c r="F302" i="39"/>
  <c r="F230" i="39"/>
  <c r="F230" i="12"/>
  <c r="F58" i="12"/>
  <c r="F58" i="39"/>
  <c r="F82" i="12"/>
  <c r="F82" i="39"/>
  <c r="F283" i="39"/>
  <c r="F283" i="12"/>
  <c r="F125" i="12"/>
  <c r="F125" i="39"/>
  <c r="F172" i="12"/>
  <c r="F172" i="39"/>
  <c r="F56" i="12"/>
  <c r="F56" i="39"/>
  <c r="F129" i="12"/>
  <c r="F129" i="39"/>
  <c r="F162" i="39"/>
  <c r="F162" i="12"/>
  <c r="F15" i="12"/>
  <c r="F15" i="39"/>
  <c r="F297" i="39"/>
  <c r="F297" i="12"/>
  <c r="F128" i="12"/>
  <c r="F128" i="39"/>
  <c r="F148" i="12"/>
  <c r="F148" i="39"/>
  <c r="F91" i="39"/>
  <c r="F91" i="12"/>
  <c r="F135" i="12"/>
  <c r="F135" i="39"/>
  <c r="F287" i="39"/>
  <c r="F287" i="12"/>
  <c r="F118" i="12"/>
  <c r="F118" i="39"/>
  <c r="F183" i="39"/>
  <c r="F183" i="12"/>
  <c r="F186" i="39"/>
  <c r="F186" i="12"/>
  <c r="F147" i="12"/>
  <c r="F147" i="39"/>
  <c r="F130" i="12"/>
  <c r="F130" i="39"/>
  <c r="F36" i="12"/>
  <c r="F36" i="39"/>
  <c r="F84" i="12"/>
  <c r="F84" i="39"/>
  <c r="F227" i="39"/>
  <c r="F227" i="12"/>
  <c r="F44" i="12"/>
  <c r="F44" i="39"/>
  <c r="F73" i="39"/>
  <c r="F73" i="12"/>
  <c r="F112" i="39"/>
  <c r="F112" i="12"/>
  <c r="F243" i="39"/>
  <c r="F243" i="12"/>
  <c r="F222" i="39"/>
  <c r="F222" i="12"/>
  <c r="F99" i="12"/>
  <c r="F99" i="39"/>
  <c r="F182" i="39"/>
  <c r="F182" i="12"/>
  <c r="F171" i="39"/>
  <c r="F171" i="12"/>
  <c r="F285" i="12"/>
  <c r="F285" i="39"/>
  <c r="F89" i="39"/>
  <c r="F89" i="12"/>
  <c r="F309" i="39"/>
  <c r="F309" i="12"/>
  <c r="F123" i="12"/>
  <c r="F123" i="39"/>
  <c r="F18" i="39"/>
  <c r="F18" i="12"/>
  <c r="F145" i="12"/>
  <c r="F145" i="39"/>
  <c r="F288" i="39"/>
  <c r="F288" i="12"/>
  <c r="F8" i="39"/>
  <c r="F8" i="12"/>
  <c r="F110" i="12"/>
  <c r="F110" i="39"/>
  <c r="F49" i="39"/>
  <c r="F49" i="12"/>
  <c r="F124" i="39"/>
  <c r="F124" i="12"/>
  <c r="F275" i="39"/>
  <c r="F275" i="12"/>
  <c r="F68" i="12"/>
  <c r="F68" i="39"/>
  <c r="F174" i="39"/>
  <c r="F174" i="12"/>
  <c r="F199" i="39"/>
  <c r="F199" i="12"/>
  <c r="F28" i="39"/>
  <c r="F28" i="12"/>
  <c r="F154" i="39"/>
  <c r="F154" i="12"/>
  <c r="F72" i="12"/>
  <c r="F72" i="39"/>
  <c r="F16" i="39"/>
  <c r="F16" i="12"/>
  <c r="F257" i="12"/>
  <c r="F257" i="39"/>
  <c r="F126" i="12"/>
  <c r="F126" i="39"/>
  <c r="F224" i="12"/>
  <c r="F224" i="39"/>
  <c r="F197" i="39"/>
  <c r="F197" i="12"/>
  <c r="F38" i="12"/>
  <c r="F38" i="39"/>
  <c r="F13" i="12"/>
  <c r="F13" i="39"/>
  <c r="F90" i="12"/>
  <c r="F90" i="39"/>
  <c r="F291" i="39"/>
  <c r="F291" i="12"/>
  <c r="F10" i="39"/>
  <c r="F10" i="12"/>
  <c r="F206" i="12"/>
  <c r="F206" i="39"/>
  <c r="F115" i="39"/>
  <c r="F115" i="12"/>
  <c r="F149" i="39"/>
  <c r="F149" i="12"/>
  <c r="F231" i="39"/>
  <c r="F231" i="12"/>
  <c r="F40" i="12"/>
  <c r="F40" i="39"/>
  <c r="F229" i="12"/>
  <c r="F229" i="39"/>
  <c r="F83" i="39"/>
  <c r="F83" i="12"/>
  <c r="F122" i="12"/>
  <c r="F122" i="39"/>
  <c r="F53" i="12"/>
  <c r="F53" i="39"/>
  <c r="F307" i="39"/>
  <c r="F307" i="12"/>
  <c r="F266" i="12"/>
  <c r="F266" i="39"/>
  <c r="F60" i="12"/>
  <c r="F60" i="39"/>
  <c r="F169" i="12"/>
  <c r="F169" i="39"/>
  <c r="F260" i="39"/>
  <c r="F260" i="12"/>
  <c r="F17" i="12"/>
  <c r="F17" i="39"/>
  <c r="F48" i="12"/>
  <c r="F48" i="39"/>
  <c r="F95" i="39"/>
  <c r="F95" i="12"/>
  <c r="F14" i="39"/>
  <c r="F14" i="12"/>
  <c r="F167" i="39"/>
  <c r="F167" i="12"/>
  <c r="F241" i="39"/>
  <c r="F241" i="12"/>
  <c r="F259" i="39"/>
  <c r="F259" i="12"/>
  <c r="F226" i="39"/>
  <c r="F226" i="12"/>
  <c r="F193" i="39"/>
  <c r="F193" i="12"/>
  <c r="F188" i="39"/>
  <c r="F188" i="12"/>
  <c r="F158" i="12"/>
  <c r="F158" i="39"/>
  <c r="F26" i="39"/>
  <c r="F26" i="12"/>
  <c r="F32" i="12"/>
  <c r="F32" i="39"/>
  <c r="O5" i="11"/>
  <c r="P5" i="11" s="1"/>
  <c r="J313" i="11"/>
  <c r="H32" i="25"/>
  <c r="H205" i="25"/>
  <c r="H171" i="25"/>
  <c r="H154" i="25"/>
  <c r="H198" i="25"/>
  <c r="H165" i="25"/>
  <c r="H133" i="25"/>
  <c r="H17" i="25"/>
  <c r="H176" i="25"/>
  <c r="H299" i="25"/>
  <c r="H40" i="25"/>
  <c r="H196" i="25"/>
  <c r="H88" i="25"/>
  <c r="H214" i="25"/>
  <c r="H218" i="25"/>
  <c r="H222" i="25"/>
  <c r="H195" i="25"/>
  <c r="H179" i="25"/>
  <c r="H162" i="25"/>
  <c r="H146" i="25"/>
  <c r="H190" i="25"/>
  <c r="H174" i="25"/>
  <c r="H157" i="25"/>
  <c r="H126" i="25"/>
  <c r="H111" i="25"/>
  <c r="H91" i="25"/>
  <c r="H189" i="25"/>
  <c r="H211" i="25"/>
  <c r="H7" i="25"/>
  <c r="H267" i="25"/>
  <c r="H25" i="25"/>
  <c r="H223" i="25"/>
  <c r="H209" i="25"/>
  <c r="H221" i="25"/>
  <c r="H213" i="25"/>
  <c r="H191" i="25"/>
  <c r="H175" i="25"/>
  <c r="H158" i="25"/>
  <c r="H142" i="25"/>
  <c r="H34" i="25"/>
  <c r="H202" i="25"/>
  <c r="H186" i="25"/>
  <c r="H170" i="25"/>
  <c r="H153" i="25"/>
  <c r="H137" i="25"/>
  <c r="H123" i="25"/>
  <c r="H107" i="25"/>
  <c r="H24" i="25"/>
  <c r="H90" i="25"/>
  <c r="H173" i="25"/>
  <c r="H192" i="25"/>
  <c r="H127" i="25"/>
  <c r="H63" i="25"/>
  <c r="H92" i="25"/>
  <c r="H251" i="25"/>
  <c r="H302" i="25"/>
  <c r="H236" i="25"/>
  <c r="H49" i="25"/>
  <c r="H79" i="25"/>
  <c r="H29" i="25"/>
  <c r="H152" i="25"/>
  <c r="H172" i="25"/>
  <c r="H305" i="25"/>
  <c r="H239" i="25"/>
  <c r="H144" i="25"/>
  <c r="H308" i="25"/>
  <c r="H244" i="25"/>
  <c r="H147" i="25"/>
  <c r="H303" i="25"/>
  <c r="H237" i="25"/>
  <c r="H290" i="25"/>
  <c r="H44" i="25"/>
  <c r="H94" i="25"/>
  <c r="H265" i="25"/>
  <c r="H300" i="25"/>
  <c r="H232" i="25"/>
  <c r="H26" i="25"/>
  <c r="H75" i="25"/>
  <c r="H253" i="25"/>
  <c r="H304" i="25"/>
  <c r="H238" i="25"/>
  <c r="H85" i="25"/>
  <c r="H46" i="25"/>
  <c r="H259" i="25"/>
  <c r="H294" i="25"/>
  <c r="H73" i="25"/>
  <c r="H121" i="25"/>
  <c r="H151" i="25"/>
  <c r="H263" i="25"/>
  <c r="H298" i="25"/>
  <c r="H36" i="25"/>
  <c r="H200" i="25"/>
  <c r="H35" i="25"/>
  <c r="H101" i="25"/>
  <c r="H67" i="25"/>
  <c r="H309" i="25"/>
  <c r="H245" i="25"/>
  <c r="H280" i="25"/>
  <c r="H50" i="25"/>
  <c r="H216" i="25"/>
  <c r="H68" i="25"/>
  <c r="H100" i="25"/>
  <c r="H76" i="25"/>
  <c r="H54" i="25"/>
  <c r="H64" i="25"/>
  <c r="H56" i="25"/>
  <c r="H112" i="25"/>
  <c r="H96" i="25"/>
  <c r="H41" i="25"/>
  <c r="H103" i="25"/>
  <c r="H113" i="25"/>
  <c r="H286" i="25"/>
  <c r="H47" i="25"/>
  <c r="H155" i="25"/>
  <c r="H193" i="25"/>
  <c r="H292" i="25"/>
  <c r="H131" i="25"/>
  <c r="H287" i="25"/>
  <c r="H125" i="25"/>
  <c r="H284" i="25"/>
  <c r="H313" i="25"/>
  <c r="H249" i="25"/>
  <c r="H268" i="25"/>
  <c r="H243" i="25"/>
  <c r="H59" i="25"/>
  <c r="H301" i="25"/>
  <c r="H235" i="25"/>
  <c r="H288" i="25"/>
  <c r="H42" i="25"/>
  <c r="H69" i="25"/>
  <c r="H307" i="25"/>
  <c r="H241" i="25"/>
  <c r="H278" i="25"/>
  <c r="H57" i="25"/>
  <c r="H181" i="25"/>
  <c r="H311" i="25"/>
  <c r="H247" i="25"/>
  <c r="H282" i="25"/>
  <c r="H197" i="25"/>
  <c r="H167" i="25"/>
  <c r="H86" i="25"/>
  <c r="H45" i="25"/>
  <c r="H51" i="25"/>
  <c r="H293" i="25"/>
  <c r="H21" i="25"/>
  <c r="H264" i="25"/>
  <c r="H219" i="25"/>
  <c r="H122" i="25"/>
  <c r="H52" i="25"/>
  <c r="H78" i="25"/>
  <c r="H60" i="25"/>
  <c r="H118" i="25"/>
  <c r="H48" i="25"/>
  <c r="H58" i="25"/>
  <c r="H231" i="25"/>
  <c r="H229" i="25"/>
  <c r="H187" i="25"/>
  <c r="H138" i="25"/>
  <c r="H182" i="25"/>
  <c r="H149" i="25"/>
  <c r="H119" i="25"/>
  <c r="H98" i="25"/>
  <c r="H156" i="25"/>
  <c r="H19" i="25"/>
  <c r="H233" i="25"/>
  <c r="H207" i="25"/>
  <c r="H201" i="25"/>
  <c r="H136" i="25"/>
  <c r="H289" i="25"/>
  <c r="H128" i="25"/>
  <c r="H274" i="25"/>
  <c r="H31" i="25"/>
  <c r="H206" i="25"/>
  <c r="H226" i="25"/>
  <c r="H204" i="25"/>
  <c r="H230" i="25"/>
  <c r="H183" i="25"/>
  <c r="H166" i="25"/>
  <c r="H134" i="25"/>
  <c r="H37" i="25"/>
  <c r="H194" i="25"/>
  <c r="H178" i="25"/>
  <c r="H161" i="25"/>
  <c r="H145" i="25"/>
  <c r="H129" i="25"/>
  <c r="H115" i="25"/>
  <c r="H99" i="25"/>
  <c r="H13" i="25"/>
  <c r="H210" i="25"/>
  <c r="H140" i="25"/>
  <c r="H159" i="25"/>
  <c r="H22" i="25"/>
  <c r="H77" i="25"/>
  <c r="H283" i="25"/>
  <c r="H93" i="25"/>
  <c r="H270" i="25"/>
  <c r="H81" i="25"/>
  <c r="H139" i="25"/>
  <c r="H61" i="25"/>
  <c r="H185" i="25"/>
  <c r="H28" i="25"/>
  <c r="H124" i="25"/>
  <c r="H273" i="25"/>
  <c r="H177" i="25"/>
  <c r="H39" i="25"/>
  <c r="H276" i="25"/>
  <c r="H180" i="25"/>
  <c r="H11" i="25"/>
  <c r="H271" i="25"/>
  <c r="H16" i="25"/>
  <c r="H258" i="25"/>
  <c r="H234" i="25"/>
  <c r="H297" i="25"/>
  <c r="H89" i="25"/>
  <c r="H252" i="25"/>
  <c r="H71" i="25"/>
  <c r="H203" i="25"/>
  <c r="H285" i="25"/>
  <c r="H97" i="25"/>
  <c r="H272" i="25"/>
  <c r="H225" i="25"/>
  <c r="H53" i="25"/>
  <c r="H291" i="25"/>
  <c r="H20" i="25"/>
  <c r="H262" i="25"/>
  <c r="H30" i="25"/>
  <c r="H148" i="25"/>
  <c r="H295" i="25"/>
  <c r="H23" i="25"/>
  <c r="H266" i="25"/>
  <c r="H164" i="25"/>
  <c r="H135" i="25"/>
  <c r="H220" i="25"/>
  <c r="H227" i="25"/>
  <c r="H224" i="25"/>
  <c r="H277" i="25"/>
  <c r="H312" i="25"/>
  <c r="H248" i="25"/>
  <c r="H120" i="25"/>
  <c r="H106" i="25"/>
  <c r="H66" i="25"/>
  <c r="H62" i="25"/>
  <c r="H108" i="25"/>
  <c r="H102" i="25"/>
  <c r="H110" i="25"/>
  <c r="H242" i="25"/>
  <c r="H199" i="25"/>
  <c r="H150" i="25"/>
  <c r="H212" i="25"/>
  <c r="H130" i="25"/>
  <c r="H141" i="25"/>
  <c r="H9" i="25"/>
  <c r="H143" i="25"/>
  <c r="H27" i="25"/>
  <c r="H12" i="25"/>
  <c r="H254" i="25"/>
  <c r="H65" i="25"/>
  <c r="H87" i="25"/>
  <c r="H43" i="25"/>
  <c r="H169" i="25"/>
  <c r="H188" i="25"/>
  <c r="H109" i="25"/>
  <c r="H257" i="25"/>
  <c r="H160" i="25"/>
  <c r="H18" i="25"/>
  <c r="H260" i="25"/>
  <c r="H163" i="25"/>
  <c r="H208" i="25"/>
  <c r="H255" i="25"/>
  <c r="H306" i="25"/>
  <c r="H240" i="25"/>
  <c r="H228" i="25"/>
  <c r="H281" i="25"/>
  <c r="H10" i="25"/>
  <c r="H38" i="25"/>
  <c r="H55" i="25"/>
  <c r="H33" i="25"/>
  <c r="H269" i="25"/>
  <c r="H14" i="25"/>
  <c r="H256" i="25"/>
  <c r="H215" i="25"/>
  <c r="H168" i="25"/>
  <c r="H275" i="25"/>
  <c r="H310" i="25"/>
  <c r="H246" i="25"/>
  <c r="H105" i="25"/>
  <c r="H184" i="25"/>
  <c r="H279" i="25"/>
  <c r="H8" i="25"/>
  <c r="H250" i="25"/>
  <c r="H132" i="25"/>
  <c r="H15" i="25"/>
  <c r="H117" i="25"/>
  <c r="H83" i="25"/>
  <c r="H95" i="25"/>
  <c r="H261" i="25"/>
  <c r="H296" i="25"/>
  <c r="H104" i="25"/>
  <c r="H82" i="25"/>
  <c r="H84" i="25"/>
  <c r="H116" i="25"/>
  <c r="H114" i="25"/>
  <c r="H70" i="25"/>
  <c r="H80" i="25"/>
  <c r="H72" i="25"/>
  <c r="H74" i="25"/>
  <c r="H217" i="25"/>
  <c r="H6" i="25" l="1"/>
  <c r="O313" i="11"/>
  <c r="P313" i="11" s="1"/>
  <c r="F313" i="39" s="1"/>
  <c r="F5" i="39"/>
  <c r="F5" i="12"/>
  <c r="C7" i="34" l="1"/>
  <c r="C9" i="34" s="1"/>
  <c r="H314" i="25"/>
  <c r="F313" i="12"/>
  <c r="D7" i="34" l="1"/>
  <c r="D9" i="34" s="1"/>
  <c r="E15" i="34" s="1"/>
  <c r="E22" i="34" s="1"/>
  <c r="I22" i="34" s="1"/>
  <c r="E16" i="34" l="1"/>
  <c r="E200" i="34"/>
  <c r="I200" i="34" s="1"/>
  <c r="E255" i="34"/>
  <c r="I255" i="34" s="1"/>
  <c r="E244" i="39" s="1"/>
  <c r="G244" i="39" s="1"/>
  <c r="H244" i="39" s="1"/>
  <c r="I244" i="39" s="1"/>
  <c r="J244" i="39" s="1"/>
  <c r="E191" i="34"/>
  <c r="I191" i="34" s="1"/>
  <c r="E180" i="12" s="1"/>
  <c r="G180" i="12" s="1"/>
  <c r="H180" i="12" s="1"/>
  <c r="E21" i="34"/>
  <c r="I21" i="34" s="1"/>
  <c r="E262" i="34"/>
  <c r="I262" i="34" s="1"/>
  <c r="E251" i="39" s="1"/>
  <c r="G251" i="39" s="1"/>
  <c r="H251" i="39" s="1"/>
  <c r="I251" i="39" s="1"/>
  <c r="J251" i="39" s="1"/>
  <c r="E286" i="34"/>
  <c r="I286" i="34" s="1"/>
  <c r="E275" i="12" s="1"/>
  <c r="G275" i="12" s="1"/>
  <c r="H275" i="12" s="1"/>
  <c r="E144" i="34"/>
  <c r="I144" i="34" s="1"/>
  <c r="E133" i="39" s="1"/>
  <c r="G133" i="39" s="1"/>
  <c r="H133" i="39" s="1"/>
  <c r="I133" i="39" s="1"/>
  <c r="J133" i="39" s="1"/>
  <c r="E127" i="34"/>
  <c r="I127" i="34" s="1"/>
  <c r="E91" i="34"/>
  <c r="I91" i="34" s="1"/>
  <c r="E203" i="34"/>
  <c r="I203" i="34" s="1"/>
  <c r="E192" i="12" s="1"/>
  <c r="G192" i="12" s="1"/>
  <c r="H192" i="12" s="1"/>
  <c r="E160" i="34"/>
  <c r="I160" i="34" s="1"/>
  <c r="E149" i="39" s="1"/>
  <c r="G149" i="39" s="1"/>
  <c r="H149" i="39" s="1"/>
  <c r="I149" i="39" s="1"/>
  <c r="J149" i="39" s="1"/>
  <c r="E164" i="34"/>
  <c r="I164" i="34" s="1"/>
  <c r="E295" i="34"/>
  <c r="I295" i="34" s="1"/>
  <c r="E284" i="39" s="1"/>
  <c r="G284" i="39" s="1"/>
  <c r="H284" i="39" s="1"/>
  <c r="I284" i="39" s="1"/>
  <c r="J284" i="39" s="1"/>
  <c r="E175" i="34"/>
  <c r="I175" i="34" s="1"/>
  <c r="E164" i="12" s="1"/>
  <c r="G164" i="12" s="1"/>
  <c r="H164" i="12" s="1"/>
  <c r="E96" i="34"/>
  <c r="I96" i="34" s="1"/>
  <c r="E85" i="12" s="1"/>
  <c r="G85" i="12" s="1"/>
  <c r="H85" i="12" s="1"/>
  <c r="E163" i="34"/>
  <c r="I163" i="34" s="1"/>
  <c r="E270" i="34"/>
  <c r="I270" i="34" s="1"/>
  <c r="E136" i="34"/>
  <c r="I136" i="34" s="1"/>
  <c r="E125" i="12" s="1"/>
  <c r="G125" i="12" s="1"/>
  <c r="H125" i="12" s="1"/>
  <c r="E128" i="34"/>
  <c r="I128" i="34" s="1"/>
  <c r="E117" i="39" s="1"/>
  <c r="G117" i="39" s="1"/>
  <c r="H117" i="39" s="1"/>
  <c r="I117" i="39" s="1"/>
  <c r="J117" i="39" s="1"/>
  <c r="E271" i="34"/>
  <c r="I271" i="34" s="1"/>
  <c r="E68" i="34"/>
  <c r="I68" i="34" s="1"/>
  <c r="E57" i="12" s="1"/>
  <c r="G57" i="12" s="1"/>
  <c r="H57" i="12" s="1"/>
  <c r="E176" i="34"/>
  <c r="I176" i="34" s="1"/>
  <c r="E165" i="12" s="1"/>
  <c r="G165" i="12" s="1"/>
  <c r="H165" i="12" s="1"/>
  <c r="E239" i="34"/>
  <c r="I239" i="34" s="1"/>
  <c r="E228" i="12" s="1"/>
  <c r="G228" i="12" s="1"/>
  <c r="H228" i="12" s="1"/>
  <c r="E43" i="34"/>
  <c r="I43" i="34" s="1"/>
  <c r="E84" i="34"/>
  <c r="I84" i="34" s="1"/>
  <c r="E119" i="34"/>
  <c r="I119" i="34" s="1"/>
  <c r="E108" i="39" s="1"/>
  <c r="G108" i="39" s="1"/>
  <c r="H108" i="39" s="1"/>
  <c r="I108" i="39" s="1"/>
  <c r="J108" i="39" s="1"/>
  <c r="E88" i="34"/>
  <c r="I88" i="34" s="1"/>
  <c r="E77" i="39" s="1"/>
  <c r="G77" i="39" s="1"/>
  <c r="H77" i="39" s="1"/>
  <c r="I77" i="39" s="1"/>
  <c r="J77" i="39" s="1"/>
  <c r="E235" i="34"/>
  <c r="I235" i="34" s="1"/>
  <c r="E59" i="34"/>
  <c r="I59" i="34" s="1"/>
  <c r="E48" i="39" s="1"/>
  <c r="G48" i="39" s="1"/>
  <c r="H48" i="39" s="1"/>
  <c r="I48" i="39" s="1"/>
  <c r="J48" i="39" s="1"/>
  <c r="E140" i="34"/>
  <c r="I140" i="34" s="1"/>
  <c r="E129" i="12" s="1"/>
  <c r="G129" i="12" s="1"/>
  <c r="H129" i="12" s="1"/>
  <c r="E56" i="34"/>
  <c r="I56" i="34" s="1"/>
  <c r="E45" i="39" s="1"/>
  <c r="G45" i="39" s="1"/>
  <c r="H45" i="39" s="1"/>
  <c r="I45" i="39" s="1"/>
  <c r="J45" i="39" s="1"/>
  <c r="E256" i="34"/>
  <c r="I256" i="34" s="1"/>
  <c r="E245" i="12" s="1"/>
  <c r="G245" i="12" s="1"/>
  <c r="H245" i="12" s="1"/>
  <c r="E224" i="34"/>
  <c r="I224" i="34" s="1"/>
  <c r="E216" i="34"/>
  <c r="I216" i="34" s="1"/>
  <c r="E205" i="39" s="1"/>
  <c r="G205" i="39" s="1"/>
  <c r="H205" i="39" s="1"/>
  <c r="I205" i="39" s="1"/>
  <c r="J205" i="39" s="1"/>
  <c r="E207" i="34"/>
  <c r="I207" i="34" s="1"/>
  <c r="G197" i="25" s="1"/>
  <c r="E79" i="34"/>
  <c r="I79" i="34" s="1"/>
  <c r="G69" i="25" s="1"/>
  <c r="E281" i="34"/>
  <c r="I281" i="34" s="1"/>
  <c r="E270" i="39" s="1"/>
  <c r="G270" i="39" s="1"/>
  <c r="H270" i="39" s="1"/>
  <c r="I270" i="39" s="1"/>
  <c r="J270" i="39" s="1"/>
  <c r="E238" i="34"/>
  <c r="I238" i="34" s="1"/>
  <c r="G228" i="25" s="1"/>
  <c r="E17" i="34"/>
  <c r="I17" i="34" s="1"/>
  <c r="E179" i="34"/>
  <c r="I179" i="34" s="1"/>
  <c r="G169" i="25" s="1"/>
  <c r="E33" i="34"/>
  <c r="I33" i="34" s="1"/>
  <c r="E280" i="34"/>
  <c r="I280" i="34" s="1"/>
  <c r="E269" i="39" s="1"/>
  <c r="G269" i="39" s="1"/>
  <c r="H269" i="39" s="1"/>
  <c r="I269" i="39" s="1"/>
  <c r="J269" i="39" s="1"/>
  <c r="E36" i="34"/>
  <c r="I36" i="34" s="1"/>
  <c r="E25" i="12" s="1"/>
  <c r="G25" i="12" s="1"/>
  <c r="H25" i="12" s="1"/>
  <c r="E111" i="34"/>
  <c r="I111" i="34" s="1"/>
  <c r="E100" i="39" s="1"/>
  <c r="G100" i="39" s="1"/>
  <c r="H100" i="39" s="1"/>
  <c r="I100" i="39" s="1"/>
  <c r="J100" i="39" s="1"/>
  <c r="E80" i="34"/>
  <c r="I80" i="34" s="1"/>
  <c r="E69" i="39" s="1"/>
  <c r="G69" i="39" s="1"/>
  <c r="H69" i="39" s="1"/>
  <c r="I69" i="39" s="1"/>
  <c r="J69" i="39" s="1"/>
  <c r="E75" i="34"/>
  <c r="I75" i="34" s="1"/>
  <c r="E64" i="12" s="1"/>
  <c r="G64" i="12" s="1"/>
  <c r="H64" i="12" s="1"/>
  <c r="E188" i="34"/>
  <c r="I188" i="34" s="1"/>
  <c r="E177" i="39" s="1"/>
  <c r="G177" i="39" s="1"/>
  <c r="H177" i="39" s="1"/>
  <c r="I177" i="39" s="1"/>
  <c r="J177" i="39" s="1"/>
  <c r="E297" i="34"/>
  <c r="I297" i="34" s="1"/>
  <c r="E286" i="39" s="1"/>
  <c r="G286" i="39" s="1"/>
  <c r="H286" i="39" s="1"/>
  <c r="I286" i="39" s="1"/>
  <c r="J286" i="39" s="1"/>
  <c r="E67" i="34"/>
  <c r="I67" i="34" s="1"/>
  <c r="E310" i="34"/>
  <c r="I310" i="34" s="1"/>
  <c r="E299" i="12" s="1"/>
  <c r="G299" i="12" s="1"/>
  <c r="H299" i="12" s="1"/>
  <c r="E254" i="34"/>
  <c r="I254" i="34" s="1"/>
  <c r="G244" i="25" s="1"/>
  <c r="E87" i="34"/>
  <c r="I87" i="34" s="1"/>
  <c r="G77" i="25" s="1"/>
  <c r="E104" i="34"/>
  <c r="I104" i="34" s="1"/>
  <c r="G94" i="25" s="1"/>
  <c r="E47" i="34"/>
  <c r="I47" i="34" s="1"/>
  <c r="G37" i="25" s="1"/>
  <c r="E147" i="34"/>
  <c r="I147" i="34" s="1"/>
  <c r="E136" i="39" s="1"/>
  <c r="G136" i="39" s="1"/>
  <c r="H136" i="39" s="1"/>
  <c r="I136" i="39" s="1"/>
  <c r="J136" i="39" s="1"/>
  <c r="E304" i="34"/>
  <c r="I304" i="34" s="1"/>
  <c r="G294" i="25" s="1"/>
  <c r="E219" i="34"/>
  <c r="I219" i="34" s="1"/>
  <c r="E40" i="34"/>
  <c r="I40" i="34" s="1"/>
  <c r="G30" i="25" s="1"/>
  <c r="E52" i="34"/>
  <c r="I52" i="34" s="1"/>
  <c r="E41" i="12" s="1"/>
  <c r="G41" i="12" s="1"/>
  <c r="H41" i="12" s="1"/>
  <c r="E172" i="34"/>
  <c r="I172" i="34" s="1"/>
  <c r="E161" i="12" s="1"/>
  <c r="G161" i="12" s="1"/>
  <c r="H161" i="12" s="1"/>
  <c r="E313" i="34"/>
  <c r="I313" i="34" s="1"/>
  <c r="E302" i="12" s="1"/>
  <c r="G302" i="12" s="1"/>
  <c r="H302" i="12" s="1"/>
  <c r="E223" i="34"/>
  <c r="I223" i="34" s="1"/>
  <c r="E212" i="12" s="1"/>
  <c r="G212" i="12" s="1"/>
  <c r="H212" i="12" s="1"/>
  <c r="E48" i="34"/>
  <c r="I48" i="34" s="1"/>
  <c r="E37" i="12" s="1"/>
  <c r="G37" i="12" s="1"/>
  <c r="H37" i="12" s="1"/>
  <c r="E192" i="34"/>
  <c r="I192" i="34" s="1"/>
  <c r="E181" i="39" s="1"/>
  <c r="G181" i="39" s="1"/>
  <c r="H181" i="39" s="1"/>
  <c r="I181" i="39" s="1"/>
  <c r="J181" i="39" s="1"/>
  <c r="E296" i="34"/>
  <c r="I296" i="34" s="1"/>
  <c r="E249" i="34"/>
  <c r="I249" i="34" s="1"/>
  <c r="E238" i="39" s="1"/>
  <c r="G238" i="39" s="1"/>
  <c r="H238" i="39" s="1"/>
  <c r="I238" i="39" s="1"/>
  <c r="J238" i="39" s="1"/>
  <c r="E71" i="34"/>
  <c r="I71" i="34" s="1"/>
  <c r="G61" i="25" s="1"/>
  <c r="E263" i="34"/>
  <c r="I263" i="34" s="1"/>
  <c r="E92" i="34"/>
  <c r="I92" i="34" s="1"/>
  <c r="G82" i="25" s="1"/>
  <c r="E100" i="34"/>
  <c r="I100" i="34" s="1"/>
  <c r="E89" i="12" s="1"/>
  <c r="G89" i="12" s="1"/>
  <c r="H89" i="12" s="1"/>
  <c r="E180" i="34"/>
  <c r="I180" i="34" s="1"/>
  <c r="G170" i="25" s="1"/>
  <c r="E208" i="34"/>
  <c r="I208" i="34" s="1"/>
  <c r="E197" i="39" s="1"/>
  <c r="G197" i="39" s="1"/>
  <c r="H197" i="39" s="1"/>
  <c r="I197" i="39" s="1"/>
  <c r="J197" i="39" s="1"/>
  <c r="E318" i="34"/>
  <c r="I318" i="34" s="1"/>
  <c r="E44" i="34"/>
  <c r="I44" i="34" s="1"/>
  <c r="E33" i="39" s="1"/>
  <c r="G33" i="39" s="1"/>
  <c r="H33" i="39" s="1"/>
  <c r="I33" i="39" s="1"/>
  <c r="J33" i="39" s="1"/>
  <c r="E63" i="34"/>
  <c r="I63" i="34" s="1"/>
  <c r="E52" i="39" s="1"/>
  <c r="G52" i="39" s="1"/>
  <c r="H52" i="39" s="1"/>
  <c r="I52" i="39" s="1"/>
  <c r="J52" i="39" s="1"/>
  <c r="E248" i="34"/>
  <c r="I248" i="34" s="1"/>
  <c r="E237" i="12" s="1"/>
  <c r="G237" i="12" s="1"/>
  <c r="H237" i="12" s="1"/>
  <c r="E155" i="34"/>
  <c r="I155" i="34" s="1"/>
  <c r="E144" i="39" s="1"/>
  <c r="G144" i="39" s="1"/>
  <c r="H144" i="39" s="1"/>
  <c r="I144" i="39" s="1"/>
  <c r="J144" i="39" s="1"/>
  <c r="E195" i="34"/>
  <c r="I195" i="34" s="1"/>
  <c r="E184" i="39" s="1"/>
  <c r="G184" i="39" s="1"/>
  <c r="H184" i="39" s="1"/>
  <c r="I184" i="39" s="1"/>
  <c r="J184" i="39" s="1"/>
  <c r="E60" i="34"/>
  <c r="I60" i="34" s="1"/>
  <c r="E49" i="39" s="1"/>
  <c r="G49" i="39" s="1"/>
  <c r="H49" i="39" s="1"/>
  <c r="I49" i="39" s="1"/>
  <c r="J49" i="39" s="1"/>
  <c r="E28" i="34"/>
  <c r="I28" i="34" s="1"/>
  <c r="E83" i="34"/>
  <c r="I83" i="34" s="1"/>
  <c r="E20" i="34"/>
  <c r="I20" i="34" s="1"/>
  <c r="E9" i="39" s="1"/>
  <c r="G9" i="39" s="1"/>
  <c r="H9" i="39" s="1"/>
  <c r="I9" i="39" s="1"/>
  <c r="J9" i="39" s="1"/>
  <c r="E305" i="34"/>
  <c r="I305" i="34" s="1"/>
  <c r="E294" i="12" s="1"/>
  <c r="G294" i="12" s="1"/>
  <c r="H294" i="12" s="1"/>
  <c r="E273" i="34"/>
  <c r="I273" i="34" s="1"/>
  <c r="E262" i="12" s="1"/>
  <c r="G262" i="12" s="1"/>
  <c r="H262" i="12" s="1"/>
  <c r="E123" i="34"/>
  <c r="I123" i="34" s="1"/>
  <c r="E112" i="39" s="1"/>
  <c r="G112" i="39" s="1"/>
  <c r="H112" i="39" s="1"/>
  <c r="I112" i="39" s="1"/>
  <c r="J112" i="39" s="1"/>
  <c r="E107" i="34"/>
  <c r="I107" i="34" s="1"/>
  <c r="E96" i="39" s="1"/>
  <c r="G96" i="39" s="1"/>
  <c r="H96" i="39" s="1"/>
  <c r="I96" i="39" s="1"/>
  <c r="J96" i="39" s="1"/>
  <c r="E37" i="34"/>
  <c r="I37" i="34" s="1"/>
  <c r="E265" i="34"/>
  <c r="I265" i="34" s="1"/>
  <c r="E115" i="34"/>
  <c r="I115" i="34" s="1"/>
  <c r="E104" i="39" s="1"/>
  <c r="G104" i="39" s="1"/>
  <c r="H104" i="39" s="1"/>
  <c r="I104" i="39" s="1"/>
  <c r="J104" i="39" s="1"/>
  <c r="E55" i="34"/>
  <c r="I55" i="34" s="1"/>
  <c r="E44" i="12" s="1"/>
  <c r="G44" i="12" s="1"/>
  <c r="H44" i="12" s="1"/>
  <c r="E279" i="34"/>
  <c r="I279" i="34" s="1"/>
  <c r="E268" i="39" s="1"/>
  <c r="G268" i="39" s="1"/>
  <c r="H268" i="39" s="1"/>
  <c r="I268" i="39" s="1"/>
  <c r="J268" i="39" s="1"/>
  <c r="E204" i="34"/>
  <c r="I204" i="34" s="1"/>
  <c r="E193" i="39" s="1"/>
  <c r="G193" i="39" s="1"/>
  <c r="H193" i="39" s="1"/>
  <c r="I193" i="39" s="1"/>
  <c r="J193" i="39" s="1"/>
  <c r="E240" i="34"/>
  <c r="I240" i="34" s="1"/>
  <c r="E229" i="39" s="1"/>
  <c r="G229" i="39" s="1"/>
  <c r="H229" i="39" s="1"/>
  <c r="I229" i="39" s="1"/>
  <c r="J229" i="39" s="1"/>
  <c r="E151" i="34"/>
  <c r="I151" i="34" s="1"/>
  <c r="E140" i="12" s="1"/>
  <c r="G140" i="12" s="1"/>
  <c r="H140" i="12" s="1"/>
  <c r="E167" i="34"/>
  <c r="I167" i="34" s="1"/>
  <c r="E156" i="12" s="1"/>
  <c r="G156" i="12" s="1"/>
  <c r="H156" i="12" s="1"/>
  <c r="E319" i="34"/>
  <c r="I319" i="34" s="1"/>
  <c r="E103" i="34"/>
  <c r="I103" i="34" s="1"/>
  <c r="E92" i="12" s="1"/>
  <c r="G92" i="12" s="1"/>
  <c r="H92" i="12" s="1"/>
  <c r="E72" i="34"/>
  <c r="I72" i="34" s="1"/>
  <c r="E61" i="12" s="1"/>
  <c r="G61" i="12" s="1"/>
  <c r="H61" i="12" s="1"/>
  <c r="E187" i="34"/>
  <c r="I187" i="34" s="1"/>
  <c r="E176" i="12" s="1"/>
  <c r="G176" i="12" s="1"/>
  <c r="H176" i="12" s="1"/>
  <c r="E294" i="34"/>
  <c r="I294" i="34" s="1"/>
  <c r="E283" i="39" s="1"/>
  <c r="G283" i="39" s="1"/>
  <c r="H283" i="39" s="1"/>
  <c r="I283" i="39" s="1"/>
  <c r="J283" i="39" s="1"/>
  <c r="E301" i="34"/>
  <c r="I301" i="34" s="1"/>
  <c r="E290" i="12" s="1"/>
  <c r="G290" i="12" s="1"/>
  <c r="H290" i="12" s="1"/>
  <c r="E229" i="34"/>
  <c r="I229" i="34" s="1"/>
  <c r="E218" i="12" s="1"/>
  <c r="G218" i="12" s="1"/>
  <c r="H218" i="12" s="1"/>
  <c r="E25" i="34"/>
  <c r="I25" i="34" s="1"/>
  <c r="G15" i="25" s="1"/>
  <c r="E284" i="34"/>
  <c r="I284" i="34" s="1"/>
  <c r="E162" i="34"/>
  <c r="I162" i="34" s="1"/>
  <c r="E151" i="39" s="1"/>
  <c r="G151" i="39" s="1"/>
  <c r="H151" i="39" s="1"/>
  <c r="I151" i="39" s="1"/>
  <c r="J151" i="39" s="1"/>
  <c r="E211" i="34"/>
  <c r="I211" i="34" s="1"/>
  <c r="E200" i="12" s="1"/>
  <c r="G200" i="12" s="1"/>
  <c r="H200" i="12" s="1"/>
  <c r="E220" i="34"/>
  <c r="I220" i="34" s="1"/>
  <c r="E209" i="12" s="1"/>
  <c r="G209" i="12" s="1"/>
  <c r="H209" i="12" s="1"/>
  <c r="E278" i="34"/>
  <c r="I278" i="34" s="1"/>
  <c r="E99" i="34"/>
  <c r="I99" i="34" s="1"/>
  <c r="E88" i="12" s="1"/>
  <c r="G88" i="12" s="1"/>
  <c r="H88" i="12" s="1"/>
  <c r="E232" i="34"/>
  <c r="I232" i="34" s="1"/>
  <c r="G222" i="25" s="1"/>
  <c r="E32" i="34"/>
  <c r="I32" i="34" s="1"/>
  <c r="E21" i="39" s="1"/>
  <c r="G21" i="39" s="1"/>
  <c r="H21" i="39" s="1"/>
  <c r="I21" i="39" s="1"/>
  <c r="J21" i="39" s="1"/>
  <c r="E29" i="34"/>
  <c r="I29" i="34" s="1"/>
  <c r="E312" i="34"/>
  <c r="I312" i="34" s="1"/>
  <c r="E301" i="39" s="1"/>
  <c r="G301" i="39" s="1"/>
  <c r="H301" i="39" s="1"/>
  <c r="I301" i="39" s="1"/>
  <c r="J301" i="39" s="1"/>
  <c r="E124" i="34"/>
  <c r="I124" i="34" s="1"/>
  <c r="E113" i="12" s="1"/>
  <c r="G113" i="12" s="1"/>
  <c r="H113" i="12" s="1"/>
  <c r="E269" i="34"/>
  <c r="I269" i="34" s="1"/>
  <c r="E258" i="39" s="1"/>
  <c r="G258" i="39" s="1"/>
  <c r="H258" i="39" s="1"/>
  <c r="I258" i="39" s="1"/>
  <c r="J258" i="39" s="1"/>
  <c r="E307" i="34"/>
  <c r="I307" i="34" s="1"/>
  <c r="E296" i="12" s="1"/>
  <c r="G296" i="12" s="1"/>
  <c r="H296" i="12" s="1"/>
  <c r="E282" i="34"/>
  <c r="I282" i="34" s="1"/>
  <c r="E271" i="39" s="1"/>
  <c r="G271" i="39" s="1"/>
  <c r="H271" i="39" s="1"/>
  <c r="I271" i="39" s="1"/>
  <c r="J271" i="39" s="1"/>
  <c r="E275" i="34"/>
  <c r="I275" i="34" s="1"/>
  <c r="E264" i="12" s="1"/>
  <c r="G264" i="12" s="1"/>
  <c r="H264" i="12" s="1"/>
  <c r="E182" i="34"/>
  <c r="I182" i="34" s="1"/>
  <c r="G172" i="25" s="1"/>
  <c r="E76" i="34"/>
  <c r="I76" i="34" s="1"/>
  <c r="E65" i="39" s="1"/>
  <c r="G65" i="39" s="1"/>
  <c r="H65" i="39" s="1"/>
  <c r="I65" i="39" s="1"/>
  <c r="J65" i="39" s="1"/>
  <c r="E120" i="34"/>
  <c r="I120" i="34" s="1"/>
  <c r="E109" i="12" s="1"/>
  <c r="G109" i="12" s="1"/>
  <c r="H109" i="12" s="1"/>
  <c r="E234" i="34"/>
  <c r="I234" i="34" s="1"/>
  <c r="E223" i="12" s="1"/>
  <c r="G223" i="12" s="1"/>
  <c r="H223" i="12" s="1"/>
  <c r="E228" i="34"/>
  <c r="I228" i="34" s="1"/>
  <c r="E217" i="12" s="1"/>
  <c r="G217" i="12" s="1"/>
  <c r="H217" i="12" s="1"/>
  <c r="E24" i="34"/>
  <c r="I24" i="34" s="1"/>
  <c r="E288" i="34"/>
  <c r="I288" i="34" s="1"/>
  <c r="E277" i="12" s="1"/>
  <c r="G277" i="12" s="1"/>
  <c r="H277" i="12" s="1"/>
  <c r="E108" i="34"/>
  <c r="I108" i="34" s="1"/>
  <c r="E97" i="39" s="1"/>
  <c r="G97" i="39" s="1"/>
  <c r="H97" i="39" s="1"/>
  <c r="I97" i="39" s="1"/>
  <c r="J97" i="39" s="1"/>
  <c r="E236" i="34"/>
  <c r="I236" i="34" s="1"/>
  <c r="E225" i="12" s="1"/>
  <c r="G225" i="12" s="1"/>
  <c r="H225" i="12" s="1"/>
  <c r="E215" i="34"/>
  <c r="I215" i="34" s="1"/>
  <c r="G205" i="25" s="1"/>
  <c r="E276" i="34"/>
  <c r="I276" i="34" s="1"/>
  <c r="G266" i="25" s="1"/>
  <c r="E189" i="34"/>
  <c r="I189" i="34" s="1"/>
  <c r="E178" i="39" s="1"/>
  <c r="G178" i="39" s="1"/>
  <c r="H178" i="39" s="1"/>
  <c r="I178" i="39" s="1"/>
  <c r="J178" i="39" s="1"/>
  <c r="E243" i="34"/>
  <c r="I243" i="34" s="1"/>
  <c r="E74" i="34"/>
  <c r="I74" i="34" s="1"/>
  <c r="G64" i="25" s="1"/>
  <c r="E156" i="34"/>
  <c r="I156" i="34" s="1"/>
  <c r="E145" i="39" s="1"/>
  <c r="G145" i="39" s="1"/>
  <c r="H145" i="39" s="1"/>
  <c r="I145" i="39" s="1"/>
  <c r="J145" i="39" s="1"/>
  <c r="E183" i="34"/>
  <c r="I183" i="34" s="1"/>
  <c r="E172" i="39" s="1"/>
  <c r="G172" i="39" s="1"/>
  <c r="H172" i="39" s="1"/>
  <c r="I172" i="39" s="1"/>
  <c r="J172" i="39" s="1"/>
  <c r="E116" i="34"/>
  <c r="I116" i="34" s="1"/>
  <c r="E105" i="12" s="1"/>
  <c r="G105" i="12" s="1"/>
  <c r="H105" i="12" s="1"/>
  <c r="E227" i="34"/>
  <c r="I227" i="34" s="1"/>
  <c r="E264" i="34"/>
  <c r="I264" i="34" s="1"/>
  <c r="E253" i="39" s="1"/>
  <c r="G253" i="39" s="1"/>
  <c r="H253" i="39" s="1"/>
  <c r="I253" i="39" s="1"/>
  <c r="J253" i="39" s="1"/>
  <c r="E171" i="34"/>
  <c r="I171" i="34" s="1"/>
  <c r="E160" i="39" s="1"/>
  <c r="G160" i="39" s="1"/>
  <c r="H160" i="39" s="1"/>
  <c r="I160" i="39" s="1"/>
  <c r="J160" i="39" s="1"/>
  <c r="E199" i="34"/>
  <c r="I199" i="34" s="1"/>
  <c r="E188" i="39" s="1"/>
  <c r="G188" i="39" s="1"/>
  <c r="H188" i="39" s="1"/>
  <c r="I188" i="39" s="1"/>
  <c r="J188" i="39" s="1"/>
  <c r="E139" i="34"/>
  <c r="I139" i="34" s="1"/>
  <c r="G129" i="25" s="1"/>
  <c r="E231" i="34"/>
  <c r="I231" i="34" s="1"/>
  <c r="E220" i="39" s="1"/>
  <c r="G220" i="39" s="1"/>
  <c r="H220" i="39" s="1"/>
  <c r="I220" i="39" s="1"/>
  <c r="J220" i="39" s="1"/>
  <c r="E289" i="34"/>
  <c r="I289" i="34" s="1"/>
  <c r="G279" i="25" s="1"/>
  <c r="E184" i="34"/>
  <c r="I184" i="34" s="1"/>
  <c r="G174" i="25" s="1"/>
  <c r="E51" i="34"/>
  <c r="I51" i="34" s="1"/>
  <c r="E40" i="39" s="1"/>
  <c r="G40" i="39" s="1"/>
  <c r="H40" i="39" s="1"/>
  <c r="I40" i="39" s="1"/>
  <c r="J40" i="39" s="1"/>
  <c r="E272" i="34"/>
  <c r="I272" i="34" s="1"/>
  <c r="E261" i="12" s="1"/>
  <c r="G261" i="12" s="1"/>
  <c r="H261" i="12" s="1"/>
  <c r="E285" i="34"/>
  <c r="I285" i="34" s="1"/>
  <c r="E274" i="39" s="1"/>
  <c r="G274" i="39" s="1"/>
  <c r="H274" i="39" s="1"/>
  <c r="I274" i="39" s="1"/>
  <c r="J274" i="39" s="1"/>
  <c r="E205" i="34"/>
  <c r="I205" i="34" s="1"/>
  <c r="G195" i="25" s="1"/>
  <c r="E323" i="34"/>
  <c r="I323" i="34" s="1"/>
  <c r="E312" i="39" s="1"/>
  <c r="G312" i="39" s="1"/>
  <c r="H312" i="39" s="1"/>
  <c r="I312" i="39" s="1"/>
  <c r="J312" i="39" s="1"/>
  <c r="E259" i="34"/>
  <c r="I259" i="34" s="1"/>
  <c r="E248" i="39" s="1"/>
  <c r="G248" i="39" s="1"/>
  <c r="H248" i="39" s="1"/>
  <c r="I248" i="39" s="1"/>
  <c r="J248" i="39" s="1"/>
  <c r="E314" i="34"/>
  <c r="I314" i="34" s="1"/>
  <c r="E303" i="12" s="1"/>
  <c r="G303" i="12" s="1"/>
  <c r="H303" i="12" s="1"/>
  <c r="E218" i="34"/>
  <c r="I218" i="34" s="1"/>
  <c r="E145" i="34"/>
  <c r="I145" i="34" s="1"/>
  <c r="E252" i="34"/>
  <c r="I252" i="34" s="1"/>
  <c r="E241" i="39" s="1"/>
  <c r="G241" i="39" s="1"/>
  <c r="H241" i="39" s="1"/>
  <c r="I241" i="39" s="1"/>
  <c r="J241" i="39" s="1"/>
  <c r="E81" i="34"/>
  <c r="I81" i="34" s="1"/>
  <c r="E70" i="12" s="1"/>
  <c r="G70" i="12" s="1"/>
  <c r="H70" i="12" s="1"/>
  <c r="E247" i="34"/>
  <c r="I247" i="34" s="1"/>
  <c r="G237" i="25" s="1"/>
  <c r="E287" i="34"/>
  <c r="I287" i="34" s="1"/>
  <c r="G277" i="25" s="1"/>
  <c r="E132" i="34"/>
  <c r="I132" i="34" s="1"/>
  <c r="G122" i="25" s="1"/>
  <c r="E196" i="34"/>
  <c r="I196" i="34" s="1"/>
  <c r="E185" i="12" s="1"/>
  <c r="G185" i="12" s="1"/>
  <c r="H185" i="12" s="1"/>
  <c r="E143" i="34"/>
  <c r="I143" i="34" s="1"/>
  <c r="E320" i="34"/>
  <c r="I320" i="34" s="1"/>
  <c r="G310" i="25" s="1"/>
  <c r="E302" i="34"/>
  <c r="I302" i="34" s="1"/>
  <c r="E291" i="39" s="1"/>
  <c r="G291" i="39" s="1"/>
  <c r="H291" i="39" s="1"/>
  <c r="I291" i="39" s="1"/>
  <c r="J291" i="39" s="1"/>
  <c r="E168" i="34"/>
  <c r="I168" i="34" s="1"/>
  <c r="E157" i="39" s="1"/>
  <c r="G157" i="39" s="1"/>
  <c r="H157" i="39" s="1"/>
  <c r="I157" i="39" s="1"/>
  <c r="J157" i="39" s="1"/>
  <c r="E112" i="34"/>
  <c r="I112" i="34" s="1"/>
  <c r="E101" i="12" s="1"/>
  <c r="G101" i="12" s="1"/>
  <c r="H101" i="12" s="1"/>
  <c r="E152" i="34"/>
  <c r="I152" i="34" s="1"/>
  <c r="G142" i="25" s="1"/>
  <c r="E226" i="34"/>
  <c r="I226" i="34" s="1"/>
  <c r="E215" i="39" s="1"/>
  <c r="G215" i="39" s="1"/>
  <c r="H215" i="39" s="1"/>
  <c r="I215" i="39" s="1"/>
  <c r="J215" i="39" s="1"/>
  <c r="E311" i="34"/>
  <c r="I311" i="34" s="1"/>
  <c r="E300" i="12" s="1"/>
  <c r="G300" i="12" s="1"/>
  <c r="H300" i="12" s="1"/>
  <c r="E212" i="34"/>
  <c r="I212" i="34" s="1"/>
  <c r="E246" i="34"/>
  <c r="I246" i="34" s="1"/>
  <c r="E235" i="12" s="1"/>
  <c r="G235" i="12" s="1"/>
  <c r="H235" i="12" s="1"/>
  <c r="E317" i="34"/>
  <c r="I317" i="34" s="1"/>
  <c r="E306" i="12" s="1"/>
  <c r="G306" i="12" s="1"/>
  <c r="H306" i="12" s="1"/>
  <c r="E253" i="34"/>
  <c r="I253" i="34" s="1"/>
  <c r="E242" i="12" s="1"/>
  <c r="G242" i="12" s="1"/>
  <c r="H242" i="12" s="1"/>
  <c r="E173" i="34"/>
  <c r="I173" i="34" s="1"/>
  <c r="G163" i="25" s="1"/>
  <c r="E291" i="34"/>
  <c r="I291" i="34" s="1"/>
  <c r="E280" i="12" s="1"/>
  <c r="G280" i="12" s="1"/>
  <c r="H280" i="12" s="1"/>
  <c r="E194" i="34"/>
  <c r="I194" i="34" s="1"/>
  <c r="G184" i="25" s="1"/>
  <c r="E308" i="34"/>
  <c r="I308" i="34" s="1"/>
  <c r="E297" i="12" s="1"/>
  <c r="G297" i="12" s="1"/>
  <c r="H297" i="12" s="1"/>
  <c r="E138" i="34"/>
  <c r="I138" i="34" s="1"/>
  <c r="G128" i="25" s="1"/>
  <c r="E18" i="34"/>
  <c r="I18" i="34" s="1"/>
  <c r="E64" i="34"/>
  <c r="I64" i="34" s="1"/>
  <c r="G54" i="25" s="1"/>
  <c r="E95" i="34"/>
  <c r="I95" i="34" s="1"/>
  <c r="E84" i="12" s="1"/>
  <c r="G84" i="12" s="1"/>
  <c r="H84" i="12" s="1"/>
  <c r="E135" i="34"/>
  <c r="I135" i="34" s="1"/>
  <c r="G125" i="25" s="1"/>
  <c r="E159" i="34"/>
  <c r="I159" i="34" s="1"/>
  <c r="E241" i="34"/>
  <c r="I241" i="34" s="1"/>
  <c r="E230" i="12" s="1"/>
  <c r="G230" i="12" s="1"/>
  <c r="H230" i="12" s="1"/>
  <c r="E321" i="34"/>
  <c r="I321" i="34" s="1"/>
  <c r="E310" i="39" s="1"/>
  <c r="G310" i="39" s="1"/>
  <c r="H310" i="39" s="1"/>
  <c r="I310" i="39" s="1"/>
  <c r="J310" i="39" s="1"/>
  <c r="E309" i="34"/>
  <c r="I309" i="34" s="1"/>
  <c r="G299" i="25" s="1"/>
  <c r="E277" i="34"/>
  <c r="I277" i="34" s="1"/>
  <c r="E245" i="34"/>
  <c r="I245" i="34" s="1"/>
  <c r="E234" i="12" s="1"/>
  <c r="G234" i="12" s="1"/>
  <c r="H234" i="12" s="1"/>
  <c r="E190" i="34"/>
  <c r="I190" i="34" s="1"/>
  <c r="E179" i="12" s="1"/>
  <c r="G179" i="12" s="1"/>
  <c r="H179" i="12" s="1"/>
  <c r="E153" i="34"/>
  <c r="I153" i="34" s="1"/>
  <c r="G143" i="25" s="1"/>
  <c r="E315" i="34"/>
  <c r="I315" i="34" s="1"/>
  <c r="E304" i="39" s="1"/>
  <c r="G304" i="39" s="1"/>
  <c r="H304" i="39" s="1"/>
  <c r="I304" i="39" s="1"/>
  <c r="J304" i="39" s="1"/>
  <c r="E283" i="34"/>
  <c r="I283" i="34" s="1"/>
  <c r="E272" i="39" s="1"/>
  <c r="G272" i="39" s="1"/>
  <c r="H272" i="39" s="1"/>
  <c r="I272" i="39" s="1"/>
  <c r="J272" i="39" s="1"/>
  <c r="E251" i="34"/>
  <c r="I251" i="34" s="1"/>
  <c r="E240" i="12" s="1"/>
  <c r="G240" i="12" s="1"/>
  <c r="H240" i="12" s="1"/>
  <c r="E178" i="34"/>
  <c r="I178" i="34" s="1"/>
  <c r="E167" i="12" s="1"/>
  <c r="G167" i="12" s="1"/>
  <c r="H167" i="12" s="1"/>
  <c r="E298" i="34"/>
  <c r="I298" i="34" s="1"/>
  <c r="G288" i="25" s="1"/>
  <c r="E214" i="34"/>
  <c r="I214" i="34" s="1"/>
  <c r="E203" i="39" s="1"/>
  <c r="G203" i="39" s="1"/>
  <c r="H203" i="39" s="1"/>
  <c r="I203" i="39" s="1"/>
  <c r="J203" i="39" s="1"/>
  <c r="E186" i="34"/>
  <c r="I186" i="34" s="1"/>
  <c r="E175" i="39" s="1"/>
  <c r="G175" i="39" s="1"/>
  <c r="H175" i="39" s="1"/>
  <c r="I175" i="39" s="1"/>
  <c r="J175" i="39" s="1"/>
  <c r="E106" i="34"/>
  <c r="I106" i="34" s="1"/>
  <c r="G96" i="25" s="1"/>
  <c r="E113" i="34"/>
  <c r="I113" i="34" s="1"/>
  <c r="G103" i="25" s="1"/>
  <c r="E134" i="34"/>
  <c r="I134" i="34" s="1"/>
  <c r="E123" i="12" s="1"/>
  <c r="G123" i="12" s="1"/>
  <c r="H123" i="12" s="1"/>
  <c r="E102" i="34"/>
  <c r="I102" i="34" s="1"/>
  <c r="E91" i="12" s="1"/>
  <c r="G91" i="12" s="1"/>
  <c r="H91" i="12" s="1"/>
  <c r="E41" i="34"/>
  <c r="I41" i="34" s="1"/>
  <c r="G31" i="25" s="1"/>
  <c r="E131" i="34"/>
  <c r="I131" i="34" s="1"/>
  <c r="E148" i="34"/>
  <c r="I148" i="34" s="1"/>
  <c r="E137" i="39" s="1"/>
  <c r="G137" i="39" s="1"/>
  <c r="H137" i="39" s="1"/>
  <c r="I137" i="39" s="1"/>
  <c r="J137" i="39" s="1"/>
  <c r="E257" i="34"/>
  <c r="I257" i="34" s="1"/>
  <c r="E246" i="12" s="1"/>
  <c r="G246" i="12" s="1"/>
  <c r="H246" i="12" s="1"/>
  <c r="E303" i="34"/>
  <c r="I303" i="34" s="1"/>
  <c r="G293" i="25" s="1"/>
  <c r="E260" i="34"/>
  <c r="I260" i="34" s="1"/>
  <c r="E293" i="34"/>
  <c r="I293" i="34" s="1"/>
  <c r="E282" i="12" s="1"/>
  <c r="G282" i="12" s="1"/>
  <c r="H282" i="12" s="1"/>
  <c r="E261" i="34"/>
  <c r="I261" i="34" s="1"/>
  <c r="E250" i="12" s="1"/>
  <c r="G250" i="12" s="1"/>
  <c r="H250" i="12" s="1"/>
  <c r="E206" i="34"/>
  <c r="I206" i="34" s="1"/>
  <c r="G196" i="25" s="1"/>
  <c r="E174" i="34"/>
  <c r="I174" i="34" s="1"/>
  <c r="E244" i="34"/>
  <c r="I244" i="34" s="1"/>
  <c r="E233" i="12" s="1"/>
  <c r="G233" i="12" s="1"/>
  <c r="H233" i="12" s="1"/>
  <c r="E299" i="34"/>
  <c r="I299" i="34" s="1"/>
  <c r="E288" i="39" s="1"/>
  <c r="G288" i="39" s="1"/>
  <c r="H288" i="39" s="1"/>
  <c r="I288" i="39" s="1"/>
  <c r="J288" i="39" s="1"/>
  <c r="E267" i="34"/>
  <c r="I267" i="34" s="1"/>
  <c r="E210" i="34"/>
  <c r="I210" i="34" s="1"/>
  <c r="E300" i="34"/>
  <c r="I300" i="34" s="1"/>
  <c r="E289" i="12" s="1"/>
  <c r="G289" i="12" s="1"/>
  <c r="H289" i="12" s="1"/>
  <c r="E250" i="34"/>
  <c r="I250" i="34" s="1"/>
  <c r="E239" i="12" s="1"/>
  <c r="G239" i="12" s="1"/>
  <c r="H239" i="12" s="1"/>
  <c r="E316" i="34"/>
  <c r="I316" i="34" s="1"/>
  <c r="G306" i="25" s="1"/>
  <c r="E221" i="34"/>
  <c r="I221" i="34" s="1"/>
  <c r="E42" i="34"/>
  <c r="I42" i="34" s="1"/>
  <c r="E31" i="12" s="1"/>
  <c r="G31" i="12" s="1"/>
  <c r="H31" i="12" s="1"/>
  <c r="E49" i="34"/>
  <c r="I49" i="34" s="1"/>
  <c r="E38" i="39" s="1"/>
  <c r="G38" i="39" s="1"/>
  <c r="H38" i="39" s="1"/>
  <c r="I38" i="39" s="1"/>
  <c r="J38" i="39" s="1"/>
  <c r="E70" i="34"/>
  <c r="I70" i="34" s="1"/>
  <c r="G60" i="25" s="1"/>
  <c r="E141" i="34"/>
  <c r="I141" i="34" s="1"/>
  <c r="E130" i="39" s="1"/>
  <c r="G130" i="39" s="1"/>
  <c r="H130" i="39" s="1"/>
  <c r="I130" i="39" s="1"/>
  <c r="J130" i="39" s="1"/>
  <c r="E166" i="34"/>
  <c r="I166" i="34" s="1"/>
  <c r="E155" i="39" s="1"/>
  <c r="G155" i="39" s="1"/>
  <c r="H155" i="39" s="1"/>
  <c r="I155" i="39" s="1"/>
  <c r="J155" i="39" s="1"/>
  <c r="E202" i="34"/>
  <c r="I202" i="34" s="1"/>
  <c r="E191" i="39" s="1"/>
  <c r="G191" i="39" s="1"/>
  <c r="H191" i="39" s="1"/>
  <c r="I191" i="39" s="1"/>
  <c r="J191" i="39" s="1"/>
  <c r="E230" i="34"/>
  <c r="I230" i="34" s="1"/>
  <c r="G220" i="25" s="1"/>
  <c r="E122" i="34"/>
  <c r="I122" i="34" s="1"/>
  <c r="E111" i="39" s="1"/>
  <c r="G111" i="39" s="1"/>
  <c r="H111" i="39" s="1"/>
  <c r="I111" i="39" s="1"/>
  <c r="J111" i="39" s="1"/>
  <c r="E58" i="34"/>
  <c r="I58" i="34" s="1"/>
  <c r="E47" i="12" s="1"/>
  <c r="G47" i="12" s="1"/>
  <c r="H47" i="12" s="1"/>
  <c r="E129" i="34"/>
  <c r="I129" i="34" s="1"/>
  <c r="E118" i="39" s="1"/>
  <c r="G118" i="39" s="1"/>
  <c r="H118" i="39" s="1"/>
  <c r="I118" i="39" s="1"/>
  <c r="J118" i="39" s="1"/>
  <c r="E65" i="34"/>
  <c r="I65" i="34" s="1"/>
  <c r="E150" i="34"/>
  <c r="I150" i="34" s="1"/>
  <c r="E139" i="39" s="1"/>
  <c r="G139" i="39" s="1"/>
  <c r="H139" i="39" s="1"/>
  <c r="I139" i="39" s="1"/>
  <c r="J139" i="39" s="1"/>
  <c r="E86" i="34"/>
  <c r="I86" i="34" s="1"/>
  <c r="E75" i="39" s="1"/>
  <c r="G75" i="39" s="1"/>
  <c r="H75" i="39" s="1"/>
  <c r="I75" i="39" s="1"/>
  <c r="J75" i="39" s="1"/>
  <c r="E109" i="34"/>
  <c r="I109" i="34" s="1"/>
  <c r="G99" i="25" s="1"/>
  <c r="E77" i="34"/>
  <c r="I77" i="34" s="1"/>
  <c r="G67" i="25" s="1"/>
  <c r="E266" i="34"/>
  <c r="I266" i="34" s="1"/>
  <c r="G256" i="25" s="1"/>
  <c r="E198" i="34"/>
  <c r="I198" i="34" s="1"/>
  <c r="E187" i="39" s="1"/>
  <c r="G187" i="39" s="1"/>
  <c r="H187" i="39" s="1"/>
  <c r="I187" i="39" s="1"/>
  <c r="J187" i="39" s="1"/>
  <c r="E237" i="34"/>
  <c r="I237" i="34" s="1"/>
  <c r="E226" i="12" s="1"/>
  <c r="G226" i="12" s="1"/>
  <c r="H226" i="12" s="1"/>
  <c r="E170" i="34"/>
  <c r="I170" i="34" s="1"/>
  <c r="E159" i="39" s="1"/>
  <c r="G159" i="39" s="1"/>
  <c r="H159" i="39" s="1"/>
  <c r="I159" i="39" s="1"/>
  <c r="J159" i="39" s="1"/>
  <c r="E154" i="34"/>
  <c r="I154" i="34" s="1"/>
  <c r="G144" i="25" s="1"/>
  <c r="E90" i="34"/>
  <c r="I90" i="34" s="1"/>
  <c r="E79" i="12" s="1"/>
  <c r="G79" i="12" s="1"/>
  <c r="H79" i="12" s="1"/>
  <c r="E27" i="34"/>
  <c r="I27" i="34" s="1"/>
  <c r="E16" i="12" s="1"/>
  <c r="G16" i="12" s="1"/>
  <c r="H16" i="12" s="1"/>
  <c r="E97" i="34"/>
  <c r="I97" i="34" s="1"/>
  <c r="E86" i="12" s="1"/>
  <c r="G86" i="12" s="1"/>
  <c r="H86" i="12" s="1"/>
  <c r="E34" i="34"/>
  <c r="I34" i="34" s="1"/>
  <c r="E118" i="34"/>
  <c r="I118" i="34" s="1"/>
  <c r="E107" i="12" s="1"/>
  <c r="G107" i="12" s="1"/>
  <c r="H107" i="12" s="1"/>
  <c r="E39" i="34"/>
  <c r="I39" i="34" s="1"/>
  <c r="E28" i="39" s="1"/>
  <c r="G28" i="39" s="1"/>
  <c r="H28" i="39" s="1"/>
  <c r="I28" i="39" s="1"/>
  <c r="J28" i="39" s="1"/>
  <c r="E45" i="34"/>
  <c r="I45" i="34" s="1"/>
  <c r="G35" i="25" s="1"/>
  <c r="E193" i="34"/>
  <c r="I193" i="34" s="1"/>
  <c r="E161" i="34"/>
  <c r="I161" i="34" s="1"/>
  <c r="E150" i="12" s="1"/>
  <c r="G150" i="12" s="1"/>
  <c r="H150" i="12" s="1"/>
  <c r="E306" i="34"/>
  <c r="I306" i="34" s="1"/>
  <c r="E295" i="39" s="1"/>
  <c r="G295" i="39" s="1"/>
  <c r="H295" i="39" s="1"/>
  <c r="I295" i="39" s="1"/>
  <c r="J295" i="39" s="1"/>
  <c r="E274" i="34"/>
  <c r="I274" i="34" s="1"/>
  <c r="G264" i="25" s="1"/>
  <c r="E242" i="34"/>
  <c r="I242" i="34" s="1"/>
  <c r="E213" i="34"/>
  <c r="I213" i="34" s="1"/>
  <c r="E202" i="39" s="1"/>
  <c r="G202" i="39" s="1"/>
  <c r="H202" i="39" s="1"/>
  <c r="I202" i="39" s="1"/>
  <c r="J202" i="39" s="1"/>
  <c r="E181" i="34"/>
  <c r="I181" i="34" s="1"/>
  <c r="E170" i="39" s="1"/>
  <c r="G170" i="39" s="1"/>
  <c r="H170" i="39" s="1"/>
  <c r="I170" i="39" s="1"/>
  <c r="J170" i="39" s="1"/>
  <c r="E268" i="34"/>
  <c r="I268" i="34" s="1"/>
  <c r="E217" i="34"/>
  <c r="I217" i="34" s="1"/>
  <c r="E185" i="34"/>
  <c r="I185" i="34" s="1"/>
  <c r="E174" i="39" s="1"/>
  <c r="G174" i="39" s="1"/>
  <c r="H174" i="39" s="1"/>
  <c r="I174" i="39" s="1"/>
  <c r="J174" i="39" s="1"/>
  <c r="E233" i="34"/>
  <c r="I233" i="34" s="1"/>
  <c r="E222" i="39" s="1"/>
  <c r="G222" i="39" s="1"/>
  <c r="H222" i="39" s="1"/>
  <c r="I222" i="39" s="1"/>
  <c r="J222" i="39" s="1"/>
  <c r="E157" i="34"/>
  <c r="I157" i="34" s="1"/>
  <c r="E130" i="34"/>
  <c r="I130" i="34" s="1"/>
  <c r="E98" i="34"/>
  <c r="I98" i="34" s="1"/>
  <c r="E87" i="39" s="1"/>
  <c r="G87" i="39" s="1"/>
  <c r="H87" i="39" s="1"/>
  <c r="I87" i="39" s="1"/>
  <c r="J87" i="39" s="1"/>
  <c r="E66" i="34"/>
  <c r="I66" i="34" s="1"/>
  <c r="G56" i="25" s="1"/>
  <c r="E35" i="34"/>
  <c r="I35" i="34" s="1"/>
  <c r="G25" i="25" s="1"/>
  <c r="E137" i="34"/>
  <c r="I137" i="34" s="1"/>
  <c r="E105" i="34"/>
  <c r="I105" i="34" s="1"/>
  <c r="E94" i="39" s="1"/>
  <c r="G94" i="39" s="1"/>
  <c r="H94" i="39" s="1"/>
  <c r="I94" i="39" s="1"/>
  <c r="J94" i="39" s="1"/>
  <c r="E73" i="34"/>
  <c r="I73" i="34" s="1"/>
  <c r="E62" i="12" s="1"/>
  <c r="G62" i="12" s="1"/>
  <c r="H62" i="12" s="1"/>
  <c r="E158" i="34"/>
  <c r="I158" i="34" s="1"/>
  <c r="E126" i="34"/>
  <c r="I126" i="34" s="1"/>
  <c r="E115" i="39" s="1"/>
  <c r="G115" i="39" s="1"/>
  <c r="H115" i="39" s="1"/>
  <c r="I115" i="39" s="1"/>
  <c r="J115" i="39" s="1"/>
  <c r="E94" i="34"/>
  <c r="I94" i="34" s="1"/>
  <c r="E83" i="39" s="1"/>
  <c r="G83" i="39" s="1"/>
  <c r="H83" i="39" s="1"/>
  <c r="I83" i="39" s="1"/>
  <c r="J83" i="39" s="1"/>
  <c r="E62" i="34"/>
  <c r="I62" i="34" s="1"/>
  <c r="E31" i="34"/>
  <c r="I31" i="34" s="1"/>
  <c r="E133" i="34"/>
  <c r="I133" i="34" s="1"/>
  <c r="E122" i="39" s="1"/>
  <c r="G122" i="39" s="1"/>
  <c r="H122" i="39" s="1"/>
  <c r="I122" i="39" s="1"/>
  <c r="J122" i="39" s="1"/>
  <c r="E101" i="34"/>
  <c r="I101" i="34" s="1"/>
  <c r="E90" i="39" s="1"/>
  <c r="G90" i="39" s="1"/>
  <c r="H90" i="39" s="1"/>
  <c r="I90" i="39" s="1"/>
  <c r="J90" i="39" s="1"/>
  <c r="E69" i="34"/>
  <c r="I69" i="34" s="1"/>
  <c r="G59" i="25" s="1"/>
  <c r="E38" i="34"/>
  <c r="I38" i="34" s="1"/>
  <c r="E54" i="34"/>
  <c r="I54" i="34" s="1"/>
  <c r="E43" i="39" s="1"/>
  <c r="G43" i="39" s="1"/>
  <c r="H43" i="39" s="1"/>
  <c r="I43" i="39" s="1"/>
  <c r="J43" i="39" s="1"/>
  <c r="E23" i="34"/>
  <c r="I23" i="34" s="1"/>
  <c r="G13" i="25" s="1"/>
  <c r="E125" i="34"/>
  <c r="I125" i="34" s="1"/>
  <c r="E114" i="39" s="1"/>
  <c r="G114" i="39" s="1"/>
  <c r="H114" i="39" s="1"/>
  <c r="I114" i="39" s="1"/>
  <c r="J114" i="39" s="1"/>
  <c r="E93" i="34"/>
  <c r="I93" i="34" s="1"/>
  <c r="E61" i="34"/>
  <c r="I61" i="34" s="1"/>
  <c r="E50" i="12" s="1"/>
  <c r="G50" i="12" s="1"/>
  <c r="H50" i="12" s="1"/>
  <c r="E30" i="34"/>
  <c r="I30" i="34" s="1"/>
  <c r="E19" i="12" s="1"/>
  <c r="G19" i="12" s="1"/>
  <c r="H19" i="12" s="1"/>
  <c r="E209" i="34"/>
  <c r="I209" i="34" s="1"/>
  <c r="E177" i="34"/>
  <c r="I177" i="34" s="1"/>
  <c r="E322" i="34"/>
  <c r="I322" i="34" s="1"/>
  <c r="E311" i="12" s="1"/>
  <c r="G311" i="12" s="1"/>
  <c r="H311" i="12" s="1"/>
  <c r="E290" i="34"/>
  <c r="I290" i="34" s="1"/>
  <c r="E279" i="39" s="1"/>
  <c r="G279" i="39" s="1"/>
  <c r="H279" i="39" s="1"/>
  <c r="I279" i="39" s="1"/>
  <c r="J279" i="39" s="1"/>
  <c r="E258" i="34"/>
  <c r="I258" i="34" s="1"/>
  <c r="E292" i="34"/>
  <c r="I292" i="34" s="1"/>
  <c r="E197" i="34"/>
  <c r="I197" i="34" s="1"/>
  <c r="E186" i="39" s="1"/>
  <c r="G186" i="39" s="1"/>
  <c r="H186" i="39" s="1"/>
  <c r="I186" i="39" s="1"/>
  <c r="J186" i="39" s="1"/>
  <c r="E165" i="34"/>
  <c r="I165" i="34" s="1"/>
  <c r="E154" i="12" s="1"/>
  <c r="G154" i="12" s="1"/>
  <c r="H154" i="12" s="1"/>
  <c r="E222" i="34"/>
  <c r="I222" i="34" s="1"/>
  <c r="G212" i="25" s="1"/>
  <c r="E201" i="34"/>
  <c r="I201" i="34" s="1"/>
  <c r="E169" i="34"/>
  <c r="I169" i="34" s="1"/>
  <c r="E158" i="39" s="1"/>
  <c r="G158" i="39" s="1"/>
  <c r="H158" i="39" s="1"/>
  <c r="I158" i="39" s="1"/>
  <c r="J158" i="39" s="1"/>
  <c r="E225" i="34"/>
  <c r="I225" i="34" s="1"/>
  <c r="E214" i="12" s="1"/>
  <c r="G214" i="12" s="1"/>
  <c r="H214" i="12" s="1"/>
  <c r="E146" i="34"/>
  <c r="I146" i="34" s="1"/>
  <c r="G136" i="25" s="1"/>
  <c r="E114" i="34"/>
  <c r="I114" i="34" s="1"/>
  <c r="E82" i="34"/>
  <c r="I82" i="34" s="1"/>
  <c r="E71" i="39" s="1"/>
  <c r="G71" i="39" s="1"/>
  <c r="H71" i="39" s="1"/>
  <c r="I71" i="39" s="1"/>
  <c r="J71" i="39" s="1"/>
  <c r="E50" i="34"/>
  <c r="I50" i="34" s="1"/>
  <c r="G40" i="25" s="1"/>
  <c r="E19" i="34"/>
  <c r="I19" i="34" s="1"/>
  <c r="E121" i="34"/>
  <c r="I121" i="34" s="1"/>
  <c r="E89" i="34"/>
  <c r="I89" i="34" s="1"/>
  <c r="E78" i="39" s="1"/>
  <c r="G78" i="39" s="1"/>
  <c r="H78" i="39" s="1"/>
  <c r="I78" i="39" s="1"/>
  <c r="J78" i="39" s="1"/>
  <c r="E57" i="34"/>
  <c r="I57" i="34" s="1"/>
  <c r="E46" i="39" s="1"/>
  <c r="G46" i="39" s="1"/>
  <c r="H46" i="39" s="1"/>
  <c r="I46" i="39" s="1"/>
  <c r="J46" i="39" s="1"/>
  <c r="E26" i="34"/>
  <c r="I26" i="34" s="1"/>
  <c r="G16" i="25" s="1"/>
  <c r="E142" i="34"/>
  <c r="I142" i="34" s="1"/>
  <c r="E110" i="34"/>
  <c r="I110" i="34" s="1"/>
  <c r="E99" i="12" s="1"/>
  <c r="G99" i="12" s="1"/>
  <c r="H99" i="12" s="1"/>
  <c r="E78" i="34"/>
  <c r="I78" i="34" s="1"/>
  <c r="G68" i="25" s="1"/>
  <c r="E46" i="34"/>
  <c r="I46" i="34" s="1"/>
  <c r="G36" i="25" s="1"/>
  <c r="E149" i="34"/>
  <c r="I149" i="34" s="1"/>
  <c r="E117" i="34"/>
  <c r="I117" i="34" s="1"/>
  <c r="E106" i="12" s="1"/>
  <c r="G106" i="12" s="1"/>
  <c r="H106" i="12" s="1"/>
  <c r="E85" i="34"/>
  <c r="I85" i="34" s="1"/>
  <c r="E74" i="39" s="1"/>
  <c r="G74" i="39" s="1"/>
  <c r="H74" i="39" s="1"/>
  <c r="I74" i="39" s="1"/>
  <c r="J74" i="39" s="1"/>
  <c r="E53" i="34"/>
  <c r="I53" i="34" s="1"/>
  <c r="G43" i="25" s="1"/>
  <c r="E208" i="12"/>
  <c r="G208" i="12" s="1"/>
  <c r="H208" i="12" s="1"/>
  <c r="E208" i="39"/>
  <c r="G208" i="39" s="1"/>
  <c r="H208" i="39" s="1"/>
  <c r="I208" i="39" s="1"/>
  <c r="J208" i="39" s="1"/>
  <c r="E285" i="12"/>
  <c r="G285" i="12" s="1"/>
  <c r="H285" i="12" s="1"/>
  <c r="E285" i="39"/>
  <c r="G285" i="39" s="1"/>
  <c r="H285" i="39" s="1"/>
  <c r="I285" i="39" s="1"/>
  <c r="J285" i="39" s="1"/>
  <c r="E262" i="39"/>
  <c r="G262" i="39" s="1"/>
  <c r="H262" i="39" s="1"/>
  <c r="I262" i="39" s="1"/>
  <c r="J262" i="39" s="1"/>
  <c r="E69" i="12"/>
  <c r="G69" i="12" s="1"/>
  <c r="H69" i="12" s="1"/>
  <c r="E151" i="12"/>
  <c r="G151" i="12" s="1"/>
  <c r="H151" i="12" s="1"/>
  <c r="E144" i="12"/>
  <c r="G144" i="12" s="1"/>
  <c r="H144" i="12" s="1"/>
  <c r="E265" i="39"/>
  <c r="G265" i="39" s="1"/>
  <c r="H265" i="39" s="1"/>
  <c r="I265" i="39" s="1"/>
  <c r="J265" i="39" s="1"/>
  <c r="E296" i="39"/>
  <c r="G296" i="39" s="1"/>
  <c r="H296" i="39" s="1"/>
  <c r="I296" i="39" s="1"/>
  <c r="J296" i="39" s="1"/>
  <c r="E56" i="39"/>
  <c r="G56" i="39" s="1"/>
  <c r="H56" i="39" s="1"/>
  <c r="I56" i="39" s="1"/>
  <c r="J56" i="39" s="1"/>
  <c r="E56" i="12"/>
  <c r="G56" i="12" s="1"/>
  <c r="H56" i="12" s="1"/>
  <c r="E193" i="12"/>
  <c r="G193" i="12" s="1"/>
  <c r="H193" i="12" s="1"/>
  <c r="E88" i="39"/>
  <c r="G88" i="39" s="1"/>
  <c r="H88" i="39" s="1"/>
  <c r="I88" i="39" s="1"/>
  <c r="J88" i="39" s="1"/>
  <c r="E301" i="12"/>
  <c r="G301" i="12" s="1"/>
  <c r="H301" i="12" s="1"/>
  <c r="E116" i="39"/>
  <c r="G116" i="39" s="1"/>
  <c r="H116" i="39" s="1"/>
  <c r="I116" i="39" s="1"/>
  <c r="J116" i="39" s="1"/>
  <c r="E116" i="12"/>
  <c r="G116" i="12" s="1"/>
  <c r="H116" i="12" s="1"/>
  <c r="E224" i="12"/>
  <c r="G224" i="12" s="1"/>
  <c r="H224" i="12" s="1"/>
  <c r="E224" i="39"/>
  <c r="G224" i="39" s="1"/>
  <c r="H224" i="39" s="1"/>
  <c r="I224" i="39" s="1"/>
  <c r="J224" i="39" s="1"/>
  <c r="E109" i="39"/>
  <c r="G109" i="39" s="1"/>
  <c r="H109" i="39" s="1"/>
  <c r="I109" i="39" s="1"/>
  <c r="J109" i="39" s="1"/>
  <c r="E306" i="39"/>
  <c r="G306" i="39" s="1"/>
  <c r="H306" i="39" s="1"/>
  <c r="I306" i="39" s="1"/>
  <c r="J306" i="39" s="1"/>
  <c r="E260" i="39"/>
  <c r="G260" i="39" s="1"/>
  <c r="H260" i="39" s="1"/>
  <c r="I260" i="39" s="1"/>
  <c r="J260" i="39" s="1"/>
  <c r="E260" i="12"/>
  <c r="G260" i="12" s="1"/>
  <c r="H260" i="12" s="1"/>
  <c r="E36" i="39"/>
  <c r="G36" i="39" s="1"/>
  <c r="H36" i="39" s="1"/>
  <c r="I36" i="39" s="1"/>
  <c r="J36" i="39" s="1"/>
  <c r="E72" i="39"/>
  <c r="G72" i="39" s="1"/>
  <c r="H72" i="39" s="1"/>
  <c r="I72" i="39" s="1"/>
  <c r="J72" i="39" s="1"/>
  <c r="E72" i="12"/>
  <c r="G72" i="12" s="1"/>
  <c r="H72" i="12" s="1"/>
  <c r="E92" i="39"/>
  <c r="G92" i="39" s="1"/>
  <c r="H92" i="39" s="1"/>
  <c r="I92" i="39" s="1"/>
  <c r="J92" i="39" s="1"/>
  <c r="E53" i="12"/>
  <c r="G53" i="12" s="1"/>
  <c r="H53" i="12" s="1"/>
  <c r="E241" i="12"/>
  <c r="G241" i="12" s="1"/>
  <c r="H241" i="12" s="1"/>
  <c r="E10" i="39"/>
  <c r="G10" i="39" s="1"/>
  <c r="H10" i="39" s="1"/>
  <c r="I10" i="39" s="1"/>
  <c r="J10" i="39" s="1"/>
  <c r="E10" i="12"/>
  <c r="G10" i="12" s="1"/>
  <c r="H10" i="12" s="1"/>
  <c r="E245" i="39"/>
  <c r="G245" i="39" s="1"/>
  <c r="H245" i="39" s="1"/>
  <c r="I245" i="39" s="1"/>
  <c r="J245" i="39" s="1"/>
  <c r="E237" i="39"/>
  <c r="G237" i="39" s="1"/>
  <c r="H237" i="39" s="1"/>
  <c r="I237" i="39" s="1"/>
  <c r="J237" i="39" s="1"/>
  <c r="E145" i="12"/>
  <c r="G145" i="12" s="1"/>
  <c r="H145" i="12" s="1"/>
  <c r="E253" i="12"/>
  <c r="G253" i="12" s="1"/>
  <c r="H253" i="12" s="1"/>
  <c r="E32" i="39"/>
  <c r="G32" i="39" s="1"/>
  <c r="H32" i="39" s="1"/>
  <c r="I32" i="39" s="1"/>
  <c r="J32" i="39" s="1"/>
  <c r="E32" i="12"/>
  <c r="G32" i="12" s="1"/>
  <c r="H32" i="12" s="1"/>
  <c r="E80" i="39"/>
  <c r="G80" i="39" s="1"/>
  <c r="H80" i="39" s="1"/>
  <c r="I80" i="39" s="1"/>
  <c r="J80" i="39" s="1"/>
  <c r="E80" i="12"/>
  <c r="G80" i="12" s="1"/>
  <c r="H80" i="12" s="1"/>
  <c r="E213" i="39"/>
  <c r="G213" i="39" s="1"/>
  <c r="H213" i="39" s="1"/>
  <c r="I213" i="39" s="1"/>
  <c r="J213" i="39" s="1"/>
  <c r="E213" i="12"/>
  <c r="G213" i="12" s="1"/>
  <c r="H213" i="12" s="1"/>
  <c r="E22" i="39"/>
  <c r="G22" i="39" s="1"/>
  <c r="H22" i="39" s="1"/>
  <c r="I22" i="39" s="1"/>
  <c r="J22" i="39" s="1"/>
  <c r="E22" i="12"/>
  <c r="G22" i="12" s="1"/>
  <c r="H22" i="12" s="1"/>
  <c r="E73" i="39"/>
  <c r="G73" i="39" s="1"/>
  <c r="H73" i="39" s="1"/>
  <c r="I73" i="39" s="1"/>
  <c r="J73" i="39" s="1"/>
  <c r="E73" i="12"/>
  <c r="G73" i="12" s="1"/>
  <c r="H73" i="12" s="1"/>
  <c r="E153" i="39"/>
  <c r="G153" i="39" s="1"/>
  <c r="H153" i="39" s="1"/>
  <c r="I153" i="39" s="1"/>
  <c r="J153" i="39" s="1"/>
  <c r="E153" i="12"/>
  <c r="G153" i="12" s="1"/>
  <c r="H153" i="12" s="1"/>
  <c r="E307" i="12"/>
  <c r="G307" i="12" s="1"/>
  <c r="H307" i="12" s="1"/>
  <c r="E307" i="39"/>
  <c r="G307" i="39" s="1"/>
  <c r="H307" i="39" s="1"/>
  <c r="I307" i="39" s="1"/>
  <c r="J307" i="39" s="1"/>
  <c r="E189" i="12"/>
  <c r="G189" i="12" s="1"/>
  <c r="H189" i="12" s="1"/>
  <c r="E189" i="39"/>
  <c r="G189" i="39" s="1"/>
  <c r="H189" i="39" s="1"/>
  <c r="I189" i="39" s="1"/>
  <c r="J189" i="39" s="1"/>
  <c r="E164" i="39"/>
  <c r="G164" i="39" s="1"/>
  <c r="H164" i="39" s="1"/>
  <c r="I164" i="39" s="1"/>
  <c r="J164" i="39" s="1"/>
  <c r="E152" i="12"/>
  <c r="G152" i="12" s="1"/>
  <c r="H152" i="12" s="1"/>
  <c r="E152" i="39"/>
  <c r="G152" i="39" s="1"/>
  <c r="H152" i="39" s="1"/>
  <c r="I152" i="39" s="1"/>
  <c r="J152" i="39" s="1"/>
  <c r="E259" i="39"/>
  <c r="G259" i="39" s="1"/>
  <c r="H259" i="39" s="1"/>
  <c r="I259" i="39" s="1"/>
  <c r="J259" i="39" s="1"/>
  <c r="E259" i="12"/>
  <c r="G259" i="12" s="1"/>
  <c r="H259" i="12" s="1"/>
  <c r="E197" i="12"/>
  <c r="G197" i="12" s="1"/>
  <c r="H197" i="12" s="1"/>
  <c r="E291" i="12"/>
  <c r="G291" i="12" s="1"/>
  <c r="H291" i="12" s="1"/>
  <c r="E261" i="39"/>
  <c r="G261" i="39" s="1"/>
  <c r="H261" i="39" s="1"/>
  <c r="I261" i="39" s="1"/>
  <c r="J261" i="39" s="1"/>
  <c r="E11" i="39"/>
  <c r="G11" i="39" s="1"/>
  <c r="H11" i="39" s="1"/>
  <c r="I11" i="39" s="1"/>
  <c r="J11" i="39" s="1"/>
  <c r="E11" i="12"/>
  <c r="G11" i="12" s="1"/>
  <c r="H11" i="12" s="1"/>
  <c r="G51" i="25"/>
  <c r="G198" i="25"/>
  <c r="G121" i="25"/>
  <c r="G14" i="25"/>
  <c r="G154" i="25"/>
  <c r="G23" i="25"/>
  <c r="G138" i="25"/>
  <c r="G74" i="25"/>
  <c r="G41" i="25"/>
  <c r="G253" i="25"/>
  <c r="G164" i="25"/>
  <c r="G292" i="25"/>
  <c r="G297" i="25"/>
  <c r="G57" i="25"/>
  <c r="G66" i="25"/>
  <c r="G58" i="25"/>
  <c r="G307" i="25"/>
  <c r="G260" i="25"/>
  <c r="G123" i="25"/>
  <c r="G12" i="25"/>
  <c r="G93" i="25"/>
  <c r="G140" i="25"/>
  <c r="G152" i="25"/>
  <c r="G285" i="25"/>
  <c r="G209" i="25"/>
  <c r="G18" i="25"/>
  <c r="G8" i="25"/>
  <c r="G204" i="25"/>
  <c r="G214" i="25"/>
  <c r="G286" i="25"/>
  <c r="G81" i="25"/>
  <c r="G234" i="25"/>
  <c r="G19" i="25"/>
  <c r="G225" i="25"/>
  <c r="G179" i="25"/>
  <c r="G153" i="25"/>
  <c r="G235" i="25"/>
  <c r="G73" i="25"/>
  <c r="G11" i="25"/>
  <c r="G211" i="25"/>
  <c r="G261" i="25"/>
  <c r="G262" i="25"/>
  <c r="G33" i="25"/>
  <c r="G117" i="25"/>
  <c r="G70" i="25"/>
  <c r="G308" i="25"/>
  <c r="G190" i="25"/>
  <c r="G44" i="25"/>
  <c r="F41" i="48"/>
  <c r="I16" i="34"/>
  <c r="G252" i="25" l="1"/>
  <c r="E48" i="12"/>
  <c r="G48" i="12" s="1"/>
  <c r="H48" i="12" s="1"/>
  <c r="E229" i="12"/>
  <c r="G229" i="12" s="1"/>
  <c r="H229" i="12" s="1"/>
  <c r="E220" i="12"/>
  <c r="G220" i="12" s="1"/>
  <c r="H220" i="12" s="1"/>
  <c r="E183" i="12"/>
  <c r="G183" i="12" s="1"/>
  <c r="H183" i="12" s="1"/>
  <c r="E81" i="12"/>
  <c r="G81" i="12" s="1"/>
  <c r="H81" i="12" s="1"/>
  <c r="I81" i="12" s="1"/>
  <c r="J81" i="12" s="1"/>
  <c r="E302" i="39"/>
  <c r="G302" i="39" s="1"/>
  <c r="H302" i="39" s="1"/>
  <c r="I302" i="39" s="1"/>
  <c r="J302" i="39" s="1"/>
  <c r="G146" i="25"/>
  <c r="G113" i="25"/>
  <c r="G216" i="25"/>
  <c r="G145" i="25"/>
  <c r="G89" i="25"/>
  <c r="G49" i="25"/>
  <c r="E230" i="39"/>
  <c r="G230" i="39" s="1"/>
  <c r="H230" i="39" s="1"/>
  <c r="I230" i="39" s="1"/>
  <c r="J230" i="39" s="1"/>
  <c r="I231" i="25" s="1"/>
  <c r="E81" i="39"/>
  <c r="G81" i="39" s="1"/>
  <c r="H81" i="39" s="1"/>
  <c r="I81" i="39" s="1"/>
  <c r="J81" i="39" s="1"/>
  <c r="G303" i="25"/>
  <c r="E248" i="12"/>
  <c r="G248" i="12" s="1"/>
  <c r="H248" i="12" s="1"/>
  <c r="E251" i="12"/>
  <c r="G251" i="12" s="1"/>
  <c r="H251" i="12" s="1"/>
  <c r="E93" i="12"/>
  <c r="G93" i="12" s="1"/>
  <c r="H93" i="12" s="1"/>
  <c r="G273" i="25"/>
  <c r="G124" i="25"/>
  <c r="G271" i="25"/>
  <c r="E57" i="39"/>
  <c r="G57" i="39" s="1"/>
  <c r="H57" i="39" s="1"/>
  <c r="I57" i="39" s="1"/>
  <c r="J57" i="39" s="1"/>
  <c r="E93" i="39"/>
  <c r="G93" i="39" s="1"/>
  <c r="H93" i="39" s="1"/>
  <c r="I93" i="39" s="1"/>
  <c r="J93" i="39" s="1"/>
  <c r="E270" i="12"/>
  <c r="G270" i="12" s="1"/>
  <c r="H270" i="12" s="1"/>
  <c r="G278" i="25"/>
  <c r="E282" i="39"/>
  <c r="G282" i="39" s="1"/>
  <c r="H282" i="39" s="1"/>
  <c r="I282" i="39" s="1"/>
  <c r="J282" i="39" s="1"/>
  <c r="E284" i="12"/>
  <c r="G284" i="12" s="1"/>
  <c r="H284" i="12" s="1"/>
  <c r="G283" i="25"/>
  <c r="E215" i="12"/>
  <c r="G215" i="12" s="1"/>
  <c r="H215" i="12" s="1"/>
  <c r="I215" i="12" s="1"/>
  <c r="J215" i="12" s="1"/>
  <c r="E112" i="12"/>
  <c r="G112" i="12" s="1"/>
  <c r="H112" i="12" s="1"/>
  <c r="E271" i="12"/>
  <c r="G271" i="12" s="1"/>
  <c r="H271" i="12" s="1"/>
  <c r="G291" i="25"/>
  <c r="E121" i="39"/>
  <c r="G121" i="39" s="1"/>
  <c r="H121" i="39" s="1"/>
  <c r="I121" i="39" s="1"/>
  <c r="J121" i="39" s="1"/>
  <c r="E277" i="39"/>
  <c r="G277" i="39" s="1"/>
  <c r="H277" i="39" s="1"/>
  <c r="I277" i="39" s="1"/>
  <c r="J277" i="39" s="1"/>
  <c r="E290" i="39"/>
  <c r="G290" i="39" s="1"/>
  <c r="H290" i="39" s="1"/>
  <c r="I290" i="39" s="1"/>
  <c r="J290" i="39" s="1"/>
  <c r="G48" i="25"/>
  <c r="G10" i="25"/>
  <c r="E31" i="39"/>
  <c r="G31" i="39" s="1"/>
  <c r="H31" i="39" s="1"/>
  <c r="I31" i="39" s="1"/>
  <c r="J31" i="39" s="1"/>
  <c r="E234" i="39"/>
  <c r="G234" i="39" s="1"/>
  <c r="H234" i="39" s="1"/>
  <c r="I234" i="39" s="1"/>
  <c r="J234" i="39" s="1"/>
  <c r="I235" i="25" s="1"/>
  <c r="E61" i="39"/>
  <c r="G61" i="39" s="1"/>
  <c r="H61" i="39" s="1"/>
  <c r="I61" i="39" s="1"/>
  <c r="J61" i="39" s="1"/>
  <c r="I62" i="25" s="1"/>
  <c r="E227" i="39"/>
  <c r="G227" i="39" s="1"/>
  <c r="H227" i="39" s="1"/>
  <c r="I227" i="39" s="1"/>
  <c r="J227" i="39" s="1"/>
  <c r="I228" i="25" s="1"/>
  <c r="E44" i="39"/>
  <c r="G44" i="39" s="1"/>
  <c r="H44" i="39" s="1"/>
  <c r="I44" i="39" s="1"/>
  <c r="J44" i="39" s="1"/>
  <c r="G88" i="25"/>
  <c r="G80" i="25"/>
  <c r="G151" i="25"/>
  <c r="E272" i="12"/>
  <c r="G272" i="12" s="1"/>
  <c r="H272" i="12" s="1"/>
  <c r="I272" i="12" s="1"/>
  <c r="J272" i="12" s="1"/>
  <c r="J273" i="25" s="1"/>
  <c r="E47" i="39"/>
  <c r="G47" i="39" s="1"/>
  <c r="H47" i="39" s="1"/>
  <c r="I47" i="39" s="1"/>
  <c r="J47" i="39" s="1"/>
  <c r="I48" i="25" s="1"/>
  <c r="G76" i="25"/>
  <c r="E155" i="12"/>
  <c r="G155" i="12" s="1"/>
  <c r="H155" i="12" s="1"/>
  <c r="I155" i="12" s="1"/>
  <c r="J155" i="12" s="1"/>
  <c r="E289" i="39"/>
  <c r="G289" i="39" s="1"/>
  <c r="H289" i="39" s="1"/>
  <c r="I289" i="39" s="1"/>
  <c r="J289" i="39" s="1"/>
  <c r="I290" i="25" s="1"/>
  <c r="G175" i="25"/>
  <c r="E75" i="12"/>
  <c r="G75" i="12" s="1"/>
  <c r="H75" i="12" s="1"/>
  <c r="E137" i="12"/>
  <c r="G137" i="12" s="1"/>
  <c r="H137" i="12" s="1"/>
  <c r="I137" i="12" s="1"/>
  <c r="J137" i="12" s="1"/>
  <c r="J138" i="25" s="1"/>
  <c r="E202" i="12"/>
  <c r="G202" i="12" s="1"/>
  <c r="H202" i="12" s="1"/>
  <c r="I202" i="12" s="1"/>
  <c r="J202" i="12" s="1"/>
  <c r="G203" i="25"/>
  <c r="E233" i="39"/>
  <c r="G233" i="39" s="1"/>
  <c r="H233" i="39" s="1"/>
  <c r="I233" i="39" s="1"/>
  <c r="J233" i="39" s="1"/>
  <c r="I234" i="25" s="1"/>
  <c r="E187" i="12"/>
  <c r="G187" i="12" s="1"/>
  <c r="H187" i="12" s="1"/>
  <c r="I187" i="12" s="1"/>
  <c r="J187" i="12" s="1"/>
  <c r="J188" i="25" s="1"/>
  <c r="E43" i="12"/>
  <c r="G43" i="12" s="1"/>
  <c r="H43" i="12" s="1"/>
  <c r="I43" i="12" s="1"/>
  <c r="J43" i="12" s="1"/>
  <c r="G100" i="25"/>
  <c r="E87" i="12"/>
  <c r="G87" i="12" s="1"/>
  <c r="H87" i="12" s="1"/>
  <c r="I87" i="12" s="1"/>
  <c r="J87" i="12" s="1"/>
  <c r="J88" i="25" s="1"/>
  <c r="G159" i="25"/>
  <c r="E107" i="39"/>
  <c r="G107" i="39" s="1"/>
  <c r="H107" i="39" s="1"/>
  <c r="I107" i="39" s="1"/>
  <c r="J107" i="39" s="1"/>
  <c r="I108" i="25" s="1"/>
  <c r="G231" i="25"/>
  <c r="G254" i="25"/>
  <c r="G95" i="25"/>
  <c r="G230" i="25"/>
  <c r="G110" i="25"/>
  <c r="G156" i="25"/>
  <c r="G108" i="25"/>
  <c r="G105" i="25"/>
  <c r="G221" i="25"/>
  <c r="G302" i="25"/>
  <c r="G107" i="25"/>
  <c r="G272" i="25"/>
  <c r="G249" i="25"/>
  <c r="E121" i="12"/>
  <c r="G121" i="12" s="1"/>
  <c r="H121" i="12" s="1"/>
  <c r="I121" i="12" s="1"/>
  <c r="J121" i="12" s="1"/>
  <c r="J122" i="25" s="1"/>
  <c r="E183" i="39"/>
  <c r="G183" i="39" s="1"/>
  <c r="H183" i="39" s="1"/>
  <c r="I183" i="39" s="1"/>
  <c r="J183" i="39" s="1"/>
  <c r="I184" i="25" s="1"/>
  <c r="E53" i="39"/>
  <c r="G53" i="39" s="1"/>
  <c r="H53" i="39" s="1"/>
  <c r="I53" i="39" s="1"/>
  <c r="J53" i="39" s="1"/>
  <c r="I54" i="25" s="1"/>
  <c r="E79" i="39"/>
  <c r="G79" i="39" s="1"/>
  <c r="H79" i="39" s="1"/>
  <c r="I79" i="39" s="1"/>
  <c r="J79" i="39" s="1"/>
  <c r="I80" i="25" s="1"/>
  <c r="E174" i="12"/>
  <c r="G174" i="12" s="1"/>
  <c r="H174" i="12" s="1"/>
  <c r="I174" i="12" s="1"/>
  <c r="J174" i="12" s="1"/>
  <c r="E265" i="12"/>
  <c r="G265" i="12" s="1"/>
  <c r="H265" i="12" s="1"/>
  <c r="I265" i="12" s="1"/>
  <c r="J265" i="12" s="1"/>
  <c r="J266" i="25" s="1"/>
  <c r="E203" i="12"/>
  <c r="G203" i="12" s="1"/>
  <c r="H203" i="12" s="1"/>
  <c r="I203" i="12" s="1"/>
  <c r="J203" i="12" s="1"/>
  <c r="E104" i="12"/>
  <c r="G104" i="12" s="1"/>
  <c r="H104" i="12" s="1"/>
  <c r="I104" i="12" s="1"/>
  <c r="J104" i="12" s="1"/>
  <c r="G290" i="25"/>
  <c r="G312" i="25"/>
  <c r="G242" i="25"/>
  <c r="G187" i="25"/>
  <c r="G32" i="25"/>
  <c r="G188" i="25"/>
  <c r="G116" i="25"/>
  <c r="E115" i="12"/>
  <c r="G115" i="12" s="1"/>
  <c r="H115" i="12" s="1"/>
  <c r="I115" i="12" s="1"/>
  <c r="J115" i="12" s="1"/>
  <c r="E123" i="39"/>
  <c r="G123" i="39" s="1"/>
  <c r="H123" i="39" s="1"/>
  <c r="I123" i="39" s="1"/>
  <c r="J123" i="39" s="1"/>
  <c r="I124" i="25" s="1"/>
  <c r="G206" i="25"/>
  <c r="G165" i="25"/>
  <c r="G158" i="25"/>
  <c r="E129" i="39"/>
  <c r="G129" i="39" s="1"/>
  <c r="H129" i="39" s="1"/>
  <c r="I129" i="39" s="1"/>
  <c r="J129" i="39" s="1"/>
  <c r="I130" i="25" s="1"/>
  <c r="E64" i="39"/>
  <c r="G64" i="39" s="1"/>
  <c r="H64" i="39" s="1"/>
  <c r="I64" i="39" s="1"/>
  <c r="J64" i="39" s="1"/>
  <c r="I65" i="25" s="1"/>
  <c r="G301" i="25"/>
  <c r="G62" i="25"/>
  <c r="G45" i="25"/>
  <c r="G34" i="25"/>
  <c r="G79" i="25"/>
  <c r="G72" i="25"/>
  <c r="E238" i="12"/>
  <c r="G238" i="12" s="1"/>
  <c r="H238" i="12" s="1"/>
  <c r="I238" i="12" s="1"/>
  <c r="J238" i="12" s="1"/>
  <c r="J239" i="25" s="1"/>
  <c r="E33" i="12"/>
  <c r="G33" i="12" s="1"/>
  <c r="H33" i="12" s="1"/>
  <c r="I33" i="12" s="1"/>
  <c r="J33" i="12" s="1"/>
  <c r="J34" i="25" s="1"/>
  <c r="E36" i="12"/>
  <c r="G36" i="12" s="1"/>
  <c r="H36" i="12" s="1"/>
  <c r="I36" i="12" s="1"/>
  <c r="J36" i="12" s="1"/>
  <c r="J37" i="25" s="1"/>
  <c r="E50" i="39"/>
  <c r="G50" i="39" s="1"/>
  <c r="H50" i="39" s="1"/>
  <c r="I50" i="39" s="1"/>
  <c r="J50" i="39" s="1"/>
  <c r="I51" i="25" s="1"/>
  <c r="E96" i="12"/>
  <c r="G96" i="12" s="1"/>
  <c r="H96" i="12" s="1"/>
  <c r="I96" i="12" s="1"/>
  <c r="J96" i="12" s="1"/>
  <c r="J97" i="25" s="1"/>
  <c r="E227" i="12"/>
  <c r="G227" i="12" s="1"/>
  <c r="H227" i="12" s="1"/>
  <c r="I227" i="12" s="1"/>
  <c r="J227" i="12" s="1"/>
  <c r="J228" i="25" s="1"/>
  <c r="E9" i="12"/>
  <c r="G9" i="12" s="1"/>
  <c r="H9" i="12" s="1"/>
  <c r="I9" i="12" s="1"/>
  <c r="J9" i="12" s="1"/>
  <c r="J10" i="25" s="1"/>
  <c r="E223" i="39"/>
  <c r="G223" i="39" s="1"/>
  <c r="H223" i="39" s="1"/>
  <c r="I223" i="39" s="1"/>
  <c r="J223" i="39" s="1"/>
  <c r="I224" i="25" s="1"/>
  <c r="G201" i="25"/>
  <c r="G109" i="25"/>
  <c r="E274" i="12"/>
  <c r="G274" i="12" s="1"/>
  <c r="H274" i="12" s="1"/>
  <c r="I274" i="12" s="1"/>
  <c r="J274" i="12" s="1"/>
  <c r="E275" i="39"/>
  <c r="G275" i="39" s="1"/>
  <c r="H275" i="39" s="1"/>
  <c r="I275" i="39" s="1"/>
  <c r="J275" i="39" s="1"/>
  <c r="I276" i="25" s="1"/>
  <c r="E244" i="12"/>
  <c r="G244" i="12" s="1"/>
  <c r="H244" i="12" s="1"/>
  <c r="I244" i="12" s="1"/>
  <c r="J244" i="12" s="1"/>
  <c r="G65" i="25"/>
  <c r="G173" i="25"/>
  <c r="G265" i="25"/>
  <c r="G97" i="25"/>
  <c r="G185" i="25"/>
  <c r="E97" i="12"/>
  <c r="G97" i="12" s="1"/>
  <c r="H97" i="12" s="1"/>
  <c r="I97" i="12" s="1"/>
  <c r="J97" i="12" s="1"/>
  <c r="E218" i="39"/>
  <c r="G218" i="39" s="1"/>
  <c r="H218" i="39" s="1"/>
  <c r="I218" i="39" s="1"/>
  <c r="J218" i="39" s="1"/>
  <c r="I219" i="25" s="1"/>
  <c r="E29" i="12"/>
  <c r="G29" i="12" s="1"/>
  <c r="H29" i="12" s="1"/>
  <c r="I29" i="12" s="1"/>
  <c r="J29" i="12" s="1"/>
  <c r="E108" i="12"/>
  <c r="G108" i="12" s="1"/>
  <c r="H108" i="12" s="1"/>
  <c r="I108" i="12" s="1"/>
  <c r="J108" i="12" s="1"/>
  <c r="J109" i="25" s="1"/>
  <c r="E205" i="12"/>
  <c r="G205" i="12" s="1"/>
  <c r="H205" i="12" s="1"/>
  <c r="I205" i="12" s="1"/>
  <c r="J205" i="12" s="1"/>
  <c r="J206" i="25" s="1"/>
  <c r="G247" i="25"/>
  <c r="G289" i="25"/>
  <c r="G193" i="25"/>
  <c r="G114" i="25"/>
  <c r="G311" i="25"/>
  <c r="G276" i="25"/>
  <c r="G275" i="25"/>
  <c r="G219" i="25"/>
  <c r="G224" i="25"/>
  <c r="G304" i="25"/>
  <c r="G130" i="25"/>
  <c r="G166" i="25"/>
  <c r="E89" i="39"/>
  <c r="G89" i="39" s="1"/>
  <c r="H89" i="39" s="1"/>
  <c r="I89" i="39" s="1"/>
  <c r="J89" i="39" s="1"/>
  <c r="I90" i="25" s="1"/>
  <c r="E192" i="39"/>
  <c r="G192" i="39" s="1"/>
  <c r="H192" i="39" s="1"/>
  <c r="I192" i="39" s="1"/>
  <c r="J192" i="39" s="1"/>
  <c r="I193" i="25" s="1"/>
  <c r="E184" i="12"/>
  <c r="G184" i="12" s="1"/>
  <c r="H184" i="12" s="1"/>
  <c r="I184" i="12" s="1"/>
  <c r="J184" i="12" s="1"/>
  <c r="E29" i="39"/>
  <c r="G29" i="39" s="1"/>
  <c r="H29" i="39" s="1"/>
  <c r="I29" i="39" s="1"/>
  <c r="J29" i="39" s="1"/>
  <c r="I30" i="25" s="1"/>
  <c r="E299" i="39"/>
  <c r="G299" i="39" s="1"/>
  <c r="H299" i="39" s="1"/>
  <c r="I299" i="39" s="1"/>
  <c r="J299" i="39" s="1"/>
  <c r="I300" i="25" s="1"/>
  <c r="E221" i="12"/>
  <c r="G221" i="12" s="1"/>
  <c r="H221" i="12" s="1"/>
  <c r="I221" i="12" s="1"/>
  <c r="J221" i="12" s="1"/>
  <c r="J222" i="25" s="1"/>
  <c r="G213" i="25"/>
  <c r="G298" i="25"/>
  <c r="G300" i="25"/>
  <c r="G180" i="25"/>
  <c r="G240" i="25"/>
  <c r="G270" i="25"/>
  <c r="G243" i="25"/>
  <c r="G141" i="25"/>
  <c r="E125" i="39"/>
  <c r="G125" i="39" s="1"/>
  <c r="H125" i="39" s="1"/>
  <c r="I125" i="39" s="1"/>
  <c r="J125" i="39" s="1"/>
  <c r="I126" i="25" s="1"/>
  <c r="E264" i="39"/>
  <c r="G264" i="39" s="1"/>
  <c r="H264" i="39" s="1"/>
  <c r="I264" i="39" s="1"/>
  <c r="J264" i="39" s="1"/>
  <c r="I265" i="25" s="1"/>
  <c r="E212" i="39"/>
  <c r="G212" i="39" s="1"/>
  <c r="H212" i="39" s="1"/>
  <c r="I212" i="39" s="1"/>
  <c r="J212" i="39" s="1"/>
  <c r="I213" i="25" s="1"/>
  <c r="E165" i="39"/>
  <c r="G165" i="39" s="1"/>
  <c r="H165" i="39" s="1"/>
  <c r="I165" i="39" s="1"/>
  <c r="J165" i="39" s="1"/>
  <c r="I166" i="25" s="1"/>
  <c r="E140" i="39"/>
  <c r="G140" i="39" s="1"/>
  <c r="H140" i="39" s="1"/>
  <c r="I140" i="39" s="1"/>
  <c r="J140" i="39" s="1"/>
  <c r="I141" i="25" s="1"/>
  <c r="E269" i="12"/>
  <c r="G269" i="12" s="1"/>
  <c r="H269" i="12" s="1"/>
  <c r="I269" i="12" s="1"/>
  <c r="J269" i="12" s="1"/>
  <c r="J270" i="25" s="1"/>
  <c r="E78" i="12"/>
  <c r="G78" i="12" s="1"/>
  <c r="H78" i="12" s="1"/>
  <c r="I78" i="12" s="1"/>
  <c r="J78" i="12" s="1"/>
  <c r="E71" i="12"/>
  <c r="G71" i="12" s="1"/>
  <c r="H71" i="12" s="1"/>
  <c r="I71" i="12" s="1"/>
  <c r="J71" i="12" s="1"/>
  <c r="E158" i="12"/>
  <c r="G158" i="12" s="1"/>
  <c r="H158" i="12" s="1"/>
  <c r="I158" i="12" s="1"/>
  <c r="J158" i="12" s="1"/>
  <c r="E186" i="12"/>
  <c r="G186" i="12" s="1"/>
  <c r="H186" i="12" s="1"/>
  <c r="I186" i="12" s="1"/>
  <c r="J186" i="12" s="1"/>
  <c r="J187" i="25" s="1"/>
  <c r="E106" i="39"/>
  <c r="G106" i="39" s="1"/>
  <c r="H106" i="39" s="1"/>
  <c r="I106" i="39" s="1"/>
  <c r="J106" i="39" s="1"/>
  <c r="I107" i="25" s="1"/>
  <c r="E311" i="39"/>
  <c r="G311" i="39" s="1"/>
  <c r="H311" i="39" s="1"/>
  <c r="I311" i="39" s="1"/>
  <c r="J311" i="39" s="1"/>
  <c r="I312" i="25" s="1"/>
  <c r="E99" i="39"/>
  <c r="G99" i="39" s="1"/>
  <c r="H99" i="39" s="1"/>
  <c r="I99" i="39" s="1"/>
  <c r="J99" i="39" s="1"/>
  <c r="I100" i="25" s="1"/>
  <c r="G176" i="25"/>
  <c r="E297" i="39"/>
  <c r="G297" i="39" s="1"/>
  <c r="H297" i="39" s="1"/>
  <c r="I297" i="39" s="1"/>
  <c r="J297" i="39" s="1"/>
  <c r="I298" i="25" s="1"/>
  <c r="E221" i="39"/>
  <c r="G221" i="39" s="1"/>
  <c r="H221" i="39" s="1"/>
  <c r="I221" i="39" s="1"/>
  <c r="J221" i="39" s="1"/>
  <c r="I222" i="25" s="1"/>
  <c r="G241" i="25"/>
  <c r="E295" i="12"/>
  <c r="G295" i="12" s="1"/>
  <c r="H295" i="12" s="1"/>
  <c r="I295" i="12" s="1"/>
  <c r="J295" i="12" s="1"/>
  <c r="E246" i="39"/>
  <c r="G246" i="39" s="1"/>
  <c r="H246" i="39" s="1"/>
  <c r="I246" i="39" s="1"/>
  <c r="J246" i="39" s="1"/>
  <c r="I247" i="25" s="1"/>
  <c r="E324" i="34"/>
  <c r="C4" i="34" s="1"/>
  <c r="C10" i="34" s="1"/>
  <c r="C11" i="34" s="1"/>
  <c r="E122" i="12"/>
  <c r="G122" i="12" s="1"/>
  <c r="H122" i="12" s="1"/>
  <c r="I122" i="12" s="1"/>
  <c r="J122" i="12" s="1"/>
  <c r="E150" i="39"/>
  <c r="G150" i="39" s="1"/>
  <c r="H150" i="39" s="1"/>
  <c r="I150" i="39" s="1"/>
  <c r="J150" i="39" s="1"/>
  <c r="I151" i="25" s="1"/>
  <c r="E111" i="12"/>
  <c r="G111" i="12" s="1"/>
  <c r="H111" i="12" s="1"/>
  <c r="I111" i="12" s="1"/>
  <c r="J111" i="12" s="1"/>
  <c r="E157" i="12"/>
  <c r="G157" i="12" s="1"/>
  <c r="H157" i="12" s="1"/>
  <c r="I157" i="12" s="1"/>
  <c r="J157" i="12" s="1"/>
  <c r="J158" i="25" s="1"/>
  <c r="E235" i="39"/>
  <c r="G235" i="39" s="1"/>
  <c r="H235" i="39" s="1"/>
  <c r="I235" i="39" s="1"/>
  <c r="J235" i="39" s="1"/>
  <c r="I236" i="25" s="1"/>
  <c r="G119" i="25"/>
  <c r="E279" i="12"/>
  <c r="G279" i="12" s="1"/>
  <c r="H279" i="12" s="1"/>
  <c r="I279" i="12" s="1"/>
  <c r="J279" i="12" s="1"/>
  <c r="E19" i="39"/>
  <c r="G19" i="39" s="1"/>
  <c r="H19" i="39" s="1"/>
  <c r="I19" i="39" s="1"/>
  <c r="J19" i="39" s="1"/>
  <c r="I20" i="25" s="1"/>
  <c r="G280" i="25"/>
  <c r="G92" i="25"/>
  <c r="G84" i="25"/>
  <c r="G186" i="25"/>
  <c r="E98" i="12"/>
  <c r="G98" i="12" s="1"/>
  <c r="H98" i="12" s="1"/>
  <c r="I98" i="12" s="1"/>
  <c r="J98" i="12" s="1"/>
  <c r="J99" i="25" s="1"/>
  <c r="E303" i="39"/>
  <c r="G303" i="39" s="1"/>
  <c r="H303" i="39" s="1"/>
  <c r="I303" i="39" s="1"/>
  <c r="J303" i="39" s="1"/>
  <c r="I304" i="25" s="1"/>
  <c r="E185" i="39"/>
  <c r="G185" i="39" s="1"/>
  <c r="H185" i="39" s="1"/>
  <c r="I185" i="39" s="1"/>
  <c r="J185" i="39" s="1"/>
  <c r="I186" i="25" s="1"/>
  <c r="E278" i="39"/>
  <c r="G278" i="39" s="1"/>
  <c r="H278" i="39" s="1"/>
  <c r="I278" i="39" s="1"/>
  <c r="J278" i="39" s="1"/>
  <c r="I279" i="25" s="1"/>
  <c r="G20" i="25"/>
  <c r="G192" i="25"/>
  <c r="E67" i="12"/>
  <c r="G67" i="12" s="1"/>
  <c r="H67" i="12" s="1"/>
  <c r="I67" i="12" s="1"/>
  <c r="J67" i="12" s="1"/>
  <c r="J68" i="25" s="1"/>
  <c r="E70" i="39"/>
  <c r="G70" i="39" s="1"/>
  <c r="H70" i="39" s="1"/>
  <c r="I70" i="39" s="1"/>
  <c r="J70" i="39" s="1"/>
  <c r="I71" i="25" s="1"/>
  <c r="G75" i="25"/>
  <c r="E214" i="39"/>
  <c r="G214" i="39" s="1"/>
  <c r="H214" i="39" s="1"/>
  <c r="I214" i="39" s="1"/>
  <c r="J214" i="39" s="1"/>
  <c r="I215" i="25" s="1"/>
  <c r="E172" i="12"/>
  <c r="G172" i="12" s="1"/>
  <c r="H172" i="12" s="1"/>
  <c r="I172" i="12" s="1"/>
  <c r="J172" i="12" s="1"/>
  <c r="G63" i="25"/>
  <c r="G171" i="25"/>
  <c r="E67" i="39"/>
  <c r="G67" i="39" s="1"/>
  <c r="H67" i="39" s="1"/>
  <c r="I67" i="39" s="1"/>
  <c r="J67" i="39" s="1"/>
  <c r="I68" i="25" s="1"/>
  <c r="E91" i="39"/>
  <c r="G91" i="39" s="1"/>
  <c r="H91" i="39" s="1"/>
  <c r="I91" i="39" s="1"/>
  <c r="J91" i="39" s="1"/>
  <c r="I92" i="25" s="1"/>
  <c r="G39" i="25"/>
  <c r="E39" i="12"/>
  <c r="G39" i="12" s="1"/>
  <c r="H39" i="12" s="1"/>
  <c r="I39" i="12" s="1"/>
  <c r="J39" i="12" s="1"/>
  <c r="J40" i="25" s="1"/>
  <c r="E191" i="12"/>
  <c r="G191" i="12" s="1"/>
  <c r="H191" i="12" s="1"/>
  <c r="I191" i="12" s="1"/>
  <c r="J191" i="12" s="1"/>
  <c r="E222" i="12"/>
  <c r="G222" i="12" s="1"/>
  <c r="H222" i="12" s="1"/>
  <c r="I222" i="12" s="1"/>
  <c r="J222" i="12" s="1"/>
  <c r="J223" i="25" s="1"/>
  <c r="E239" i="39"/>
  <c r="G239" i="39" s="1"/>
  <c r="H239" i="39" s="1"/>
  <c r="I239" i="39" s="1"/>
  <c r="J239" i="39" s="1"/>
  <c r="I240" i="25" s="1"/>
  <c r="E300" i="39"/>
  <c r="G300" i="39" s="1"/>
  <c r="H300" i="39" s="1"/>
  <c r="I300" i="39" s="1"/>
  <c r="J300" i="39" s="1"/>
  <c r="I301" i="25" s="1"/>
  <c r="E226" i="39"/>
  <c r="G226" i="39" s="1"/>
  <c r="H226" i="39" s="1"/>
  <c r="I226" i="39" s="1"/>
  <c r="J226" i="39" s="1"/>
  <c r="I227" i="25" s="1"/>
  <c r="E278" i="12"/>
  <c r="G278" i="12" s="1"/>
  <c r="H278" i="12" s="1"/>
  <c r="I278" i="12" s="1"/>
  <c r="J278" i="12" s="1"/>
  <c r="E240" i="39"/>
  <c r="G240" i="39" s="1"/>
  <c r="H240" i="39" s="1"/>
  <c r="I240" i="39" s="1"/>
  <c r="J240" i="39" s="1"/>
  <c r="I241" i="25" s="1"/>
  <c r="E83" i="12"/>
  <c r="G83" i="12" s="1"/>
  <c r="H83" i="12" s="1"/>
  <c r="I83" i="12" s="1"/>
  <c r="J83" i="12" s="1"/>
  <c r="E55" i="12"/>
  <c r="G55" i="12" s="1"/>
  <c r="H55" i="12" s="1"/>
  <c r="I55" i="12" s="1"/>
  <c r="J55" i="12" s="1"/>
  <c r="J56" i="25" s="1"/>
  <c r="E101" i="39"/>
  <c r="G101" i="39" s="1"/>
  <c r="H101" i="39" s="1"/>
  <c r="I101" i="39" s="1"/>
  <c r="J101" i="39" s="1"/>
  <c r="I102" i="25" s="1"/>
  <c r="G215" i="25"/>
  <c r="G296" i="25"/>
  <c r="G227" i="25"/>
  <c r="G155" i="25"/>
  <c r="E46" i="12"/>
  <c r="G46" i="12" s="1"/>
  <c r="H46" i="12" s="1"/>
  <c r="I46" i="12" s="1"/>
  <c r="J46" i="12" s="1"/>
  <c r="E154" i="39"/>
  <c r="G154" i="39" s="1"/>
  <c r="H154" i="39" s="1"/>
  <c r="I154" i="39" s="1"/>
  <c r="J154" i="39" s="1"/>
  <c r="I155" i="25" s="1"/>
  <c r="E12" i="39"/>
  <c r="G12" i="39" s="1"/>
  <c r="H12" i="39" s="1"/>
  <c r="I12" i="39" s="1"/>
  <c r="J12" i="39" s="1"/>
  <c r="I13" i="25" s="1"/>
  <c r="E118" i="12"/>
  <c r="G118" i="12" s="1"/>
  <c r="H118" i="12" s="1"/>
  <c r="I118" i="12" s="1"/>
  <c r="J118" i="12" s="1"/>
  <c r="J119" i="25" s="1"/>
  <c r="E62" i="39"/>
  <c r="G62" i="39" s="1"/>
  <c r="H62" i="39" s="1"/>
  <c r="I62" i="39" s="1"/>
  <c r="J62" i="39" s="1"/>
  <c r="I63" i="25" s="1"/>
  <c r="E170" i="12"/>
  <c r="G170" i="12" s="1"/>
  <c r="H170" i="12" s="1"/>
  <c r="I170" i="12" s="1"/>
  <c r="J170" i="12" s="1"/>
  <c r="E98" i="39"/>
  <c r="G98" i="39" s="1"/>
  <c r="H98" i="39" s="1"/>
  <c r="I98" i="39" s="1"/>
  <c r="J98" i="39" s="1"/>
  <c r="I99" i="25" s="1"/>
  <c r="E242" i="39"/>
  <c r="G242" i="39" s="1"/>
  <c r="H242" i="39" s="1"/>
  <c r="I242" i="39" s="1"/>
  <c r="J242" i="39" s="1"/>
  <c r="I243" i="25" s="1"/>
  <c r="E16" i="39"/>
  <c r="G16" i="39" s="1"/>
  <c r="H16" i="39" s="1"/>
  <c r="I16" i="39" s="1"/>
  <c r="J16" i="39" s="1"/>
  <c r="I17" i="25" s="1"/>
  <c r="E288" i="12"/>
  <c r="G288" i="12" s="1"/>
  <c r="H288" i="12" s="1"/>
  <c r="I288" i="12" s="1"/>
  <c r="J288" i="12" s="1"/>
  <c r="J289" i="25" s="1"/>
  <c r="E175" i="12"/>
  <c r="G175" i="12" s="1"/>
  <c r="H175" i="12" s="1"/>
  <c r="I175" i="12" s="1"/>
  <c r="J175" i="12" s="1"/>
  <c r="J176" i="25" s="1"/>
  <c r="E179" i="39"/>
  <c r="G179" i="39" s="1"/>
  <c r="H179" i="39" s="1"/>
  <c r="I179" i="39" s="1"/>
  <c r="J179" i="39" s="1"/>
  <c r="I180" i="25" s="1"/>
  <c r="G223" i="25"/>
  <c r="E74" i="12"/>
  <c r="G74" i="12" s="1"/>
  <c r="H74" i="12" s="1"/>
  <c r="I74" i="12" s="1"/>
  <c r="J74" i="12" s="1"/>
  <c r="J75" i="25" s="1"/>
  <c r="E39" i="39"/>
  <c r="G39" i="39" s="1"/>
  <c r="H39" i="39" s="1"/>
  <c r="I39" i="39" s="1"/>
  <c r="J39" i="39" s="1"/>
  <c r="I40" i="25" s="1"/>
  <c r="E12" i="12"/>
  <c r="G12" i="12" s="1"/>
  <c r="H12" i="12" s="1"/>
  <c r="I12" i="12" s="1"/>
  <c r="J12" i="12" s="1"/>
  <c r="J13" i="25" s="1"/>
  <c r="E90" i="12"/>
  <c r="G90" i="12" s="1"/>
  <c r="H90" i="12" s="1"/>
  <c r="I90" i="12" s="1"/>
  <c r="J90" i="12" s="1"/>
  <c r="J91" i="25" s="1"/>
  <c r="E55" i="39"/>
  <c r="G55" i="39" s="1"/>
  <c r="H55" i="39" s="1"/>
  <c r="I55" i="39" s="1"/>
  <c r="J55" i="39" s="1"/>
  <c r="I56" i="25" s="1"/>
  <c r="E28" i="12"/>
  <c r="G28" i="12" s="1"/>
  <c r="H28" i="12" s="1"/>
  <c r="I28" i="12" s="1"/>
  <c r="J28" i="12" s="1"/>
  <c r="E84" i="39"/>
  <c r="G84" i="39" s="1"/>
  <c r="H84" i="39" s="1"/>
  <c r="I84" i="39" s="1"/>
  <c r="J84" i="39" s="1"/>
  <c r="I85" i="25" s="1"/>
  <c r="E250" i="39"/>
  <c r="G250" i="39" s="1"/>
  <c r="H250" i="39" s="1"/>
  <c r="I250" i="39" s="1"/>
  <c r="J250" i="39" s="1"/>
  <c r="I251" i="25" s="1"/>
  <c r="E310" i="12"/>
  <c r="G310" i="12" s="1"/>
  <c r="H310" i="12" s="1"/>
  <c r="I310" i="12" s="1"/>
  <c r="J310" i="12" s="1"/>
  <c r="E209" i="39"/>
  <c r="G209" i="39" s="1"/>
  <c r="H209" i="39" s="1"/>
  <c r="I209" i="39" s="1"/>
  <c r="J209" i="39" s="1"/>
  <c r="I210" i="25" s="1"/>
  <c r="E177" i="12"/>
  <c r="G177" i="12" s="1"/>
  <c r="H177" i="12" s="1"/>
  <c r="I177" i="12" s="1"/>
  <c r="J177" i="12" s="1"/>
  <c r="G22" i="25"/>
  <c r="E194" i="12"/>
  <c r="G194" i="12" s="1"/>
  <c r="H194" i="12" s="1"/>
  <c r="I194" i="12" s="1"/>
  <c r="J194" i="12" s="1"/>
  <c r="J195" i="25" s="1"/>
  <c r="E156" i="39"/>
  <c r="G156" i="39" s="1"/>
  <c r="H156" i="39" s="1"/>
  <c r="I156" i="39" s="1"/>
  <c r="J156" i="39" s="1"/>
  <c r="I157" i="25" s="1"/>
  <c r="G98" i="25"/>
  <c r="G161" i="25"/>
  <c r="G239" i="25"/>
  <c r="G29" i="25"/>
  <c r="G91" i="25"/>
  <c r="G251" i="25"/>
  <c r="G85" i="25"/>
  <c r="G245" i="25"/>
  <c r="G126" i="25"/>
  <c r="G181" i="25"/>
  <c r="G71" i="25"/>
  <c r="G90" i="25"/>
  <c r="G17" i="25"/>
  <c r="G47" i="25"/>
  <c r="E149" i="12"/>
  <c r="G149" i="12" s="1"/>
  <c r="H149" i="12" s="1"/>
  <c r="I149" i="12" s="1"/>
  <c r="J149" i="12" s="1"/>
  <c r="J150" i="25" s="1"/>
  <c r="E178" i="12"/>
  <c r="G178" i="12" s="1"/>
  <c r="H178" i="12" s="1"/>
  <c r="I178" i="12" s="1"/>
  <c r="J178" i="12" s="1"/>
  <c r="J179" i="25" s="1"/>
  <c r="E113" i="39"/>
  <c r="G113" i="39" s="1"/>
  <c r="H113" i="39" s="1"/>
  <c r="I113" i="39" s="1"/>
  <c r="J113" i="39" s="1"/>
  <c r="I114" i="25" s="1"/>
  <c r="E160" i="12"/>
  <c r="G160" i="12" s="1"/>
  <c r="H160" i="12" s="1"/>
  <c r="I160" i="12" s="1"/>
  <c r="J160" i="12" s="1"/>
  <c r="J161" i="25" s="1"/>
  <c r="E200" i="39"/>
  <c r="G200" i="39" s="1"/>
  <c r="H200" i="39" s="1"/>
  <c r="I200" i="39" s="1"/>
  <c r="J200" i="39" s="1"/>
  <c r="I201" i="25" s="1"/>
  <c r="E38" i="12"/>
  <c r="G38" i="12" s="1"/>
  <c r="H38" i="12" s="1"/>
  <c r="I38" i="12" s="1"/>
  <c r="J38" i="12" s="1"/>
  <c r="G229" i="25"/>
  <c r="G118" i="25"/>
  <c r="G226" i="25"/>
  <c r="E77" i="12"/>
  <c r="G77" i="12" s="1"/>
  <c r="H77" i="12" s="1"/>
  <c r="I77" i="12" s="1"/>
  <c r="J77" i="12" s="1"/>
  <c r="J78" i="25" s="1"/>
  <c r="E180" i="39"/>
  <c r="G180" i="39" s="1"/>
  <c r="H180" i="39" s="1"/>
  <c r="I180" i="39" s="1"/>
  <c r="J180" i="39" s="1"/>
  <c r="I181" i="25" s="1"/>
  <c r="G137" i="25"/>
  <c r="G150" i="25"/>
  <c r="G26" i="25"/>
  <c r="E173" i="39"/>
  <c r="G173" i="39" s="1"/>
  <c r="H173" i="39" s="1"/>
  <c r="I173" i="39" s="1"/>
  <c r="J173" i="39" s="1"/>
  <c r="I174" i="25" s="1"/>
  <c r="E117" i="12"/>
  <c r="G117" i="12" s="1"/>
  <c r="H117" i="12" s="1"/>
  <c r="I117" i="12" s="1"/>
  <c r="J117" i="12" s="1"/>
  <c r="J118" i="25" s="1"/>
  <c r="E94" i="12"/>
  <c r="G94" i="12" s="1"/>
  <c r="H94" i="12" s="1"/>
  <c r="I94" i="12" s="1"/>
  <c r="J94" i="12" s="1"/>
  <c r="E37" i="39"/>
  <c r="G37" i="39" s="1"/>
  <c r="H37" i="39" s="1"/>
  <c r="I37" i="39" s="1"/>
  <c r="J37" i="39" s="1"/>
  <c r="I38" i="25" s="1"/>
  <c r="E171" i="12"/>
  <c r="G171" i="12" s="1"/>
  <c r="H171" i="12" s="1"/>
  <c r="I171" i="12" s="1"/>
  <c r="J171" i="12" s="1"/>
  <c r="G115" i="25"/>
  <c r="G102" i="25"/>
  <c r="G210" i="25"/>
  <c r="G78" i="25"/>
  <c r="E85" i="39"/>
  <c r="G85" i="39" s="1"/>
  <c r="H85" i="39" s="1"/>
  <c r="I85" i="39" s="1"/>
  <c r="J85" i="39" s="1"/>
  <c r="I86" i="25" s="1"/>
  <c r="E228" i="39"/>
  <c r="G228" i="39" s="1"/>
  <c r="H228" i="39" s="1"/>
  <c r="I228" i="39" s="1"/>
  <c r="J228" i="39" s="1"/>
  <c r="I229" i="25" s="1"/>
  <c r="E225" i="39"/>
  <c r="G225" i="39" s="1"/>
  <c r="H225" i="39" s="1"/>
  <c r="I225" i="39" s="1"/>
  <c r="J225" i="39" s="1"/>
  <c r="I226" i="25" s="1"/>
  <c r="E130" i="12"/>
  <c r="G130" i="12" s="1"/>
  <c r="H130" i="12" s="1"/>
  <c r="I130" i="12" s="1"/>
  <c r="J130" i="12" s="1"/>
  <c r="G86" i="25"/>
  <c r="G168" i="25"/>
  <c r="G269" i="25"/>
  <c r="G157" i="25"/>
  <c r="G87" i="25"/>
  <c r="G218" i="25"/>
  <c r="G50" i="25"/>
  <c r="G46" i="25"/>
  <c r="G134" i="25"/>
  <c r="E194" i="39"/>
  <c r="G194" i="39" s="1"/>
  <c r="H194" i="39" s="1"/>
  <c r="I194" i="39" s="1"/>
  <c r="J194" i="39" s="1"/>
  <c r="I195" i="25" s="1"/>
  <c r="E105" i="39"/>
  <c r="G105" i="39" s="1"/>
  <c r="H105" i="39" s="1"/>
  <c r="I105" i="39" s="1"/>
  <c r="J105" i="39" s="1"/>
  <c r="I106" i="25" s="1"/>
  <c r="E136" i="12"/>
  <c r="G136" i="12" s="1"/>
  <c r="H136" i="12" s="1"/>
  <c r="I136" i="12" s="1"/>
  <c r="J136" i="12" s="1"/>
  <c r="E294" i="39"/>
  <c r="G294" i="39" s="1"/>
  <c r="H294" i="39" s="1"/>
  <c r="I294" i="39" s="1"/>
  <c r="J294" i="39" s="1"/>
  <c r="I295" i="25" s="1"/>
  <c r="E133" i="12"/>
  <c r="G133" i="12" s="1"/>
  <c r="H133" i="12" s="1"/>
  <c r="I133" i="12" s="1"/>
  <c r="J133" i="12" s="1"/>
  <c r="J134" i="25" s="1"/>
  <c r="E114" i="12"/>
  <c r="G114" i="12" s="1"/>
  <c r="H114" i="12" s="1"/>
  <c r="I114" i="12" s="1"/>
  <c r="J114" i="12" s="1"/>
  <c r="J115" i="25" s="1"/>
  <c r="E258" i="12"/>
  <c r="G258" i="12" s="1"/>
  <c r="H258" i="12" s="1"/>
  <c r="I258" i="12" s="1"/>
  <c r="J258" i="12" s="1"/>
  <c r="E86" i="39"/>
  <c r="G86" i="39" s="1"/>
  <c r="H86" i="39" s="1"/>
  <c r="I86" i="39" s="1"/>
  <c r="J86" i="39" s="1"/>
  <c r="I87" i="25" s="1"/>
  <c r="E21" i="12"/>
  <c r="G21" i="12" s="1"/>
  <c r="H21" i="12" s="1"/>
  <c r="I21" i="12" s="1"/>
  <c r="J21" i="12" s="1"/>
  <c r="J22" i="25" s="1"/>
  <c r="E49" i="12"/>
  <c r="G49" i="12" s="1"/>
  <c r="H49" i="12" s="1"/>
  <c r="I49" i="12" s="1"/>
  <c r="J49" i="12" s="1"/>
  <c r="J50" i="25" s="1"/>
  <c r="E268" i="12"/>
  <c r="G268" i="12" s="1"/>
  <c r="H268" i="12" s="1"/>
  <c r="I268" i="12" s="1"/>
  <c r="J268" i="12" s="1"/>
  <c r="J269" i="25" s="1"/>
  <c r="E188" i="12"/>
  <c r="G188" i="12" s="1"/>
  <c r="H188" i="12" s="1"/>
  <c r="I188" i="12" s="1"/>
  <c r="J188" i="12" s="1"/>
  <c r="G295" i="25"/>
  <c r="E173" i="12"/>
  <c r="G173" i="12" s="1"/>
  <c r="H173" i="12" s="1"/>
  <c r="I173" i="12" s="1"/>
  <c r="J173" i="12" s="1"/>
  <c r="E45" i="12"/>
  <c r="G45" i="12" s="1"/>
  <c r="H45" i="12" s="1"/>
  <c r="I45" i="12" s="1"/>
  <c r="J45" i="12" s="1"/>
  <c r="E167" i="39"/>
  <c r="G167" i="39" s="1"/>
  <c r="H167" i="39" s="1"/>
  <c r="I167" i="39" s="1"/>
  <c r="J167" i="39" s="1"/>
  <c r="I168" i="25" s="1"/>
  <c r="E217" i="39"/>
  <c r="G217" i="39" s="1"/>
  <c r="H217" i="39" s="1"/>
  <c r="I217" i="39" s="1"/>
  <c r="J217" i="39" s="1"/>
  <c r="I218" i="25" s="1"/>
  <c r="E176" i="39"/>
  <c r="G176" i="39" s="1"/>
  <c r="H176" i="39" s="1"/>
  <c r="I176" i="39" s="1"/>
  <c r="J176" i="39" s="1"/>
  <c r="I177" i="25" s="1"/>
  <c r="E159" i="12"/>
  <c r="G159" i="12" s="1"/>
  <c r="H159" i="12" s="1"/>
  <c r="I159" i="12" s="1"/>
  <c r="J159" i="12" s="1"/>
  <c r="E41" i="39"/>
  <c r="G41" i="39" s="1"/>
  <c r="H41" i="39" s="1"/>
  <c r="I41" i="39" s="1"/>
  <c r="J41" i="39" s="1"/>
  <c r="I42" i="25" s="1"/>
  <c r="E95" i="12"/>
  <c r="G95" i="12" s="1"/>
  <c r="H95" i="12" s="1"/>
  <c r="I95" i="12" s="1"/>
  <c r="J95" i="12" s="1"/>
  <c r="E138" i="12"/>
  <c r="G138" i="12" s="1"/>
  <c r="H138" i="12" s="1"/>
  <c r="I138" i="12" s="1"/>
  <c r="J138" i="12" s="1"/>
  <c r="E138" i="39"/>
  <c r="G138" i="39" s="1"/>
  <c r="H138" i="39" s="1"/>
  <c r="I138" i="39" s="1"/>
  <c r="J138" i="39" s="1"/>
  <c r="I139" i="25" s="1"/>
  <c r="E110" i="39"/>
  <c r="G110" i="39" s="1"/>
  <c r="H110" i="39" s="1"/>
  <c r="I110" i="39" s="1"/>
  <c r="J110" i="39" s="1"/>
  <c r="I111" i="25" s="1"/>
  <c r="G111" i="25"/>
  <c r="E110" i="12"/>
  <c r="G110" i="12" s="1"/>
  <c r="H110" i="12" s="1"/>
  <c r="I110" i="12" s="1"/>
  <c r="J110" i="12" s="1"/>
  <c r="J111" i="25" s="1"/>
  <c r="E190" i="39"/>
  <c r="G190" i="39" s="1"/>
  <c r="H190" i="39" s="1"/>
  <c r="I190" i="39" s="1"/>
  <c r="J190" i="39" s="1"/>
  <c r="I191" i="25" s="1"/>
  <c r="E190" i="12"/>
  <c r="G190" i="12" s="1"/>
  <c r="H190" i="12" s="1"/>
  <c r="I190" i="12" s="1"/>
  <c r="J190" i="12" s="1"/>
  <c r="G191" i="25"/>
  <c r="E166" i="39"/>
  <c r="G166" i="39" s="1"/>
  <c r="H166" i="39" s="1"/>
  <c r="I166" i="39" s="1"/>
  <c r="J166" i="39" s="1"/>
  <c r="I167" i="25" s="1"/>
  <c r="E166" i="12"/>
  <c r="G166" i="12" s="1"/>
  <c r="H166" i="12" s="1"/>
  <c r="I166" i="12" s="1"/>
  <c r="J166" i="12" s="1"/>
  <c r="G167" i="25"/>
  <c r="E27" i="39"/>
  <c r="G27" i="39" s="1"/>
  <c r="H27" i="39" s="1"/>
  <c r="I27" i="39" s="1"/>
  <c r="J27" i="39" s="1"/>
  <c r="I28" i="25" s="1"/>
  <c r="E27" i="12"/>
  <c r="G27" i="12" s="1"/>
  <c r="H27" i="12" s="1"/>
  <c r="I27" i="12" s="1"/>
  <c r="J27" i="12" s="1"/>
  <c r="J28" i="25" s="1"/>
  <c r="G28" i="25"/>
  <c r="E147" i="39"/>
  <c r="G147" i="39" s="1"/>
  <c r="H147" i="39" s="1"/>
  <c r="I147" i="39" s="1"/>
  <c r="J147" i="39" s="1"/>
  <c r="I148" i="25" s="1"/>
  <c r="E147" i="12"/>
  <c r="G147" i="12" s="1"/>
  <c r="H147" i="12" s="1"/>
  <c r="I147" i="12" s="1"/>
  <c r="J147" i="12" s="1"/>
  <c r="G148" i="25"/>
  <c r="E119" i="39"/>
  <c r="G119" i="39" s="1"/>
  <c r="H119" i="39" s="1"/>
  <c r="I119" i="39" s="1"/>
  <c r="J119" i="39" s="1"/>
  <c r="I120" i="25" s="1"/>
  <c r="E119" i="12"/>
  <c r="G119" i="12" s="1"/>
  <c r="H119" i="12" s="1"/>
  <c r="I119" i="12" s="1"/>
  <c r="J119" i="12" s="1"/>
  <c r="J120" i="25" s="1"/>
  <c r="G120" i="25"/>
  <c r="E231" i="39"/>
  <c r="G231" i="39" s="1"/>
  <c r="H231" i="39" s="1"/>
  <c r="I231" i="39" s="1"/>
  <c r="J231" i="39" s="1"/>
  <c r="I232" i="25" s="1"/>
  <c r="E231" i="12"/>
  <c r="G231" i="12" s="1"/>
  <c r="H231" i="12" s="1"/>
  <c r="I231" i="12" s="1"/>
  <c r="J231" i="12" s="1"/>
  <c r="G232" i="25"/>
  <c r="E131" i="39"/>
  <c r="G131" i="39" s="1"/>
  <c r="H131" i="39" s="1"/>
  <c r="I131" i="39" s="1"/>
  <c r="J131" i="39" s="1"/>
  <c r="I132" i="25" s="1"/>
  <c r="E131" i="12"/>
  <c r="G131" i="12" s="1"/>
  <c r="H131" i="12" s="1"/>
  <c r="I131" i="12" s="1"/>
  <c r="J131" i="12" s="1"/>
  <c r="G132" i="25"/>
  <c r="E103" i="39"/>
  <c r="G103" i="39" s="1"/>
  <c r="H103" i="39" s="1"/>
  <c r="I103" i="39" s="1"/>
  <c r="J103" i="39" s="1"/>
  <c r="I104" i="25" s="1"/>
  <c r="G104" i="25"/>
  <c r="E103" i="12"/>
  <c r="G103" i="12" s="1"/>
  <c r="H103" i="12" s="1"/>
  <c r="I103" i="12" s="1"/>
  <c r="J103" i="12" s="1"/>
  <c r="J104" i="25" s="1"/>
  <c r="E281" i="39"/>
  <c r="G281" i="39" s="1"/>
  <c r="H281" i="39" s="1"/>
  <c r="I281" i="39" s="1"/>
  <c r="J281" i="39" s="1"/>
  <c r="I282" i="25" s="1"/>
  <c r="E281" i="12"/>
  <c r="G281" i="12" s="1"/>
  <c r="H281" i="12" s="1"/>
  <c r="I281" i="12" s="1"/>
  <c r="J281" i="12" s="1"/>
  <c r="G282" i="25"/>
  <c r="E82" i="39"/>
  <c r="G82" i="39" s="1"/>
  <c r="H82" i="39" s="1"/>
  <c r="I82" i="39" s="1"/>
  <c r="J82" i="39" s="1"/>
  <c r="I83" i="25" s="1"/>
  <c r="E82" i="12"/>
  <c r="G82" i="12" s="1"/>
  <c r="H82" i="12" s="1"/>
  <c r="I82" i="12" s="1"/>
  <c r="J82" i="12" s="1"/>
  <c r="J83" i="25" s="1"/>
  <c r="G83" i="25"/>
  <c r="E20" i="12"/>
  <c r="G20" i="12" s="1"/>
  <c r="H20" i="12" s="1"/>
  <c r="I20" i="12" s="1"/>
  <c r="J20" i="12" s="1"/>
  <c r="J21" i="25" s="1"/>
  <c r="E20" i="39"/>
  <c r="G20" i="39" s="1"/>
  <c r="H20" i="39" s="1"/>
  <c r="I20" i="39" s="1"/>
  <c r="J20" i="39" s="1"/>
  <c r="I21" i="25" s="1"/>
  <c r="G21" i="25"/>
  <c r="E126" i="39"/>
  <c r="G126" i="39" s="1"/>
  <c r="H126" i="39" s="1"/>
  <c r="I126" i="39" s="1"/>
  <c r="J126" i="39" s="1"/>
  <c r="I127" i="25" s="1"/>
  <c r="E126" i="12"/>
  <c r="G126" i="12" s="1"/>
  <c r="H126" i="12" s="1"/>
  <c r="I126" i="12" s="1"/>
  <c r="J126" i="12" s="1"/>
  <c r="J127" i="25" s="1"/>
  <c r="E206" i="39"/>
  <c r="G206" i="39" s="1"/>
  <c r="H206" i="39" s="1"/>
  <c r="I206" i="39" s="1"/>
  <c r="J206" i="39" s="1"/>
  <c r="I207" i="25" s="1"/>
  <c r="E206" i="12"/>
  <c r="G206" i="12" s="1"/>
  <c r="H206" i="12" s="1"/>
  <c r="I206" i="12" s="1"/>
  <c r="J206" i="12" s="1"/>
  <c r="G207" i="25"/>
  <c r="G139" i="25"/>
  <c r="G127" i="25"/>
  <c r="E23" i="39"/>
  <c r="G23" i="39" s="1"/>
  <c r="H23" i="39" s="1"/>
  <c r="I23" i="39" s="1"/>
  <c r="J23" i="39" s="1"/>
  <c r="I24" i="25" s="1"/>
  <c r="E23" i="12"/>
  <c r="G23" i="12" s="1"/>
  <c r="H23" i="12" s="1"/>
  <c r="I23" i="12" s="1"/>
  <c r="J23" i="12" s="1"/>
  <c r="J24" i="25" s="1"/>
  <c r="E255" i="39"/>
  <c r="G255" i="39" s="1"/>
  <c r="H255" i="39" s="1"/>
  <c r="I255" i="39" s="1"/>
  <c r="J255" i="39" s="1"/>
  <c r="I256" i="25" s="1"/>
  <c r="E255" i="12"/>
  <c r="G255" i="12" s="1"/>
  <c r="H255" i="12" s="1"/>
  <c r="I255" i="12" s="1"/>
  <c r="J255" i="12" s="1"/>
  <c r="J256" i="25" s="1"/>
  <c r="E210" i="39"/>
  <c r="G210" i="39" s="1"/>
  <c r="H210" i="39" s="1"/>
  <c r="I210" i="39" s="1"/>
  <c r="J210" i="39" s="1"/>
  <c r="I211" i="25" s="1"/>
  <c r="E210" i="12"/>
  <c r="G210" i="12" s="1"/>
  <c r="H210" i="12" s="1"/>
  <c r="I210" i="12" s="1"/>
  <c r="J210" i="12" s="1"/>
  <c r="J211" i="25" s="1"/>
  <c r="E163" i="12"/>
  <c r="G163" i="12" s="1"/>
  <c r="H163" i="12" s="1"/>
  <c r="I163" i="12" s="1"/>
  <c r="J163" i="12" s="1"/>
  <c r="J164" i="25" s="1"/>
  <c r="E163" i="39"/>
  <c r="G163" i="39" s="1"/>
  <c r="H163" i="39" s="1"/>
  <c r="I163" i="39" s="1"/>
  <c r="J163" i="39" s="1"/>
  <c r="I164" i="25" s="1"/>
  <c r="E148" i="39"/>
  <c r="G148" i="39" s="1"/>
  <c r="H148" i="39" s="1"/>
  <c r="I148" i="39" s="1"/>
  <c r="J148" i="39" s="1"/>
  <c r="I149" i="25" s="1"/>
  <c r="E148" i="12"/>
  <c r="G148" i="12" s="1"/>
  <c r="H148" i="12" s="1"/>
  <c r="I148" i="12" s="1"/>
  <c r="J148" i="12" s="1"/>
  <c r="J149" i="25" s="1"/>
  <c r="E254" i="39"/>
  <c r="G254" i="39" s="1"/>
  <c r="H254" i="39" s="1"/>
  <c r="I254" i="39" s="1"/>
  <c r="J254" i="39" s="1"/>
  <c r="I255" i="25" s="1"/>
  <c r="E254" i="12"/>
  <c r="G254" i="12" s="1"/>
  <c r="H254" i="12" s="1"/>
  <c r="I254" i="12" s="1"/>
  <c r="J254" i="12" s="1"/>
  <c r="G238" i="25"/>
  <c r="G182" i="25"/>
  <c r="G281" i="25"/>
  <c r="G284" i="25"/>
  <c r="E65" i="12"/>
  <c r="G65" i="12" s="1"/>
  <c r="H65" i="12" s="1"/>
  <c r="I65" i="12" s="1"/>
  <c r="J65" i="12" s="1"/>
  <c r="E139" i="12"/>
  <c r="G139" i="12" s="1"/>
  <c r="H139" i="12" s="1"/>
  <c r="I139" i="12" s="1"/>
  <c r="J139" i="12" s="1"/>
  <c r="E161" i="39"/>
  <c r="G161" i="39" s="1"/>
  <c r="H161" i="39" s="1"/>
  <c r="I161" i="39" s="1"/>
  <c r="J161" i="39" s="1"/>
  <c r="I162" i="25" s="1"/>
  <c r="E283" i="12"/>
  <c r="G283" i="12" s="1"/>
  <c r="H283" i="12" s="1"/>
  <c r="I283" i="12" s="1"/>
  <c r="J283" i="12" s="1"/>
  <c r="E63" i="12"/>
  <c r="G63" i="12" s="1"/>
  <c r="H63" i="12" s="1"/>
  <c r="I63" i="12" s="1"/>
  <c r="J63" i="12" s="1"/>
  <c r="E102" i="39"/>
  <c r="G102" i="39" s="1"/>
  <c r="H102" i="39" s="1"/>
  <c r="I102" i="39" s="1"/>
  <c r="J102" i="39" s="1"/>
  <c r="I103" i="25" s="1"/>
  <c r="E304" i="12"/>
  <c r="G304" i="12" s="1"/>
  <c r="H304" i="12" s="1"/>
  <c r="I304" i="12" s="1"/>
  <c r="J304" i="12" s="1"/>
  <c r="E100" i="12"/>
  <c r="G100" i="12" s="1"/>
  <c r="H100" i="12" s="1"/>
  <c r="I100" i="12" s="1"/>
  <c r="J100" i="12" s="1"/>
  <c r="E35" i="12"/>
  <c r="G35" i="12" s="1"/>
  <c r="H35" i="12" s="1"/>
  <c r="I35" i="12" s="1"/>
  <c r="J35" i="12" s="1"/>
  <c r="J36" i="25" s="1"/>
  <c r="E35" i="39"/>
  <c r="G35" i="39" s="1"/>
  <c r="H35" i="39" s="1"/>
  <c r="I35" i="39" s="1"/>
  <c r="J35" i="39" s="1"/>
  <c r="I36" i="25" s="1"/>
  <c r="E8" i="12"/>
  <c r="G8" i="12" s="1"/>
  <c r="H8" i="12" s="1"/>
  <c r="I8" i="12" s="1"/>
  <c r="J8" i="12" s="1"/>
  <c r="J9" i="25" s="1"/>
  <c r="E8" i="39"/>
  <c r="G8" i="39" s="1"/>
  <c r="H8" i="39" s="1"/>
  <c r="I8" i="39" s="1"/>
  <c r="J8" i="39" s="1"/>
  <c r="I9" i="25" s="1"/>
  <c r="E211" i="39"/>
  <c r="G211" i="39" s="1"/>
  <c r="H211" i="39" s="1"/>
  <c r="I211" i="39" s="1"/>
  <c r="J211" i="39" s="1"/>
  <c r="I212" i="25" s="1"/>
  <c r="E211" i="12"/>
  <c r="G211" i="12" s="1"/>
  <c r="H211" i="12" s="1"/>
  <c r="I211" i="12" s="1"/>
  <c r="J211" i="12" s="1"/>
  <c r="E198" i="39"/>
  <c r="G198" i="39" s="1"/>
  <c r="H198" i="39" s="1"/>
  <c r="I198" i="39" s="1"/>
  <c r="J198" i="39" s="1"/>
  <c r="I199" i="25" s="1"/>
  <c r="E198" i="12"/>
  <c r="G198" i="12" s="1"/>
  <c r="H198" i="12" s="1"/>
  <c r="I198" i="12" s="1"/>
  <c r="J198" i="12" s="1"/>
  <c r="E58" i="39"/>
  <c r="G58" i="39" s="1"/>
  <c r="H58" i="39" s="1"/>
  <c r="I58" i="39" s="1"/>
  <c r="J58" i="39" s="1"/>
  <c r="I59" i="25" s="1"/>
  <c r="E58" i="12"/>
  <c r="G58" i="12" s="1"/>
  <c r="H58" i="12" s="1"/>
  <c r="I58" i="12" s="1"/>
  <c r="J58" i="12" s="1"/>
  <c r="J59" i="25" s="1"/>
  <c r="E24" i="12"/>
  <c r="G24" i="12" s="1"/>
  <c r="H24" i="12" s="1"/>
  <c r="I24" i="12" s="1"/>
  <c r="J24" i="12" s="1"/>
  <c r="J25" i="25" s="1"/>
  <c r="E24" i="39"/>
  <c r="G24" i="39" s="1"/>
  <c r="H24" i="39" s="1"/>
  <c r="I24" i="39" s="1"/>
  <c r="J24" i="39" s="1"/>
  <c r="I25" i="25" s="1"/>
  <c r="E257" i="39"/>
  <c r="G257" i="39" s="1"/>
  <c r="H257" i="39" s="1"/>
  <c r="I257" i="39" s="1"/>
  <c r="J257" i="39" s="1"/>
  <c r="I258" i="25" s="1"/>
  <c r="E257" i="12"/>
  <c r="G257" i="12" s="1"/>
  <c r="H257" i="12" s="1"/>
  <c r="I257" i="12" s="1"/>
  <c r="J257" i="12" s="1"/>
  <c r="J258" i="25" s="1"/>
  <c r="E34" i="39"/>
  <c r="G34" i="39" s="1"/>
  <c r="H34" i="39" s="1"/>
  <c r="I34" i="39" s="1"/>
  <c r="J34" i="39" s="1"/>
  <c r="I35" i="25" s="1"/>
  <c r="E34" i="12"/>
  <c r="G34" i="12" s="1"/>
  <c r="H34" i="12" s="1"/>
  <c r="I34" i="12" s="1"/>
  <c r="J34" i="12" s="1"/>
  <c r="E54" i="39"/>
  <c r="G54" i="39" s="1"/>
  <c r="H54" i="39" s="1"/>
  <c r="I54" i="39" s="1"/>
  <c r="J54" i="39" s="1"/>
  <c r="I55" i="25" s="1"/>
  <c r="E54" i="12"/>
  <c r="G54" i="12" s="1"/>
  <c r="H54" i="12" s="1"/>
  <c r="I54" i="12" s="1"/>
  <c r="J54" i="12" s="1"/>
  <c r="E59" i="12"/>
  <c r="G59" i="12" s="1"/>
  <c r="H59" i="12" s="1"/>
  <c r="I59" i="12" s="1"/>
  <c r="J59" i="12" s="1"/>
  <c r="J60" i="25" s="1"/>
  <c r="E59" i="39"/>
  <c r="G59" i="39" s="1"/>
  <c r="H59" i="39" s="1"/>
  <c r="I59" i="39" s="1"/>
  <c r="J59" i="39" s="1"/>
  <c r="I60" i="25" s="1"/>
  <c r="E256" i="39"/>
  <c r="G256" i="39" s="1"/>
  <c r="H256" i="39" s="1"/>
  <c r="I256" i="39" s="1"/>
  <c r="J256" i="39" s="1"/>
  <c r="I257" i="25" s="1"/>
  <c r="E256" i="12"/>
  <c r="G256" i="12" s="1"/>
  <c r="H256" i="12" s="1"/>
  <c r="I256" i="12" s="1"/>
  <c r="J256" i="12" s="1"/>
  <c r="E292" i="39"/>
  <c r="G292" i="39" s="1"/>
  <c r="H292" i="39" s="1"/>
  <c r="I292" i="39" s="1"/>
  <c r="J292" i="39" s="1"/>
  <c r="I293" i="25" s="1"/>
  <c r="E292" i="12"/>
  <c r="G292" i="12" s="1"/>
  <c r="H292" i="12" s="1"/>
  <c r="I292" i="12" s="1"/>
  <c r="J292" i="12" s="1"/>
  <c r="J293" i="25" s="1"/>
  <c r="E142" i="12"/>
  <c r="G142" i="12" s="1"/>
  <c r="H142" i="12" s="1"/>
  <c r="I142" i="12" s="1"/>
  <c r="J142" i="12" s="1"/>
  <c r="E142" i="39"/>
  <c r="G142" i="39" s="1"/>
  <c r="H142" i="39" s="1"/>
  <c r="I142" i="39" s="1"/>
  <c r="J142" i="39" s="1"/>
  <c r="I143" i="25" s="1"/>
  <c r="E124" i="39"/>
  <c r="G124" i="39" s="1"/>
  <c r="H124" i="39" s="1"/>
  <c r="I124" i="39" s="1"/>
  <c r="J124" i="39" s="1"/>
  <c r="I125" i="25" s="1"/>
  <c r="E124" i="12"/>
  <c r="G124" i="12" s="1"/>
  <c r="H124" i="12" s="1"/>
  <c r="I124" i="12" s="1"/>
  <c r="J124" i="12" s="1"/>
  <c r="J125" i="25" s="1"/>
  <c r="E127" i="39"/>
  <c r="G127" i="39" s="1"/>
  <c r="H127" i="39" s="1"/>
  <c r="I127" i="39" s="1"/>
  <c r="J127" i="39" s="1"/>
  <c r="I128" i="25" s="1"/>
  <c r="E127" i="12"/>
  <c r="G127" i="12" s="1"/>
  <c r="H127" i="12" s="1"/>
  <c r="I127" i="12" s="1"/>
  <c r="J127" i="12" s="1"/>
  <c r="E162" i="12"/>
  <c r="G162" i="12" s="1"/>
  <c r="H162" i="12" s="1"/>
  <c r="I162" i="12" s="1"/>
  <c r="J162" i="12" s="1"/>
  <c r="E162" i="39"/>
  <c r="G162" i="39" s="1"/>
  <c r="H162" i="39" s="1"/>
  <c r="I162" i="39" s="1"/>
  <c r="J162" i="39" s="1"/>
  <c r="I163" i="25" s="1"/>
  <c r="E201" i="12"/>
  <c r="G201" i="12" s="1"/>
  <c r="H201" i="12" s="1"/>
  <c r="I201" i="12" s="1"/>
  <c r="J201" i="12" s="1"/>
  <c r="E201" i="39"/>
  <c r="G201" i="39" s="1"/>
  <c r="H201" i="39" s="1"/>
  <c r="I201" i="39" s="1"/>
  <c r="J201" i="39" s="1"/>
  <c r="I202" i="25" s="1"/>
  <c r="E132" i="12"/>
  <c r="G132" i="12" s="1"/>
  <c r="H132" i="12" s="1"/>
  <c r="I132" i="12" s="1"/>
  <c r="J132" i="12" s="1"/>
  <c r="J133" i="25" s="1"/>
  <c r="E132" i="39"/>
  <c r="G132" i="39" s="1"/>
  <c r="H132" i="39" s="1"/>
  <c r="I132" i="39" s="1"/>
  <c r="J132" i="39" s="1"/>
  <c r="I133" i="25" s="1"/>
  <c r="E207" i="39"/>
  <c r="G207" i="39" s="1"/>
  <c r="H207" i="39" s="1"/>
  <c r="I207" i="39" s="1"/>
  <c r="J207" i="39" s="1"/>
  <c r="I208" i="25" s="1"/>
  <c r="E207" i="12"/>
  <c r="G207" i="12" s="1"/>
  <c r="H207" i="12" s="1"/>
  <c r="I207" i="12" s="1"/>
  <c r="J207" i="12" s="1"/>
  <c r="E26" i="39"/>
  <c r="G26" i="39" s="1"/>
  <c r="H26" i="39" s="1"/>
  <c r="I26" i="39" s="1"/>
  <c r="J26" i="39" s="1"/>
  <c r="I27" i="25" s="1"/>
  <c r="E26" i="12"/>
  <c r="G26" i="12" s="1"/>
  <c r="H26" i="12" s="1"/>
  <c r="I26" i="12" s="1"/>
  <c r="J26" i="12" s="1"/>
  <c r="J27" i="25" s="1"/>
  <c r="E169" i="12"/>
  <c r="G169" i="12" s="1"/>
  <c r="H169" i="12" s="1"/>
  <c r="I169" i="12" s="1"/>
  <c r="J169" i="12" s="1"/>
  <c r="E169" i="39"/>
  <c r="G169" i="39" s="1"/>
  <c r="H169" i="39" s="1"/>
  <c r="I169" i="39" s="1"/>
  <c r="J169" i="39" s="1"/>
  <c r="I170" i="25" s="1"/>
  <c r="E243" i="39"/>
  <c r="G243" i="39" s="1"/>
  <c r="H243" i="39" s="1"/>
  <c r="I243" i="39" s="1"/>
  <c r="J243" i="39" s="1"/>
  <c r="I244" i="25" s="1"/>
  <c r="E243" i="12"/>
  <c r="G243" i="12" s="1"/>
  <c r="H243" i="12" s="1"/>
  <c r="I243" i="12" s="1"/>
  <c r="J243" i="12" s="1"/>
  <c r="E6" i="39"/>
  <c r="G6" i="39" s="1"/>
  <c r="H6" i="39" s="1"/>
  <c r="I6" i="39" s="1"/>
  <c r="J6" i="39" s="1"/>
  <c r="I7" i="25" s="1"/>
  <c r="E6" i="12"/>
  <c r="G6" i="12" s="1"/>
  <c r="H6" i="12" s="1"/>
  <c r="I6" i="12" s="1"/>
  <c r="J6" i="12" s="1"/>
  <c r="J7" i="25" s="1"/>
  <c r="G9" i="25"/>
  <c r="G38" i="25"/>
  <c r="G101" i="25"/>
  <c r="G162" i="25"/>
  <c r="G160" i="25"/>
  <c r="G236" i="25"/>
  <c r="G42" i="25"/>
  <c r="G53" i="25"/>
  <c r="G194" i="25"/>
  <c r="G208" i="25"/>
  <c r="G55" i="25"/>
  <c r="G259" i="25"/>
  <c r="E312" i="12"/>
  <c r="G312" i="12" s="1"/>
  <c r="H312" i="12" s="1"/>
  <c r="I312" i="12" s="1"/>
  <c r="J312" i="12" s="1"/>
  <c r="E40" i="12"/>
  <c r="G40" i="12" s="1"/>
  <c r="H40" i="12" s="1"/>
  <c r="I40" i="12" s="1"/>
  <c r="J40" i="12" s="1"/>
  <c r="E181" i="12"/>
  <c r="G181" i="12" s="1"/>
  <c r="H181" i="12" s="1"/>
  <c r="I181" i="12" s="1"/>
  <c r="J181" i="12" s="1"/>
  <c r="J182" i="25" s="1"/>
  <c r="E63" i="39"/>
  <c r="G63" i="39" s="1"/>
  <c r="H63" i="39" s="1"/>
  <c r="I63" i="39" s="1"/>
  <c r="J63" i="39" s="1"/>
  <c r="I64" i="25" s="1"/>
  <c r="E171" i="39"/>
  <c r="G171" i="39" s="1"/>
  <c r="H171" i="39" s="1"/>
  <c r="I171" i="39" s="1"/>
  <c r="J171" i="39" s="1"/>
  <c r="I172" i="25" s="1"/>
  <c r="E280" i="39"/>
  <c r="G280" i="39" s="1"/>
  <c r="H280" i="39" s="1"/>
  <c r="I280" i="39" s="1"/>
  <c r="J280" i="39" s="1"/>
  <c r="I281" i="25" s="1"/>
  <c r="E286" i="12"/>
  <c r="G286" i="12" s="1"/>
  <c r="H286" i="12" s="1"/>
  <c r="I286" i="12" s="1"/>
  <c r="J286" i="12" s="1"/>
  <c r="E102" i="12"/>
  <c r="G102" i="12" s="1"/>
  <c r="H102" i="12" s="1"/>
  <c r="I102" i="12" s="1"/>
  <c r="J102" i="12" s="1"/>
  <c r="E95" i="39"/>
  <c r="G95" i="39" s="1"/>
  <c r="H95" i="39" s="1"/>
  <c r="I95" i="39" s="1"/>
  <c r="J95" i="39" s="1"/>
  <c r="I96" i="25" s="1"/>
  <c r="E25" i="39"/>
  <c r="G25" i="39" s="1"/>
  <c r="H25" i="39" s="1"/>
  <c r="I25" i="39" s="1"/>
  <c r="J25" i="39" s="1"/>
  <c r="I26" i="25" s="1"/>
  <c r="E182" i="39"/>
  <c r="G182" i="39" s="1"/>
  <c r="H182" i="39" s="1"/>
  <c r="I182" i="39" s="1"/>
  <c r="J182" i="39" s="1"/>
  <c r="I183" i="25" s="1"/>
  <c r="E182" i="12"/>
  <c r="G182" i="12" s="1"/>
  <c r="H182" i="12" s="1"/>
  <c r="I182" i="12" s="1"/>
  <c r="J182" i="12" s="1"/>
  <c r="E143" i="39"/>
  <c r="G143" i="39" s="1"/>
  <c r="H143" i="39" s="1"/>
  <c r="I143" i="39" s="1"/>
  <c r="J143" i="39" s="1"/>
  <c r="I144" i="25" s="1"/>
  <c r="E143" i="12"/>
  <c r="G143" i="12" s="1"/>
  <c r="H143" i="12" s="1"/>
  <c r="I143" i="12" s="1"/>
  <c r="J143" i="12" s="1"/>
  <c r="J144" i="25" s="1"/>
  <c r="E199" i="12"/>
  <c r="G199" i="12" s="1"/>
  <c r="H199" i="12" s="1"/>
  <c r="I199" i="12" s="1"/>
  <c r="J199" i="12" s="1"/>
  <c r="E199" i="39"/>
  <c r="G199" i="39" s="1"/>
  <c r="H199" i="39" s="1"/>
  <c r="I199" i="39" s="1"/>
  <c r="J199" i="39" s="1"/>
  <c r="I200" i="25" s="1"/>
  <c r="E249" i="12"/>
  <c r="G249" i="12" s="1"/>
  <c r="H249" i="12" s="1"/>
  <c r="I249" i="12" s="1"/>
  <c r="J249" i="12" s="1"/>
  <c r="E249" i="39"/>
  <c r="G249" i="39" s="1"/>
  <c r="H249" i="39" s="1"/>
  <c r="I249" i="39" s="1"/>
  <c r="J249" i="39" s="1"/>
  <c r="I250" i="25" s="1"/>
  <c r="E120" i="39"/>
  <c r="G120" i="39" s="1"/>
  <c r="H120" i="39" s="1"/>
  <c r="I120" i="39" s="1"/>
  <c r="J120" i="39" s="1"/>
  <c r="I121" i="25" s="1"/>
  <c r="E120" i="12"/>
  <c r="G120" i="12" s="1"/>
  <c r="H120" i="12" s="1"/>
  <c r="I120" i="12" s="1"/>
  <c r="J120" i="12" s="1"/>
  <c r="J121" i="25" s="1"/>
  <c r="E287" i="39"/>
  <c r="G287" i="39" s="1"/>
  <c r="H287" i="39" s="1"/>
  <c r="I287" i="39" s="1"/>
  <c r="J287" i="39" s="1"/>
  <c r="I288" i="25" s="1"/>
  <c r="E287" i="12"/>
  <c r="G287" i="12" s="1"/>
  <c r="H287" i="12" s="1"/>
  <c r="I287" i="12" s="1"/>
  <c r="J287" i="12" s="1"/>
  <c r="E266" i="12"/>
  <c r="G266" i="12" s="1"/>
  <c r="H266" i="12" s="1"/>
  <c r="I266" i="12" s="1"/>
  <c r="J266" i="12" s="1"/>
  <c r="E266" i="39"/>
  <c r="G266" i="39" s="1"/>
  <c r="H266" i="39" s="1"/>
  <c r="I266" i="39" s="1"/>
  <c r="J266" i="39" s="1"/>
  <c r="I267" i="25" s="1"/>
  <c r="E7" i="39"/>
  <c r="G7" i="39" s="1"/>
  <c r="H7" i="39" s="1"/>
  <c r="I7" i="39" s="1"/>
  <c r="J7" i="39" s="1"/>
  <c r="I8" i="25" s="1"/>
  <c r="E7" i="12"/>
  <c r="G7" i="12" s="1"/>
  <c r="H7" i="12" s="1"/>
  <c r="I7" i="12" s="1"/>
  <c r="J7" i="12" s="1"/>
  <c r="J8" i="25" s="1"/>
  <c r="E141" i="39"/>
  <c r="G141" i="39" s="1"/>
  <c r="H141" i="39" s="1"/>
  <c r="I141" i="39" s="1"/>
  <c r="J141" i="39" s="1"/>
  <c r="I142" i="25" s="1"/>
  <c r="E141" i="12"/>
  <c r="G141" i="12" s="1"/>
  <c r="H141" i="12" s="1"/>
  <c r="I141" i="12" s="1"/>
  <c r="J141" i="12" s="1"/>
  <c r="J142" i="25" s="1"/>
  <c r="E309" i="39"/>
  <c r="G309" i="39" s="1"/>
  <c r="H309" i="39" s="1"/>
  <c r="I309" i="39" s="1"/>
  <c r="J309" i="39" s="1"/>
  <c r="I310" i="25" s="1"/>
  <c r="E309" i="12"/>
  <c r="G309" i="12" s="1"/>
  <c r="H309" i="12" s="1"/>
  <c r="I309" i="12" s="1"/>
  <c r="J309" i="12" s="1"/>
  <c r="J310" i="25" s="1"/>
  <c r="E276" i="39"/>
  <c r="G276" i="39" s="1"/>
  <c r="H276" i="39" s="1"/>
  <c r="I276" i="39" s="1"/>
  <c r="J276" i="39" s="1"/>
  <c r="I277" i="25" s="1"/>
  <c r="E276" i="12"/>
  <c r="G276" i="12" s="1"/>
  <c r="H276" i="12" s="1"/>
  <c r="I276" i="12" s="1"/>
  <c r="J276" i="12" s="1"/>
  <c r="J277" i="25" s="1"/>
  <c r="E134" i="39"/>
  <c r="G134" i="39" s="1"/>
  <c r="H134" i="39" s="1"/>
  <c r="I134" i="39" s="1"/>
  <c r="J134" i="39" s="1"/>
  <c r="I135" i="25" s="1"/>
  <c r="E134" i="12"/>
  <c r="G134" i="12" s="1"/>
  <c r="H134" i="12" s="1"/>
  <c r="I134" i="12" s="1"/>
  <c r="J134" i="12" s="1"/>
  <c r="J135" i="25" s="1"/>
  <c r="E128" i="39"/>
  <c r="G128" i="39" s="1"/>
  <c r="H128" i="39" s="1"/>
  <c r="I128" i="39" s="1"/>
  <c r="J128" i="39" s="1"/>
  <c r="I129" i="25" s="1"/>
  <c r="E128" i="12"/>
  <c r="G128" i="12" s="1"/>
  <c r="H128" i="12" s="1"/>
  <c r="I128" i="12" s="1"/>
  <c r="J128" i="12" s="1"/>
  <c r="J129" i="25" s="1"/>
  <c r="E216" i="39"/>
  <c r="G216" i="39" s="1"/>
  <c r="H216" i="39" s="1"/>
  <c r="I216" i="39" s="1"/>
  <c r="J216" i="39" s="1"/>
  <c r="I217" i="25" s="1"/>
  <c r="E216" i="12"/>
  <c r="G216" i="12" s="1"/>
  <c r="H216" i="12" s="1"/>
  <c r="I216" i="12" s="1"/>
  <c r="J216" i="12" s="1"/>
  <c r="E204" i="39"/>
  <c r="G204" i="39" s="1"/>
  <c r="H204" i="39" s="1"/>
  <c r="I204" i="39" s="1"/>
  <c r="J204" i="39" s="1"/>
  <c r="I205" i="25" s="1"/>
  <c r="E204" i="12"/>
  <c r="G204" i="12" s="1"/>
  <c r="H204" i="12" s="1"/>
  <c r="I204" i="12" s="1"/>
  <c r="J204" i="12" s="1"/>
  <c r="J205" i="25" s="1"/>
  <c r="E13" i="39"/>
  <c r="G13" i="39" s="1"/>
  <c r="H13" i="39" s="1"/>
  <c r="I13" i="39" s="1"/>
  <c r="J13" i="39" s="1"/>
  <c r="I14" i="25" s="1"/>
  <c r="E13" i="12"/>
  <c r="G13" i="12" s="1"/>
  <c r="H13" i="12" s="1"/>
  <c r="I13" i="12" s="1"/>
  <c r="J13" i="12" s="1"/>
  <c r="E18" i="39"/>
  <c r="G18" i="39" s="1"/>
  <c r="H18" i="39" s="1"/>
  <c r="I18" i="39" s="1"/>
  <c r="J18" i="39" s="1"/>
  <c r="I19" i="25" s="1"/>
  <c r="E18" i="12"/>
  <c r="G18" i="12" s="1"/>
  <c r="H18" i="12" s="1"/>
  <c r="I18" i="12" s="1"/>
  <c r="J18" i="12" s="1"/>
  <c r="E267" i="39"/>
  <c r="G267" i="39" s="1"/>
  <c r="H267" i="39" s="1"/>
  <c r="I267" i="39" s="1"/>
  <c r="J267" i="39" s="1"/>
  <c r="I268" i="25" s="1"/>
  <c r="E267" i="12"/>
  <c r="G267" i="12" s="1"/>
  <c r="H267" i="12" s="1"/>
  <c r="I267" i="12" s="1"/>
  <c r="J267" i="12" s="1"/>
  <c r="E273" i="39"/>
  <c r="G273" i="39" s="1"/>
  <c r="H273" i="39" s="1"/>
  <c r="I273" i="39" s="1"/>
  <c r="J273" i="39" s="1"/>
  <c r="I274" i="25" s="1"/>
  <c r="E273" i="12"/>
  <c r="G273" i="12" s="1"/>
  <c r="H273" i="12" s="1"/>
  <c r="I273" i="12" s="1"/>
  <c r="J273" i="12" s="1"/>
  <c r="E308" i="39"/>
  <c r="G308" i="39" s="1"/>
  <c r="H308" i="39" s="1"/>
  <c r="I308" i="39" s="1"/>
  <c r="J308" i="39" s="1"/>
  <c r="I309" i="25" s="1"/>
  <c r="E308" i="12"/>
  <c r="G308" i="12" s="1"/>
  <c r="H308" i="12" s="1"/>
  <c r="I308" i="12" s="1"/>
  <c r="J308" i="12" s="1"/>
  <c r="E17" i="39"/>
  <c r="G17" i="39" s="1"/>
  <c r="H17" i="39" s="1"/>
  <c r="I17" i="39" s="1"/>
  <c r="J17" i="39" s="1"/>
  <c r="I18" i="25" s="1"/>
  <c r="E17" i="12"/>
  <c r="G17" i="12" s="1"/>
  <c r="H17" i="12" s="1"/>
  <c r="I17" i="12" s="1"/>
  <c r="J17" i="12" s="1"/>
  <c r="J18" i="25" s="1"/>
  <c r="E252" i="39"/>
  <c r="G252" i="39" s="1"/>
  <c r="H252" i="39" s="1"/>
  <c r="I252" i="39" s="1"/>
  <c r="J252" i="39" s="1"/>
  <c r="I253" i="25" s="1"/>
  <c r="E252" i="12"/>
  <c r="G252" i="12" s="1"/>
  <c r="H252" i="12" s="1"/>
  <c r="I252" i="12" s="1"/>
  <c r="J252" i="12" s="1"/>
  <c r="J253" i="25" s="1"/>
  <c r="E293" i="12"/>
  <c r="G293" i="12" s="1"/>
  <c r="H293" i="12" s="1"/>
  <c r="I293" i="12" s="1"/>
  <c r="J293" i="12" s="1"/>
  <c r="J294" i="25" s="1"/>
  <c r="E293" i="39"/>
  <c r="G293" i="39" s="1"/>
  <c r="H293" i="39" s="1"/>
  <c r="I293" i="39" s="1"/>
  <c r="J293" i="39" s="1"/>
  <c r="I294" i="25" s="1"/>
  <c r="E76" i="39"/>
  <c r="G76" i="39" s="1"/>
  <c r="H76" i="39" s="1"/>
  <c r="I76" i="39" s="1"/>
  <c r="J76" i="39" s="1"/>
  <c r="I77" i="25" s="1"/>
  <c r="E76" i="12"/>
  <c r="G76" i="12" s="1"/>
  <c r="H76" i="12" s="1"/>
  <c r="I76" i="12" s="1"/>
  <c r="J76" i="12" s="1"/>
  <c r="E168" i="39"/>
  <c r="G168" i="39" s="1"/>
  <c r="H168" i="39" s="1"/>
  <c r="I168" i="39" s="1"/>
  <c r="J168" i="39" s="1"/>
  <c r="I169" i="25" s="1"/>
  <c r="E168" i="12"/>
  <c r="G168" i="12" s="1"/>
  <c r="H168" i="12" s="1"/>
  <c r="I168" i="12" s="1"/>
  <c r="J168" i="12" s="1"/>
  <c r="E68" i="39"/>
  <c r="G68" i="39" s="1"/>
  <c r="H68" i="39" s="1"/>
  <c r="I68" i="39" s="1"/>
  <c r="J68" i="39" s="1"/>
  <c r="I69" i="25" s="1"/>
  <c r="E68" i="12"/>
  <c r="G68" i="12" s="1"/>
  <c r="H68" i="12" s="1"/>
  <c r="I68" i="12" s="1"/>
  <c r="J68" i="12" s="1"/>
  <c r="G217" i="25"/>
  <c r="G287" i="25"/>
  <c r="G183" i="25"/>
  <c r="G268" i="25"/>
  <c r="G309" i="25"/>
  <c r="G305" i="25"/>
  <c r="G246" i="25"/>
  <c r="E42" i="39"/>
  <c r="G42" i="39" s="1"/>
  <c r="H42" i="39" s="1"/>
  <c r="I42" i="39" s="1"/>
  <c r="J42" i="39" s="1"/>
  <c r="I43" i="25" s="1"/>
  <c r="E42" i="12"/>
  <c r="G42" i="12" s="1"/>
  <c r="H42" i="12" s="1"/>
  <c r="I42" i="12" s="1"/>
  <c r="J42" i="12" s="1"/>
  <c r="E15" i="39"/>
  <c r="G15" i="39" s="1"/>
  <c r="H15" i="39" s="1"/>
  <c r="I15" i="39" s="1"/>
  <c r="J15" i="39" s="1"/>
  <c r="I16" i="25" s="1"/>
  <c r="E15" i="12"/>
  <c r="G15" i="12" s="1"/>
  <c r="H15" i="12" s="1"/>
  <c r="I15" i="12" s="1"/>
  <c r="J15" i="12" s="1"/>
  <c r="J16" i="25" s="1"/>
  <c r="E135" i="39"/>
  <c r="G135" i="39" s="1"/>
  <c r="H135" i="39" s="1"/>
  <c r="I135" i="39" s="1"/>
  <c r="J135" i="39" s="1"/>
  <c r="I136" i="25" s="1"/>
  <c r="E135" i="12"/>
  <c r="G135" i="12" s="1"/>
  <c r="H135" i="12" s="1"/>
  <c r="I135" i="12" s="1"/>
  <c r="J135" i="12" s="1"/>
  <c r="J136" i="25" s="1"/>
  <c r="E247" i="39"/>
  <c r="G247" i="39" s="1"/>
  <c r="H247" i="39" s="1"/>
  <c r="I247" i="39" s="1"/>
  <c r="J247" i="39" s="1"/>
  <c r="I248" i="25" s="1"/>
  <c r="E247" i="12"/>
  <c r="G247" i="12" s="1"/>
  <c r="H247" i="12" s="1"/>
  <c r="I247" i="12" s="1"/>
  <c r="J247" i="12" s="1"/>
  <c r="E51" i="12"/>
  <c r="G51" i="12" s="1"/>
  <c r="H51" i="12" s="1"/>
  <c r="I51" i="12" s="1"/>
  <c r="J51" i="12" s="1"/>
  <c r="J52" i="25" s="1"/>
  <c r="E51" i="39"/>
  <c r="G51" i="39" s="1"/>
  <c r="H51" i="39" s="1"/>
  <c r="I51" i="39" s="1"/>
  <c r="J51" i="39" s="1"/>
  <c r="I52" i="25" s="1"/>
  <c r="E146" i="12"/>
  <c r="G146" i="12" s="1"/>
  <c r="H146" i="12" s="1"/>
  <c r="I146" i="12" s="1"/>
  <c r="J146" i="12" s="1"/>
  <c r="E146" i="39"/>
  <c r="G146" i="39" s="1"/>
  <c r="H146" i="39" s="1"/>
  <c r="I146" i="39" s="1"/>
  <c r="J146" i="39" s="1"/>
  <c r="I147" i="25" s="1"/>
  <c r="E263" i="39"/>
  <c r="G263" i="39" s="1"/>
  <c r="H263" i="39" s="1"/>
  <c r="I263" i="39" s="1"/>
  <c r="J263" i="39" s="1"/>
  <c r="I264" i="25" s="1"/>
  <c r="E263" i="12"/>
  <c r="G263" i="12" s="1"/>
  <c r="H263" i="12" s="1"/>
  <c r="I263" i="12" s="1"/>
  <c r="J263" i="12" s="1"/>
  <c r="E66" i="39"/>
  <c r="G66" i="39" s="1"/>
  <c r="H66" i="39" s="1"/>
  <c r="I66" i="39" s="1"/>
  <c r="J66" i="39" s="1"/>
  <c r="I67" i="25" s="1"/>
  <c r="E66" i="12"/>
  <c r="G66" i="12" s="1"/>
  <c r="H66" i="12" s="1"/>
  <c r="I66" i="12" s="1"/>
  <c r="J66" i="12" s="1"/>
  <c r="J67" i="25" s="1"/>
  <c r="E219" i="39"/>
  <c r="G219" i="39" s="1"/>
  <c r="H219" i="39" s="1"/>
  <c r="I219" i="39" s="1"/>
  <c r="J219" i="39" s="1"/>
  <c r="I220" i="25" s="1"/>
  <c r="E219" i="12"/>
  <c r="G219" i="12" s="1"/>
  <c r="H219" i="12" s="1"/>
  <c r="I219" i="12" s="1"/>
  <c r="J219" i="12" s="1"/>
  <c r="E305" i="12"/>
  <c r="G305" i="12" s="1"/>
  <c r="H305" i="12" s="1"/>
  <c r="I305" i="12" s="1"/>
  <c r="J305" i="12" s="1"/>
  <c r="E305" i="39"/>
  <c r="G305" i="39" s="1"/>
  <c r="H305" i="39" s="1"/>
  <c r="I305" i="39" s="1"/>
  <c r="J305" i="39" s="1"/>
  <c r="I306" i="25" s="1"/>
  <c r="E195" i="12"/>
  <c r="G195" i="12" s="1"/>
  <c r="H195" i="12" s="1"/>
  <c r="I195" i="12" s="1"/>
  <c r="J195" i="12" s="1"/>
  <c r="E195" i="39"/>
  <c r="G195" i="39" s="1"/>
  <c r="H195" i="39" s="1"/>
  <c r="I195" i="39" s="1"/>
  <c r="J195" i="39" s="1"/>
  <c r="I196" i="25" s="1"/>
  <c r="E30" i="39"/>
  <c r="G30" i="39" s="1"/>
  <c r="H30" i="39" s="1"/>
  <c r="I30" i="39" s="1"/>
  <c r="J30" i="39" s="1"/>
  <c r="I31" i="25" s="1"/>
  <c r="E30" i="12"/>
  <c r="G30" i="12" s="1"/>
  <c r="H30" i="12" s="1"/>
  <c r="I30" i="12" s="1"/>
  <c r="J30" i="12" s="1"/>
  <c r="J31" i="25" s="1"/>
  <c r="E298" i="12"/>
  <c r="G298" i="12" s="1"/>
  <c r="H298" i="12" s="1"/>
  <c r="I298" i="12" s="1"/>
  <c r="J298" i="12" s="1"/>
  <c r="J299" i="25" s="1"/>
  <c r="E298" i="39"/>
  <c r="G298" i="39" s="1"/>
  <c r="H298" i="39" s="1"/>
  <c r="I298" i="39" s="1"/>
  <c r="J298" i="39" s="1"/>
  <c r="I299" i="25" s="1"/>
  <c r="E236" i="12"/>
  <c r="G236" i="12" s="1"/>
  <c r="H236" i="12" s="1"/>
  <c r="I236" i="12" s="1"/>
  <c r="J236" i="12" s="1"/>
  <c r="J237" i="25" s="1"/>
  <c r="E236" i="39"/>
  <c r="G236" i="39" s="1"/>
  <c r="H236" i="39" s="1"/>
  <c r="I236" i="39" s="1"/>
  <c r="J236" i="39" s="1"/>
  <c r="I237" i="25" s="1"/>
  <c r="E232" i="39"/>
  <c r="G232" i="39" s="1"/>
  <c r="H232" i="39" s="1"/>
  <c r="I232" i="39" s="1"/>
  <c r="J232" i="39" s="1"/>
  <c r="I233" i="25" s="1"/>
  <c r="E232" i="12"/>
  <c r="G232" i="12" s="1"/>
  <c r="H232" i="12" s="1"/>
  <c r="I232" i="12" s="1"/>
  <c r="J232" i="12" s="1"/>
  <c r="E14" i="39"/>
  <c r="G14" i="39" s="1"/>
  <c r="H14" i="39" s="1"/>
  <c r="I14" i="39" s="1"/>
  <c r="J14" i="39" s="1"/>
  <c r="I15" i="25" s="1"/>
  <c r="E14" i="12"/>
  <c r="G14" i="12" s="1"/>
  <c r="H14" i="12" s="1"/>
  <c r="I14" i="12" s="1"/>
  <c r="J14" i="12" s="1"/>
  <c r="E60" i="39"/>
  <c r="G60" i="39" s="1"/>
  <c r="H60" i="39" s="1"/>
  <c r="I60" i="39" s="1"/>
  <c r="J60" i="39" s="1"/>
  <c r="I61" i="25" s="1"/>
  <c r="E60" i="12"/>
  <c r="G60" i="12" s="1"/>
  <c r="H60" i="12" s="1"/>
  <c r="I60" i="12" s="1"/>
  <c r="J60" i="12" s="1"/>
  <c r="J61" i="25" s="1"/>
  <c r="E196" i="39"/>
  <c r="G196" i="39" s="1"/>
  <c r="H196" i="39" s="1"/>
  <c r="I196" i="39" s="1"/>
  <c r="J196" i="39" s="1"/>
  <c r="I197" i="25" s="1"/>
  <c r="E196" i="12"/>
  <c r="G196" i="12" s="1"/>
  <c r="H196" i="12" s="1"/>
  <c r="I196" i="12" s="1"/>
  <c r="J196" i="12" s="1"/>
  <c r="G133" i="25"/>
  <c r="G52" i="25"/>
  <c r="G199" i="25"/>
  <c r="G112" i="25"/>
  <c r="G27" i="25"/>
  <c r="G263" i="25"/>
  <c r="G24" i="25"/>
  <c r="G250" i="25"/>
  <c r="G267" i="25"/>
  <c r="G106" i="25"/>
  <c r="G255" i="25"/>
  <c r="G200" i="25"/>
  <c r="G147" i="25"/>
  <c r="G178" i="25"/>
  <c r="G131" i="25"/>
  <c r="G189" i="25"/>
  <c r="G258" i="25"/>
  <c r="G233" i="25"/>
  <c r="G135" i="25"/>
  <c r="G248" i="25"/>
  <c r="G257" i="25"/>
  <c r="G202" i="25"/>
  <c r="G177" i="25"/>
  <c r="G7" i="25"/>
  <c r="G274" i="25"/>
  <c r="G313" i="25"/>
  <c r="G149" i="25"/>
  <c r="E52" i="12"/>
  <c r="G52" i="12" s="1"/>
  <c r="H52" i="12" s="1"/>
  <c r="I52" i="12" s="1"/>
  <c r="J52" i="12" s="1"/>
  <c r="I11" i="12"/>
  <c r="J11" i="12" s="1"/>
  <c r="J12" i="25" s="1"/>
  <c r="I291" i="12"/>
  <c r="J291" i="12" s="1"/>
  <c r="I85" i="12"/>
  <c r="J85" i="12" s="1"/>
  <c r="I153" i="12"/>
  <c r="J153" i="12" s="1"/>
  <c r="J154" i="25" s="1"/>
  <c r="I129" i="12"/>
  <c r="J129" i="12" s="1"/>
  <c r="I167" i="12"/>
  <c r="J167" i="12" s="1"/>
  <c r="J168" i="25" s="1"/>
  <c r="I225" i="12"/>
  <c r="J225" i="12" s="1"/>
  <c r="J226" i="25" s="1"/>
  <c r="I73" i="12"/>
  <c r="J73" i="12" s="1"/>
  <c r="J74" i="25" s="1"/>
  <c r="I270" i="12"/>
  <c r="J270" i="12" s="1"/>
  <c r="J271" i="25" s="1"/>
  <c r="I251" i="12"/>
  <c r="J251" i="12" s="1"/>
  <c r="J252" i="25" s="1"/>
  <c r="I32" i="12"/>
  <c r="J32" i="12" s="1"/>
  <c r="I264" i="12"/>
  <c r="J264" i="12" s="1"/>
  <c r="I209" i="12"/>
  <c r="J209" i="12" s="1"/>
  <c r="J210" i="25" s="1"/>
  <c r="I61" i="12"/>
  <c r="J61" i="12" s="1"/>
  <c r="I72" i="12"/>
  <c r="J72" i="12" s="1"/>
  <c r="J73" i="25" s="1"/>
  <c r="I212" i="12"/>
  <c r="J212" i="12" s="1"/>
  <c r="I242" i="12"/>
  <c r="J242" i="12" s="1"/>
  <c r="J243" i="25" s="1"/>
  <c r="I300" i="12"/>
  <c r="J300" i="12" s="1"/>
  <c r="I86" i="12"/>
  <c r="J86" i="12" s="1"/>
  <c r="I289" i="12"/>
  <c r="J289" i="12" s="1"/>
  <c r="I88" i="12"/>
  <c r="J88" i="12" s="1"/>
  <c r="J89" i="25" s="1"/>
  <c r="I151" i="12"/>
  <c r="J151" i="12" s="1"/>
  <c r="J152" i="25" s="1"/>
  <c r="I302" i="12"/>
  <c r="J302" i="12" s="1"/>
  <c r="I282" i="12"/>
  <c r="J282" i="12" s="1"/>
  <c r="I217" i="12"/>
  <c r="J217" i="12" s="1"/>
  <c r="I91" i="12"/>
  <c r="J91" i="12" s="1"/>
  <c r="I230" i="12"/>
  <c r="J230" i="12" s="1"/>
  <c r="I106" i="12"/>
  <c r="J106" i="12" s="1"/>
  <c r="I311" i="12"/>
  <c r="J311" i="12" s="1"/>
  <c r="I185" i="12"/>
  <c r="J185" i="12" s="1"/>
  <c r="J186" i="25" s="1"/>
  <c r="I299" i="12"/>
  <c r="J299" i="12" s="1"/>
  <c r="I250" i="12"/>
  <c r="J250" i="12" s="1"/>
  <c r="J251" i="25" s="1"/>
  <c r="I301" i="12"/>
  <c r="J301" i="12" s="1"/>
  <c r="J302" i="25" s="1"/>
  <c r="I193" i="12"/>
  <c r="J193" i="12" s="1"/>
  <c r="I150" i="12"/>
  <c r="J150" i="12" s="1"/>
  <c r="I164" i="12"/>
  <c r="J164" i="12" s="1"/>
  <c r="I48" i="12"/>
  <c r="J48" i="12" s="1"/>
  <c r="J49" i="25" s="1"/>
  <c r="I192" i="12"/>
  <c r="J192" i="12" s="1"/>
  <c r="I75" i="12"/>
  <c r="J75" i="12" s="1"/>
  <c r="J76" i="25" s="1"/>
  <c r="I213" i="12"/>
  <c r="J213" i="12" s="1"/>
  <c r="I253" i="12"/>
  <c r="J253" i="12" s="1"/>
  <c r="J254" i="25" s="1"/>
  <c r="I239" i="12"/>
  <c r="J239" i="12" s="1"/>
  <c r="J240" i="25" s="1"/>
  <c r="I112" i="12"/>
  <c r="J112" i="12" s="1"/>
  <c r="J113" i="25" s="1"/>
  <c r="I180" i="12"/>
  <c r="J180" i="12" s="1"/>
  <c r="I56" i="12"/>
  <c r="J56" i="12" s="1"/>
  <c r="I144" i="12"/>
  <c r="J144" i="12" s="1"/>
  <c r="J145" i="25" s="1"/>
  <c r="I223" i="12"/>
  <c r="J223" i="12" s="1"/>
  <c r="I25" i="12"/>
  <c r="J25" i="12" s="1"/>
  <c r="I41" i="12"/>
  <c r="J41" i="12" s="1"/>
  <c r="I214" i="12"/>
  <c r="J214" i="12" s="1"/>
  <c r="I125" i="12"/>
  <c r="J125" i="12" s="1"/>
  <c r="I228" i="12"/>
  <c r="J228" i="12" s="1"/>
  <c r="J229" i="25" s="1"/>
  <c r="I47" i="12"/>
  <c r="J47" i="12" s="1"/>
  <c r="I306" i="12"/>
  <c r="J306" i="12" s="1"/>
  <c r="I16" i="12"/>
  <c r="J16" i="12" s="1"/>
  <c r="J17" i="25" s="1"/>
  <c r="I226" i="12"/>
  <c r="J226" i="12" s="1"/>
  <c r="J227" i="25" s="1"/>
  <c r="I31" i="12"/>
  <c r="J31" i="12" s="1"/>
  <c r="J32" i="25" s="1"/>
  <c r="I240" i="12"/>
  <c r="J240" i="12" s="1"/>
  <c r="I259" i="12"/>
  <c r="J259" i="12" s="1"/>
  <c r="I19" i="12"/>
  <c r="J19" i="12" s="1"/>
  <c r="J20" i="25" s="1"/>
  <c r="I156" i="12"/>
  <c r="J156" i="12" s="1"/>
  <c r="I22" i="12"/>
  <c r="J22" i="12" s="1"/>
  <c r="I62" i="12"/>
  <c r="J62" i="12" s="1"/>
  <c r="I218" i="12"/>
  <c r="J218" i="12" s="1"/>
  <c r="J219" i="25" s="1"/>
  <c r="I176" i="12"/>
  <c r="J176" i="12" s="1"/>
  <c r="I105" i="12"/>
  <c r="J105" i="12" s="1"/>
  <c r="J106" i="25" s="1"/>
  <c r="I237" i="12"/>
  <c r="J237" i="12" s="1"/>
  <c r="J238" i="25" s="1"/>
  <c r="I245" i="12"/>
  <c r="J245" i="12" s="1"/>
  <c r="I70" i="12"/>
  <c r="J70" i="12" s="1"/>
  <c r="I241" i="12"/>
  <c r="J241" i="12" s="1"/>
  <c r="J242" i="25" s="1"/>
  <c r="I53" i="12"/>
  <c r="J53" i="12" s="1"/>
  <c r="I92" i="12"/>
  <c r="J92" i="12" s="1"/>
  <c r="I294" i="12"/>
  <c r="J294" i="12" s="1"/>
  <c r="J295" i="25" s="1"/>
  <c r="I260" i="12"/>
  <c r="J260" i="12" s="1"/>
  <c r="I280" i="12"/>
  <c r="J280" i="12" s="1"/>
  <c r="I235" i="12"/>
  <c r="J235" i="12" s="1"/>
  <c r="J236" i="25" s="1"/>
  <c r="I116" i="12"/>
  <c r="J116" i="12" s="1"/>
  <c r="I165" i="12"/>
  <c r="J165" i="12" s="1"/>
  <c r="J166" i="25" s="1"/>
  <c r="I107" i="12"/>
  <c r="J107" i="12" s="1"/>
  <c r="I79" i="12"/>
  <c r="J79" i="12" s="1"/>
  <c r="J80" i="25" s="1"/>
  <c r="I246" i="12"/>
  <c r="J246" i="12" s="1"/>
  <c r="I284" i="12"/>
  <c r="J284" i="12" s="1"/>
  <c r="I296" i="12"/>
  <c r="J296" i="12" s="1"/>
  <c r="I123" i="12"/>
  <c r="J123" i="12" s="1"/>
  <c r="I44" i="12"/>
  <c r="J44" i="12" s="1"/>
  <c r="I69" i="12"/>
  <c r="J69" i="12" s="1"/>
  <c r="I197" i="12"/>
  <c r="J197" i="12" s="1"/>
  <c r="J198" i="25" s="1"/>
  <c r="I189" i="12"/>
  <c r="J189" i="12" s="1"/>
  <c r="I307" i="12"/>
  <c r="J307" i="12" s="1"/>
  <c r="I297" i="12"/>
  <c r="J297" i="12" s="1"/>
  <c r="I233" i="12"/>
  <c r="J233" i="12" s="1"/>
  <c r="J234" i="25" s="1"/>
  <c r="I277" i="12"/>
  <c r="J277" i="12" s="1"/>
  <c r="J278" i="25" s="1"/>
  <c r="I161" i="12"/>
  <c r="J161" i="12" s="1"/>
  <c r="J162" i="25" s="1"/>
  <c r="I303" i="12"/>
  <c r="J303" i="12" s="1"/>
  <c r="J304" i="25" s="1"/>
  <c r="I234" i="12"/>
  <c r="J234" i="12" s="1"/>
  <c r="J235" i="25" s="1"/>
  <c r="I99" i="12"/>
  <c r="J99" i="12" s="1"/>
  <c r="I109" i="12"/>
  <c r="J109" i="12" s="1"/>
  <c r="I113" i="12"/>
  <c r="J113" i="12" s="1"/>
  <c r="J114" i="25" s="1"/>
  <c r="I200" i="12"/>
  <c r="J200" i="12" s="1"/>
  <c r="I57" i="12"/>
  <c r="J57" i="12" s="1"/>
  <c r="I285" i="12"/>
  <c r="J285" i="12" s="1"/>
  <c r="I208" i="12"/>
  <c r="J208" i="12" s="1"/>
  <c r="I248" i="12"/>
  <c r="J248" i="12" s="1"/>
  <c r="I101" i="12"/>
  <c r="J101" i="12" s="1"/>
  <c r="I89" i="12"/>
  <c r="J89" i="12" s="1"/>
  <c r="I229" i="12"/>
  <c r="J229" i="12" s="1"/>
  <c r="J230" i="25" s="1"/>
  <c r="I80" i="12"/>
  <c r="J80" i="12" s="1"/>
  <c r="I220" i="12"/>
  <c r="J220" i="12" s="1"/>
  <c r="J221" i="25" s="1"/>
  <c r="I145" i="12"/>
  <c r="J145" i="12" s="1"/>
  <c r="I275" i="12"/>
  <c r="J275" i="12" s="1"/>
  <c r="I10" i="12"/>
  <c r="J10" i="12" s="1"/>
  <c r="J11" i="25" s="1"/>
  <c r="I183" i="12"/>
  <c r="J183" i="12" s="1"/>
  <c r="J184" i="25" s="1"/>
  <c r="I64" i="12"/>
  <c r="J64" i="12" s="1"/>
  <c r="I50" i="12"/>
  <c r="J50" i="12" s="1"/>
  <c r="J51" i="25" s="1"/>
  <c r="I271" i="12"/>
  <c r="J271" i="12" s="1"/>
  <c r="I179" i="12"/>
  <c r="J179" i="12" s="1"/>
  <c r="I84" i="12"/>
  <c r="J84" i="12" s="1"/>
  <c r="I262" i="12"/>
  <c r="J262" i="12" s="1"/>
  <c r="J263" i="25" s="1"/>
  <c r="I37" i="12"/>
  <c r="J37" i="12" s="1"/>
  <c r="I93" i="12"/>
  <c r="J93" i="12" s="1"/>
  <c r="I154" i="12"/>
  <c r="J154" i="12" s="1"/>
  <c r="I261" i="12"/>
  <c r="J261" i="12" s="1"/>
  <c r="I152" i="12"/>
  <c r="J152" i="12" s="1"/>
  <c r="J153" i="25" s="1"/>
  <c r="I290" i="12"/>
  <c r="J290" i="12" s="1"/>
  <c r="I224" i="12"/>
  <c r="J224" i="12" s="1"/>
  <c r="I140" i="12"/>
  <c r="J140" i="12" s="1"/>
  <c r="I190" i="25"/>
  <c r="I161" i="25"/>
  <c r="I146" i="25"/>
  <c r="I22" i="25"/>
  <c r="I254" i="25"/>
  <c r="I160" i="25"/>
  <c r="I203" i="25"/>
  <c r="I230" i="25"/>
  <c r="I179" i="25"/>
  <c r="I88" i="25"/>
  <c r="I187" i="25"/>
  <c r="I283" i="25"/>
  <c r="I110" i="25"/>
  <c r="I29" i="25"/>
  <c r="I32" i="25"/>
  <c r="I145" i="25"/>
  <c r="I269" i="25"/>
  <c r="I91" i="25"/>
  <c r="I39" i="25"/>
  <c r="I204" i="25"/>
  <c r="I175" i="25"/>
  <c r="I119" i="25"/>
  <c r="I118" i="25"/>
  <c r="I34" i="25"/>
  <c r="I89" i="25"/>
  <c r="I285" i="25"/>
  <c r="I140" i="25"/>
  <c r="I53" i="25"/>
  <c r="I97" i="25"/>
  <c r="I123" i="25"/>
  <c r="I260" i="25"/>
  <c r="I58" i="25"/>
  <c r="I66" i="25"/>
  <c r="I194" i="25"/>
  <c r="I57" i="25"/>
  <c r="I297" i="25"/>
  <c r="I270" i="25"/>
  <c r="I221" i="25"/>
  <c r="I75" i="25"/>
  <c r="I171" i="25"/>
  <c r="I41" i="25"/>
  <c r="I138" i="25"/>
  <c r="I266" i="25"/>
  <c r="I113" i="25"/>
  <c r="I278" i="25"/>
  <c r="I291" i="25"/>
  <c r="I76" i="25"/>
  <c r="I272" i="25"/>
  <c r="I23" i="25"/>
  <c r="I154" i="25"/>
  <c r="I82" i="25"/>
  <c r="I249" i="25"/>
  <c r="I198" i="25"/>
  <c r="I259" i="25"/>
  <c r="I47" i="25"/>
  <c r="I273" i="25"/>
  <c r="I70" i="25"/>
  <c r="I122" i="25"/>
  <c r="I262" i="25"/>
  <c r="I101" i="25"/>
  <c r="I150" i="25"/>
  <c r="I115" i="25"/>
  <c r="I109" i="25"/>
  <c r="I311" i="25"/>
  <c r="I153" i="25"/>
  <c r="I216" i="25"/>
  <c r="I225" i="25"/>
  <c r="I11" i="25"/>
  <c r="I73" i="25"/>
  <c r="I292" i="25"/>
  <c r="I98" i="25"/>
  <c r="I117" i="25"/>
  <c r="I303" i="25"/>
  <c r="I112" i="25"/>
  <c r="I137" i="25"/>
  <c r="I238" i="25"/>
  <c r="I280" i="25"/>
  <c r="I95" i="25"/>
  <c r="I242" i="25"/>
  <c r="I206" i="25"/>
  <c r="I263" i="25"/>
  <c r="I239" i="25"/>
  <c r="I45" i="25"/>
  <c r="I275" i="25"/>
  <c r="I296" i="25"/>
  <c r="I81" i="25"/>
  <c r="I286" i="25"/>
  <c r="I214" i="25"/>
  <c r="I182" i="25"/>
  <c r="I84" i="25"/>
  <c r="I156" i="25"/>
  <c r="I178" i="25"/>
  <c r="I152" i="25"/>
  <c r="I93" i="25"/>
  <c r="I165" i="25"/>
  <c r="I131" i="25"/>
  <c r="I79" i="25"/>
  <c r="I12" i="25"/>
  <c r="I189" i="25"/>
  <c r="I307" i="25"/>
  <c r="I46" i="25"/>
  <c r="I37" i="25"/>
  <c r="I105" i="25"/>
  <c r="I134" i="25"/>
  <c r="I94" i="25"/>
  <c r="I245" i="25"/>
  <c r="I192" i="25"/>
  <c r="I74" i="25"/>
  <c r="I305" i="25"/>
  <c r="I78" i="25"/>
  <c r="I302" i="25"/>
  <c r="I223" i="25"/>
  <c r="I188" i="25"/>
  <c r="I72" i="25"/>
  <c r="I49" i="25"/>
  <c r="I159" i="25"/>
  <c r="I246" i="25"/>
  <c r="I185" i="25"/>
  <c r="I158" i="25"/>
  <c r="I116" i="25"/>
  <c r="I44" i="25"/>
  <c r="I308" i="25"/>
  <c r="I33" i="25"/>
  <c r="I173" i="25"/>
  <c r="I289" i="25"/>
  <c r="I261" i="25"/>
  <c r="I287" i="25"/>
  <c r="I271" i="25"/>
  <c r="I209" i="25"/>
  <c r="I50" i="25"/>
  <c r="I284" i="25"/>
  <c r="I10" i="25"/>
  <c r="I176" i="25"/>
  <c r="I313" i="25"/>
  <c r="I252" i="25"/>
  <c r="E5" i="12"/>
  <c r="G5" i="12" s="1"/>
  <c r="H5" i="12" s="1"/>
  <c r="I5" i="12" s="1"/>
  <c r="E5" i="39"/>
  <c r="G5" i="39" s="1"/>
  <c r="G6" i="25"/>
  <c r="I324" i="34" l="1"/>
  <c r="E313" i="39" s="1"/>
  <c r="G313" i="39" s="1"/>
  <c r="H313" i="39" s="1"/>
  <c r="K217" i="12"/>
  <c r="K254" i="12"/>
  <c r="K167" i="12"/>
  <c r="K124" i="12"/>
  <c r="K151" i="12"/>
  <c r="K171" i="12"/>
  <c r="K164" i="12"/>
  <c r="K264" i="12"/>
  <c r="K118" i="12"/>
  <c r="K101" i="12"/>
  <c r="K181" i="12"/>
  <c r="K69" i="12"/>
  <c r="K126" i="12"/>
  <c r="K119" i="12"/>
  <c r="K170" i="12"/>
  <c r="K225" i="12"/>
  <c r="K153" i="12"/>
  <c r="K83" i="12"/>
  <c r="K305" i="12"/>
  <c r="G314" i="25"/>
  <c r="K117" i="12"/>
  <c r="K251" i="12"/>
  <c r="K65" i="12"/>
  <c r="K311" i="12"/>
  <c r="K86" i="12"/>
  <c r="K63" i="12"/>
  <c r="K29" i="12"/>
  <c r="K39" i="12"/>
  <c r="K23" i="12"/>
  <c r="K54" i="12"/>
  <c r="K301" i="12"/>
  <c r="K209" i="12"/>
  <c r="K198" i="12"/>
  <c r="K253" i="12"/>
  <c r="K108" i="12"/>
  <c r="K272" i="12"/>
  <c r="K85" i="12"/>
  <c r="K103" i="12"/>
  <c r="K309" i="12"/>
  <c r="K157" i="12"/>
  <c r="K92" i="12"/>
  <c r="K105" i="12"/>
  <c r="K214" i="12"/>
  <c r="K278" i="12"/>
  <c r="K7" i="12"/>
  <c r="K134" i="12"/>
  <c r="K284" i="12"/>
  <c r="K166" i="12"/>
  <c r="K226" i="12"/>
  <c r="K125" i="12"/>
  <c r="K149" i="12"/>
  <c r="K163" i="12"/>
  <c r="K28" i="12"/>
  <c r="K216" i="12"/>
  <c r="K60" i="12"/>
  <c r="K31" i="12"/>
  <c r="K238" i="12"/>
  <c r="K257" i="12"/>
  <c r="K273" i="12"/>
  <c r="K76" i="12"/>
  <c r="K190" i="12"/>
  <c r="K68" i="12"/>
  <c r="K97" i="12"/>
  <c r="K74" i="12"/>
  <c r="K158" i="12"/>
  <c r="K52" i="12"/>
  <c r="K289" i="12"/>
  <c r="K224" i="12"/>
  <c r="K178" i="12"/>
  <c r="K255" i="12"/>
  <c r="K104" i="12"/>
  <c r="K110" i="12"/>
  <c r="K250" i="12"/>
  <c r="K6" i="12"/>
  <c r="K47" i="12"/>
  <c r="K239" i="12"/>
  <c r="K256" i="12"/>
  <c r="K66" i="12"/>
  <c r="K82" i="12"/>
  <c r="K189" i="12"/>
  <c r="K265" i="12"/>
  <c r="K155" i="12"/>
  <c r="K302" i="12"/>
  <c r="K227" i="12"/>
  <c r="K72" i="12"/>
  <c r="K73" i="12"/>
  <c r="K146" i="12"/>
  <c r="K293" i="12"/>
  <c r="K154" i="12"/>
  <c r="K262" i="12"/>
  <c r="K271" i="12"/>
  <c r="K17" i="12"/>
  <c r="K263" i="12"/>
  <c r="K221" i="12"/>
  <c r="K247" i="12"/>
  <c r="K207" i="12"/>
  <c r="K145" i="12"/>
  <c r="K229" i="12"/>
  <c r="K219" i="12"/>
  <c r="K196" i="12"/>
  <c r="K67" i="12"/>
  <c r="K200" i="12"/>
  <c r="K286" i="12"/>
  <c r="K303" i="12"/>
  <c r="K161" i="12"/>
  <c r="K111" i="12"/>
  <c r="K197" i="12"/>
  <c r="K203" i="12"/>
  <c r="K296" i="12"/>
  <c r="K96" i="12"/>
  <c r="K187" i="12"/>
  <c r="K116" i="12"/>
  <c r="K186" i="12"/>
  <c r="K98" i="12"/>
  <c r="K176" i="12"/>
  <c r="K22" i="12"/>
  <c r="K19" i="12"/>
  <c r="K249" i="12"/>
  <c r="K43" i="12"/>
  <c r="K35" i="12"/>
  <c r="K173" i="12"/>
  <c r="K223" i="12"/>
  <c r="K243" i="12"/>
  <c r="K18" i="12"/>
  <c r="K141" i="12"/>
  <c r="K112" i="12"/>
  <c r="K127" i="12"/>
  <c r="K33" i="12"/>
  <c r="K231" i="12"/>
  <c r="K213" i="12"/>
  <c r="K48" i="12"/>
  <c r="K279" i="12"/>
  <c r="K102" i="12"/>
  <c r="K193" i="12"/>
  <c r="K185" i="12"/>
  <c r="K230" i="12"/>
  <c r="K55" i="12"/>
  <c r="K177" i="12"/>
  <c r="K268" i="12"/>
  <c r="K172" i="12"/>
  <c r="K159" i="12"/>
  <c r="K122" i="12"/>
  <c r="K212" i="12"/>
  <c r="K283" i="12"/>
  <c r="K32" i="12"/>
  <c r="K129" i="12"/>
  <c r="K281" i="12"/>
  <c r="K140" i="12"/>
  <c r="K201" i="12"/>
  <c r="K290" i="12"/>
  <c r="K152" i="12"/>
  <c r="K81" i="12"/>
  <c r="K210" i="12"/>
  <c r="K120" i="12"/>
  <c r="K50" i="12"/>
  <c r="K135" i="12"/>
  <c r="K26" i="12"/>
  <c r="K220" i="12"/>
  <c r="K13" i="12"/>
  <c r="K89" i="12"/>
  <c r="K208" i="12"/>
  <c r="K113" i="12"/>
  <c r="K109" i="12"/>
  <c r="K295" i="12"/>
  <c r="K277" i="12"/>
  <c r="K121" i="12"/>
  <c r="K44" i="12"/>
  <c r="K95" i="12"/>
  <c r="K202" i="12"/>
  <c r="K21" i="12"/>
  <c r="K79" i="12"/>
  <c r="K71" i="12"/>
  <c r="K53" i="12"/>
  <c r="K245" i="12"/>
  <c r="K218" i="12"/>
  <c r="K156" i="12"/>
  <c r="K259" i="12"/>
  <c r="K59" i="12"/>
  <c r="K199" i="12"/>
  <c r="K169" i="12"/>
  <c r="K142" i="12"/>
  <c r="K228" i="12"/>
  <c r="K128" i="12"/>
  <c r="K9" i="12"/>
  <c r="K205" i="12"/>
  <c r="K308" i="12"/>
  <c r="K46" i="12"/>
  <c r="K130" i="12"/>
  <c r="K91" i="12"/>
  <c r="K300" i="12"/>
  <c r="K291" i="12"/>
  <c r="K162" i="12"/>
  <c r="K20" i="12"/>
  <c r="K236" i="12"/>
  <c r="K93" i="12"/>
  <c r="K84" i="12"/>
  <c r="K38" i="12"/>
  <c r="K204" i="12"/>
  <c r="K58" i="12"/>
  <c r="K64" i="12"/>
  <c r="K15" i="12"/>
  <c r="K10" i="12"/>
  <c r="K182" i="12"/>
  <c r="K80" i="12"/>
  <c r="K30" i="12"/>
  <c r="K285" i="12"/>
  <c r="K115" i="12"/>
  <c r="K99" i="12"/>
  <c r="K222" i="12"/>
  <c r="K233" i="12"/>
  <c r="K307" i="12"/>
  <c r="K274" i="12"/>
  <c r="K148" i="12"/>
  <c r="K123" i="12"/>
  <c r="K87" i="12"/>
  <c r="K246" i="12"/>
  <c r="K107" i="12"/>
  <c r="K235" i="12"/>
  <c r="K260" i="12"/>
  <c r="K241" i="12"/>
  <c r="K237" i="12"/>
  <c r="K62" i="12"/>
  <c r="K137" i="12"/>
  <c r="K215" i="12"/>
  <c r="K240" i="12"/>
  <c r="K24" i="12"/>
  <c r="K306" i="12"/>
  <c r="K41" i="12"/>
  <c r="K310" i="12"/>
  <c r="K56" i="12"/>
  <c r="K180" i="12"/>
  <c r="K211" i="12"/>
  <c r="K34" i="12"/>
  <c r="K14" i="12"/>
  <c r="K147" i="12"/>
  <c r="K75" i="12"/>
  <c r="K252" i="12"/>
  <c r="K258" i="12"/>
  <c r="K136" i="12"/>
  <c r="K282" i="12"/>
  <c r="K100" i="12"/>
  <c r="K175" i="12"/>
  <c r="K174" i="12"/>
  <c r="K88" i="12"/>
  <c r="K114" i="12"/>
  <c r="K242" i="12"/>
  <c r="K61" i="12"/>
  <c r="K270" i="12"/>
  <c r="K191" i="12"/>
  <c r="K45" i="12"/>
  <c r="K40" i="12"/>
  <c r="K131" i="12"/>
  <c r="K244" i="12"/>
  <c r="K298" i="12"/>
  <c r="K195" i="12"/>
  <c r="K261" i="12"/>
  <c r="K37" i="12"/>
  <c r="K179" i="12"/>
  <c r="K168" i="12"/>
  <c r="K143" i="12"/>
  <c r="K42" i="12"/>
  <c r="K183" i="12"/>
  <c r="K275" i="12"/>
  <c r="K206" i="12"/>
  <c r="K287" i="12"/>
  <c r="K77" i="12"/>
  <c r="K248" i="12"/>
  <c r="K57" i="12"/>
  <c r="K269" i="12"/>
  <c r="K234" i="12"/>
  <c r="K90" i="12"/>
  <c r="K297" i="12"/>
  <c r="K138" i="12"/>
  <c r="K304" i="12"/>
  <c r="K160" i="12"/>
  <c r="K288" i="12"/>
  <c r="K165" i="12"/>
  <c r="K280" i="12"/>
  <c r="K294" i="12"/>
  <c r="K70" i="12"/>
  <c r="K184" i="12"/>
  <c r="K139" i="12"/>
  <c r="K51" i="12"/>
  <c r="K16" i="12"/>
  <c r="K8" i="12"/>
  <c r="K132" i="12"/>
  <c r="K25" i="12"/>
  <c r="K144" i="12"/>
  <c r="K232" i="12"/>
  <c r="K267" i="12"/>
  <c r="K276" i="12"/>
  <c r="K36" i="12"/>
  <c r="K27" i="12"/>
  <c r="K292" i="12"/>
  <c r="K192" i="12"/>
  <c r="K194" i="12"/>
  <c r="K266" i="12"/>
  <c r="K150" i="12"/>
  <c r="K299" i="12"/>
  <c r="K106" i="12"/>
  <c r="K188" i="12"/>
  <c r="K12" i="12"/>
  <c r="K49" i="12"/>
  <c r="K94" i="12"/>
  <c r="K133" i="12"/>
  <c r="K78" i="12"/>
  <c r="K312" i="12"/>
  <c r="K11" i="12"/>
  <c r="J262" i="25"/>
  <c r="J202" i="25"/>
  <c r="J233" i="25"/>
  <c r="J196" i="25"/>
  <c r="J41" i="25"/>
  <c r="J79" i="25"/>
  <c r="J44" i="25"/>
  <c r="E37" i="48"/>
  <c r="J116" i="25"/>
  <c r="J140" i="25"/>
  <c r="J96" i="25"/>
  <c r="J38" i="25"/>
  <c r="J39" i="25"/>
  <c r="J247" i="25"/>
  <c r="J66" i="25"/>
  <c r="J268" i="25"/>
  <c r="J82" i="25"/>
  <c r="J101" i="25"/>
  <c r="J224" i="25"/>
  <c r="J15" i="25"/>
  <c r="J272" i="25"/>
  <c r="J290" i="25"/>
  <c r="J70" i="25"/>
  <c r="J190" i="25"/>
  <c r="J170" i="25"/>
  <c r="J246" i="25"/>
  <c r="J212" i="25"/>
  <c r="J155" i="25"/>
  <c r="J69" i="25"/>
  <c r="J45" i="25"/>
  <c r="J288" i="25"/>
  <c r="J171" i="25"/>
  <c r="J213" i="25"/>
  <c r="J265" i="25"/>
  <c r="J62" i="25"/>
  <c r="J35" i="25"/>
  <c r="J309" i="25"/>
  <c r="J279" i="25"/>
  <c r="J297" i="25"/>
  <c r="J311" i="25"/>
  <c r="J95" i="25"/>
  <c r="J244" i="25"/>
  <c r="J77" i="25"/>
  <c r="J55" i="25"/>
  <c r="J292" i="25"/>
  <c r="J163" i="25"/>
  <c r="J177" i="25"/>
  <c r="J137" i="25"/>
  <c r="J284" i="25"/>
  <c r="J225" i="25"/>
  <c r="J305" i="25"/>
  <c r="J85" i="25"/>
  <c r="J178" i="25"/>
  <c r="J147" i="25"/>
  <c r="J183" i="25"/>
  <c r="J110" i="25"/>
  <c r="J42" i="25"/>
  <c r="J218" i="25"/>
  <c r="J249" i="25"/>
  <c r="J93" i="25"/>
  <c r="J185" i="25"/>
  <c r="J241" i="25"/>
  <c r="J54" i="25"/>
  <c r="J191" i="25"/>
  <c r="J123" i="25"/>
  <c r="J53" i="25"/>
  <c r="J14" i="25"/>
  <c r="J261" i="25"/>
  <c r="J215" i="25"/>
  <c r="J301" i="25"/>
  <c r="J232" i="25"/>
  <c r="J175" i="25"/>
  <c r="J276" i="25"/>
  <c r="J203" i="25"/>
  <c r="J308" i="25"/>
  <c r="J65" i="25"/>
  <c r="J192" i="25"/>
  <c r="J214" i="25"/>
  <c r="J283" i="25"/>
  <c r="J57" i="25"/>
  <c r="J296" i="25"/>
  <c r="J124" i="25"/>
  <c r="J165" i="25"/>
  <c r="J19" i="25"/>
  <c r="J194" i="25"/>
  <c r="J84" i="25"/>
  <c r="J100" i="25"/>
  <c r="J126" i="25"/>
  <c r="J313" i="25"/>
  <c r="J298" i="25"/>
  <c r="J208" i="25"/>
  <c r="J130" i="25"/>
  <c r="J264" i="25"/>
  <c r="J250" i="25"/>
  <c r="J274" i="25"/>
  <c r="J181" i="25"/>
  <c r="J291" i="25"/>
  <c r="J200" i="25"/>
  <c r="J160" i="25"/>
  <c r="J255" i="25"/>
  <c r="J92" i="25"/>
  <c r="J107" i="25"/>
  <c r="J98" i="25"/>
  <c r="J23" i="25"/>
  <c r="J286" i="25"/>
  <c r="J173" i="25"/>
  <c r="J204" i="25"/>
  <c r="J248" i="25"/>
  <c r="J58" i="25"/>
  <c r="J64" i="25"/>
  <c r="J48" i="25"/>
  <c r="J180" i="25"/>
  <c r="J108" i="25"/>
  <c r="J285" i="25"/>
  <c r="J193" i="25"/>
  <c r="J312" i="25"/>
  <c r="J306" i="25"/>
  <c r="J157" i="25"/>
  <c r="J220" i="25"/>
  <c r="J47" i="25"/>
  <c r="J86" i="25"/>
  <c r="J199" i="25"/>
  <c r="J43" i="25"/>
  <c r="J217" i="25"/>
  <c r="J280" i="25"/>
  <c r="J148" i="25"/>
  <c r="J159" i="25"/>
  <c r="J112" i="25"/>
  <c r="J307" i="25"/>
  <c r="J131" i="25"/>
  <c r="J231" i="25"/>
  <c r="J94" i="25"/>
  <c r="J143" i="25"/>
  <c r="J105" i="25"/>
  <c r="J71" i="25"/>
  <c r="J81" i="25"/>
  <c r="J26" i="25"/>
  <c r="J103" i="25"/>
  <c r="J117" i="25"/>
  <c r="J281" i="25"/>
  <c r="J33" i="25"/>
  <c r="J72" i="25"/>
  <c r="J128" i="25"/>
  <c r="J87" i="25"/>
  <c r="J287" i="25"/>
  <c r="J172" i="25"/>
  <c r="J189" i="25"/>
  <c r="J174" i="25"/>
  <c r="J167" i="25"/>
  <c r="J141" i="25"/>
  <c r="J132" i="25"/>
  <c r="J90" i="25"/>
  <c r="J303" i="25"/>
  <c r="J300" i="25"/>
  <c r="J216" i="25"/>
  <c r="J29" i="25"/>
  <c r="J156" i="25"/>
  <c r="J151" i="25"/>
  <c r="J275" i="25"/>
  <c r="J197" i="25"/>
  <c r="J257" i="25"/>
  <c r="J146" i="25"/>
  <c r="J282" i="25"/>
  <c r="J259" i="25"/>
  <c r="J245" i="25"/>
  <c r="J207" i="25"/>
  <c r="J63" i="25"/>
  <c r="J102" i="25"/>
  <c r="J46" i="25"/>
  <c r="J139" i="25"/>
  <c r="J267" i="25"/>
  <c r="J209" i="25"/>
  <c r="J30" i="25"/>
  <c r="J260" i="25"/>
  <c r="J169" i="25"/>
  <c r="J201" i="25"/>
  <c r="N67" i="13"/>
  <c r="O67" i="13" s="1"/>
  <c r="P67" i="13" s="1"/>
  <c r="Q67" i="13" s="1"/>
  <c r="K67" i="25" s="1"/>
  <c r="N52" i="13"/>
  <c r="O52" i="13" s="1"/>
  <c r="P52" i="13" s="1"/>
  <c r="Q52" i="13" s="1"/>
  <c r="N231" i="13"/>
  <c r="O231" i="13" s="1"/>
  <c r="P231" i="13" s="1"/>
  <c r="Q231" i="13" s="1"/>
  <c r="K231" i="25" s="1"/>
  <c r="N86" i="13"/>
  <c r="O86" i="13" s="1"/>
  <c r="P86" i="13" s="1"/>
  <c r="Q86" i="13" s="1"/>
  <c r="K86" i="25" s="1"/>
  <c r="N146" i="13"/>
  <c r="O146" i="13" s="1"/>
  <c r="P146" i="13" s="1"/>
  <c r="Q146" i="13" s="1"/>
  <c r="K146" i="25" s="1"/>
  <c r="N267" i="13"/>
  <c r="O267" i="13" s="1"/>
  <c r="P267" i="13" s="1"/>
  <c r="Q267" i="13" s="1"/>
  <c r="K267" i="25" s="1"/>
  <c r="N266" i="13"/>
  <c r="O266" i="13" s="1"/>
  <c r="P266" i="13" s="1"/>
  <c r="Q266" i="13" s="1"/>
  <c r="K266" i="25" s="1"/>
  <c r="N242" i="13"/>
  <c r="O242" i="13" s="1"/>
  <c r="P242" i="13" s="1"/>
  <c r="Q242" i="13" s="1"/>
  <c r="N143" i="13"/>
  <c r="O143" i="13" s="1"/>
  <c r="P143" i="13" s="1"/>
  <c r="Q143" i="13" s="1"/>
  <c r="K143" i="25" s="1"/>
  <c r="N208" i="13"/>
  <c r="O208" i="13" s="1"/>
  <c r="P208" i="13" s="1"/>
  <c r="Q208" i="13" s="1"/>
  <c r="K208" i="25" s="1"/>
  <c r="N126" i="13"/>
  <c r="O126" i="13" s="1"/>
  <c r="P126" i="13" s="1"/>
  <c r="Q126" i="13" s="1"/>
  <c r="K126" i="25" s="1"/>
  <c r="N240" i="13"/>
  <c r="O240" i="13" s="1"/>
  <c r="P240" i="13" s="1"/>
  <c r="Q240" i="13" s="1"/>
  <c r="N94" i="13"/>
  <c r="O94" i="13" s="1"/>
  <c r="P94" i="13" s="1"/>
  <c r="Q94" i="13" s="1"/>
  <c r="K94" i="25" s="1"/>
  <c r="N283" i="13"/>
  <c r="O283" i="13" s="1"/>
  <c r="P283" i="13" s="1"/>
  <c r="Q283" i="13" s="1"/>
  <c r="K283" i="25" s="1"/>
  <c r="N219" i="13"/>
  <c r="O219" i="13" s="1"/>
  <c r="P219" i="13" s="1"/>
  <c r="Q219" i="13" s="1"/>
  <c r="K219" i="25" s="1"/>
  <c r="N44" i="13"/>
  <c r="O44" i="13" s="1"/>
  <c r="P44" i="13" s="1"/>
  <c r="Q44" i="13" s="1"/>
  <c r="K44" i="25" s="1"/>
  <c r="N305" i="13"/>
  <c r="O305" i="13" s="1"/>
  <c r="P305" i="13" s="1"/>
  <c r="Q305" i="13" s="1"/>
  <c r="K305" i="25" s="1"/>
  <c r="H5" i="39"/>
  <c r="I5" i="39" s="1"/>
  <c r="J5" i="39" s="1"/>
  <c r="N313" i="13"/>
  <c r="O313" i="13" s="1"/>
  <c r="P313" i="13" s="1"/>
  <c r="Q313" i="13" s="1"/>
  <c r="N8" i="13"/>
  <c r="O8" i="13" s="1"/>
  <c r="P8" i="13" s="1"/>
  <c r="Q8" i="13" s="1"/>
  <c r="K8" i="25" s="1"/>
  <c r="N198" i="13"/>
  <c r="O198" i="13" s="1"/>
  <c r="P198" i="13" s="1"/>
  <c r="Q198" i="13" s="1"/>
  <c r="N259" i="13"/>
  <c r="O259" i="13" s="1"/>
  <c r="P259" i="13" s="1"/>
  <c r="Q259" i="13" s="1"/>
  <c r="K259" i="25" s="1"/>
  <c r="N80" i="13"/>
  <c r="O80" i="13" s="1"/>
  <c r="P80" i="13" s="1"/>
  <c r="Q80" i="13" s="1"/>
  <c r="N92" i="13"/>
  <c r="O92" i="13" s="1"/>
  <c r="P92" i="13" s="1"/>
  <c r="Q92" i="13" s="1"/>
  <c r="K92" i="25" s="1"/>
  <c r="N139" i="13"/>
  <c r="O139" i="13" s="1"/>
  <c r="P139" i="13" s="1"/>
  <c r="Q139" i="13" s="1"/>
  <c r="K139" i="25" s="1"/>
  <c r="N195" i="13"/>
  <c r="O195" i="13" s="1"/>
  <c r="P195" i="13" s="1"/>
  <c r="Q195" i="13" s="1"/>
  <c r="N296" i="13"/>
  <c r="O296" i="13" s="1"/>
  <c r="P296" i="13" s="1"/>
  <c r="Q296" i="13" s="1"/>
  <c r="K296" i="25" s="1"/>
  <c r="N180" i="13"/>
  <c r="O180" i="13" s="1"/>
  <c r="P180" i="13" s="1"/>
  <c r="Q180" i="13" s="1"/>
  <c r="N127" i="13"/>
  <c r="O127" i="13" s="1"/>
  <c r="P127" i="13" s="1"/>
  <c r="Q127" i="13" s="1"/>
  <c r="N42" i="13"/>
  <c r="O42" i="13" s="1"/>
  <c r="P42" i="13" s="1"/>
  <c r="Q42" i="13" s="1"/>
  <c r="N166" i="13"/>
  <c r="O166" i="13" s="1"/>
  <c r="P166" i="13" s="1"/>
  <c r="Q166" i="13" s="1"/>
  <c r="K166" i="25" s="1"/>
  <c r="N164" i="13"/>
  <c r="O164" i="13" s="1"/>
  <c r="P164" i="13" s="1"/>
  <c r="Q164" i="13" s="1"/>
  <c r="K164" i="25" s="1"/>
  <c r="N182" i="13"/>
  <c r="O182" i="13" s="1"/>
  <c r="P182" i="13" s="1"/>
  <c r="Q182" i="13" s="1"/>
  <c r="N156" i="13"/>
  <c r="O156" i="13" s="1"/>
  <c r="P156" i="13" s="1"/>
  <c r="Q156" i="13" s="1"/>
  <c r="N18" i="13"/>
  <c r="O18" i="13" s="1"/>
  <c r="P18" i="13" s="1"/>
  <c r="Q18" i="13" s="1"/>
  <c r="K18" i="25" s="1"/>
  <c r="N120" i="13"/>
  <c r="O120" i="13" s="1"/>
  <c r="P120" i="13" s="1"/>
  <c r="Q120" i="13" s="1"/>
  <c r="K120" i="25" s="1"/>
  <c r="N59" i="13"/>
  <c r="O59" i="13" s="1"/>
  <c r="P59" i="13" s="1"/>
  <c r="Q59" i="13" s="1"/>
  <c r="N196" i="13"/>
  <c r="O196" i="13" s="1"/>
  <c r="P196" i="13" s="1"/>
  <c r="Q196" i="13" s="1"/>
  <c r="K196" i="25" s="1"/>
  <c r="N116" i="13"/>
  <c r="O116" i="13" s="1"/>
  <c r="P116" i="13" s="1"/>
  <c r="Q116" i="13" s="1"/>
  <c r="N74" i="13"/>
  <c r="O74" i="13" s="1"/>
  <c r="P74" i="13" s="1"/>
  <c r="Q74" i="13" s="1"/>
  <c r="N108" i="13"/>
  <c r="O108" i="13" s="1"/>
  <c r="P108" i="13" s="1"/>
  <c r="Q108" i="13" s="1"/>
  <c r="N15" i="13"/>
  <c r="O15" i="13" s="1"/>
  <c r="P15" i="13" s="1"/>
  <c r="Q15" i="13" s="1"/>
  <c r="N277" i="13"/>
  <c r="O277" i="13" s="1"/>
  <c r="P277" i="13" s="1"/>
  <c r="Q277" i="13" s="1"/>
  <c r="K277" i="25" s="1"/>
  <c r="N168" i="13"/>
  <c r="O168" i="13" s="1"/>
  <c r="P168" i="13" s="1"/>
  <c r="Q168" i="13" s="1"/>
  <c r="N128" i="13"/>
  <c r="O128" i="13" s="1"/>
  <c r="P128" i="13" s="1"/>
  <c r="Q128" i="13" s="1"/>
  <c r="N159" i="13"/>
  <c r="O159" i="13" s="1"/>
  <c r="P159" i="13" s="1"/>
  <c r="Q159" i="13" s="1"/>
  <c r="K159" i="25" s="1"/>
  <c r="N170" i="13"/>
  <c r="O170" i="13" s="1"/>
  <c r="P170" i="13" s="1"/>
  <c r="Q170" i="13" s="1"/>
  <c r="N227" i="13"/>
  <c r="O227" i="13" s="1"/>
  <c r="P227" i="13" s="1"/>
  <c r="Q227" i="13" s="1"/>
  <c r="K227" i="25" s="1"/>
  <c r="N232" i="13"/>
  <c r="O232" i="13" s="1"/>
  <c r="P232" i="13" s="1"/>
  <c r="Q232" i="13" s="1"/>
  <c r="K232" i="25" s="1"/>
  <c r="N151" i="13"/>
  <c r="O151" i="13" s="1"/>
  <c r="P151" i="13" s="1"/>
  <c r="Q151" i="13" s="1"/>
  <c r="N174" i="13"/>
  <c r="O174" i="13" s="1"/>
  <c r="P174" i="13" s="1"/>
  <c r="Q174" i="13" s="1"/>
  <c r="K174" i="25" s="1"/>
  <c r="N183" i="13"/>
  <c r="O183" i="13" s="1"/>
  <c r="P183" i="13" s="1"/>
  <c r="Q183" i="13" s="1"/>
  <c r="N287" i="13"/>
  <c r="O287" i="13" s="1"/>
  <c r="P287" i="13" s="1"/>
  <c r="Q287" i="13" s="1"/>
  <c r="N210" i="13"/>
  <c r="O210" i="13" s="1"/>
  <c r="P210" i="13" s="1"/>
  <c r="Q210" i="13" s="1"/>
  <c r="N50" i="13"/>
  <c r="O50" i="13" s="1"/>
  <c r="P50" i="13" s="1"/>
  <c r="Q50" i="13" s="1"/>
  <c r="K50" i="25" s="1"/>
  <c r="N302" i="13"/>
  <c r="O302" i="13" s="1"/>
  <c r="P302" i="13" s="1"/>
  <c r="Q302" i="13" s="1"/>
  <c r="K302" i="25" s="1"/>
  <c r="N298" i="13"/>
  <c r="O298" i="13" s="1"/>
  <c r="P298" i="13" s="1"/>
  <c r="Q298" i="13" s="1"/>
  <c r="N133" i="13"/>
  <c r="O133" i="13" s="1"/>
  <c r="P133" i="13" s="1"/>
  <c r="Q133" i="13" s="1"/>
  <c r="N93" i="13"/>
  <c r="O93" i="13" s="1"/>
  <c r="P93" i="13" s="1"/>
  <c r="Q93" i="13" s="1"/>
  <c r="N17" i="13"/>
  <c r="O17" i="13" s="1"/>
  <c r="P17" i="13" s="1"/>
  <c r="Q17" i="13" s="1"/>
  <c r="K17" i="25" s="1"/>
  <c r="N228" i="13"/>
  <c r="O228" i="13" s="1"/>
  <c r="P228" i="13" s="1"/>
  <c r="Q228" i="13" s="1"/>
  <c r="N214" i="13"/>
  <c r="O214" i="13" s="1"/>
  <c r="P214" i="13" s="1"/>
  <c r="Q214" i="13" s="1"/>
  <c r="N286" i="13"/>
  <c r="O286" i="13" s="1"/>
  <c r="P286" i="13" s="1"/>
  <c r="Q286" i="13" s="1"/>
  <c r="K286" i="25" s="1"/>
  <c r="N263" i="13"/>
  <c r="O263" i="13" s="1"/>
  <c r="P263" i="13" s="1"/>
  <c r="Q263" i="13" s="1"/>
  <c r="K263" i="25" s="1"/>
  <c r="N281" i="13"/>
  <c r="O281" i="13" s="1"/>
  <c r="P281" i="13" s="1"/>
  <c r="Q281" i="13" s="1"/>
  <c r="N163" i="13"/>
  <c r="O163" i="13" s="1"/>
  <c r="P163" i="13" s="1"/>
  <c r="Q163" i="13" s="1"/>
  <c r="K163" i="25" s="1"/>
  <c r="N31" i="13"/>
  <c r="O31" i="13" s="1"/>
  <c r="P31" i="13" s="1"/>
  <c r="Q31" i="13" s="1"/>
  <c r="N199" i="13"/>
  <c r="O199" i="13" s="1"/>
  <c r="P199" i="13" s="1"/>
  <c r="Q199" i="13" s="1"/>
  <c r="K199" i="25" s="1"/>
  <c r="N303" i="13"/>
  <c r="O303" i="13" s="1"/>
  <c r="P303" i="13" s="1"/>
  <c r="Q303" i="13" s="1"/>
  <c r="K303" i="25" s="1"/>
  <c r="N187" i="13"/>
  <c r="O187" i="13" s="1"/>
  <c r="P187" i="13" s="1"/>
  <c r="Q187" i="13" s="1"/>
  <c r="K187" i="25" s="1"/>
  <c r="N118" i="13"/>
  <c r="O118" i="13" s="1"/>
  <c r="P118" i="13" s="1"/>
  <c r="Q118" i="13" s="1"/>
  <c r="N244" i="13"/>
  <c r="O244" i="13" s="1"/>
  <c r="P244" i="13" s="1"/>
  <c r="Q244" i="13" s="1"/>
  <c r="N301" i="13"/>
  <c r="O301" i="13" s="1"/>
  <c r="P301" i="13" s="1"/>
  <c r="Q301" i="13" s="1"/>
  <c r="K301" i="25" s="1"/>
  <c r="N95" i="13"/>
  <c r="O95" i="13" s="1"/>
  <c r="P95" i="13" s="1"/>
  <c r="Q95" i="13" s="1"/>
  <c r="K95" i="25" s="1"/>
  <c r="N97" i="13"/>
  <c r="O97" i="13" s="1"/>
  <c r="P97" i="13" s="1"/>
  <c r="Q97" i="13" s="1"/>
  <c r="K97" i="25" s="1"/>
  <c r="N306" i="13"/>
  <c r="O306" i="13" s="1"/>
  <c r="P306" i="13" s="1"/>
  <c r="Q306" i="13" s="1"/>
  <c r="K306" i="25" s="1"/>
  <c r="N136" i="13"/>
  <c r="O136" i="13" s="1"/>
  <c r="P136" i="13" s="1"/>
  <c r="Q136" i="13" s="1"/>
  <c r="N137" i="13"/>
  <c r="O137" i="13" s="1"/>
  <c r="P137" i="13" s="1"/>
  <c r="Q137" i="13" s="1"/>
  <c r="N186" i="13"/>
  <c r="O186" i="13" s="1"/>
  <c r="P186" i="13" s="1"/>
  <c r="Q186" i="13" s="1"/>
  <c r="K186" i="25" s="1"/>
  <c r="N41" i="13"/>
  <c r="O41" i="13" s="1"/>
  <c r="P41" i="13" s="1"/>
  <c r="Q41" i="13" s="1"/>
  <c r="K41" i="25" s="1"/>
  <c r="N85" i="13"/>
  <c r="O85" i="13" s="1"/>
  <c r="P85" i="13" s="1"/>
  <c r="Q85" i="13" s="1"/>
  <c r="N110" i="13"/>
  <c r="O110" i="13" s="1"/>
  <c r="P110" i="13" s="1"/>
  <c r="Q110" i="13" s="1"/>
  <c r="N153" i="13"/>
  <c r="O153" i="13" s="1"/>
  <c r="P153" i="13" s="1"/>
  <c r="Q153" i="13" s="1"/>
  <c r="N111" i="13"/>
  <c r="O111" i="13" s="1"/>
  <c r="P111" i="13" s="1"/>
  <c r="Q111" i="13" s="1"/>
  <c r="N278" i="13"/>
  <c r="O278" i="13" s="1"/>
  <c r="P278" i="13" s="1"/>
  <c r="Q278" i="13" s="1"/>
  <c r="N310" i="13"/>
  <c r="O310" i="13" s="1"/>
  <c r="P310" i="13" s="1"/>
  <c r="Q310" i="13" s="1"/>
  <c r="K310" i="25" s="1"/>
  <c r="N279" i="13"/>
  <c r="O279" i="13" s="1"/>
  <c r="P279" i="13" s="1"/>
  <c r="Q279" i="13" s="1"/>
  <c r="K279" i="25" s="1"/>
  <c r="N63" i="13"/>
  <c r="O63" i="13" s="1"/>
  <c r="P63" i="13" s="1"/>
  <c r="Q63" i="13" s="1"/>
  <c r="K63" i="25" s="1"/>
  <c r="N125" i="13"/>
  <c r="O125" i="13" s="1"/>
  <c r="P125" i="13" s="1"/>
  <c r="Q125" i="13" s="1"/>
  <c r="N293" i="13"/>
  <c r="O293" i="13" s="1"/>
  <c r="P293" i="13" s="1"/>
  <c r="Q293" i="13" s="1"/>
  <c r="N76" i="13"/>
  <c r="O76" i="13" s="1"/>
  <c r="P76" i="13" s="1"/>
  <c r="Q76" i="13" s="1"/>
  <c r="N280" i="13"/>
  <c r="O280" i="13" s="1"/>
  <c r="P280" i="13" s="1"/>
  <c r="Q280" i="13" s="1"/>
  <c r="N221" i="13"/>
  <c r="O221" i="13" s="1"/>
  <c r="P221" i="13" s="1"/>
  <c r="Q221" i="13" s="1"/>
  <c r="K221" i="25" s="1"/>
  <c r="N23" i="13"/>
  <c r="O23" i="13" s="1"/>
  <c r="P23" i="13" s="1"/>
  <c r="Q23" i="13" s="1"/>
  <c r="N246" i="13"/>
  <c r="O246" i="13" s="1"/>
  <c r="P246" i="13" s="1"/>
  <c r="Q246" i="13" s="1"/>
  <c r="K246" i="25" s="1"/>
  <c r="N13" i="13"/>
  <c r="O13" i="13" s="1"/>
  <c r="P13" i="13" s="1"/>
  <c r="Q13" i="13" s="1"/>
  <c r="N254" i="13"/>
  <c r="O254" i="13" s="1"/>
  <c r="P254" i="13" s="1"/>
  <c r="Q254" i="13" s="1"/>
  <c r="N217" i="13"/>
  <c r="O217" i="13" s="1"/>
  <c r="P217" i="13" s="1"/>
  <c r="Q217" i="13" s="1"/>
  <c r="N260" i="13"/>
  <c r="O260" i="13" s="1"/>
  <c r="P260" i="13" s="1"/>
  <c r="Q260" i="13" s="1"/>
  <c r="N249" i="13"/>
  <c r="O249" i="13" s="1"/>
  <c r="P249" i="13" s="1"/>
  <c r="Q249" i="13" s="1"/>
  <c r="N22" i="13"/>
  <c r="O22" i="13" s="1"/>
  <c r="P22" i="13" s="1"/>
  <c r="Q22" i="13" s="1"/>
  <c r="K22" i="25" s="1"/>
  <c r="N39" i="13"/>
  <c r="O39" i="13" s="1"/>
  <c r="P39" i="13" s="1"/>
  <c r="Q39" i="13" s="1"/>
  <c r="K39" i="25" s="1"/>
  <c r="N308" i="13"/>
  <c r="O308" i="13" s="1"/>
  <c r="P308" i="13" s="1"/>
  <c r="Q308" i="13" s="1"/>
  <c r="K308" i="25" s="1"/>
  <c r="N32" i="13"/>
  <c r="O32" i="13" s="1"/>
  <c r="P32" i="13" s="1"/>
  <c r="Q32" i="13" s="1"/>
  <c r="N70" i="13"/>
  <c r="O70" i="13" s="1"/>
  <c r="P70" i="13" s="1"/>
  <c r="Q70" i="13" s="1"/>
  <c r="N250" i="13"/>
  <c r="O250" i="13" s="1"/>
  <c r="P250" i="13" s="1"/>
  <c r="Q250" i="13" s="1"/>
  <c r="N190" i="13"/>
  <c r="N11" i="13"/>
  <c r="O11" i="13" s="1"/>
  <c r="P11" i="13" s="1"/>
  <c r="Q11" i="13" s="1"/>
  <c r="N46" i="13"/>
  <c r="O46" i="13" s="1"/>
  <c r="P46" i="13" s="1"/>
  <c r="Q46" i="13" s="1"/>
  <c r="N81" i="13"/>
  <c r="O81" i="13" s="1"/>
  <c r="P81" i="13" s="1"/>
  <c r="Q81" i="13" s="1"/>
  <c r="N158" i="13"/>
  <c r="O158" i="13" s="1"/>
  <c r="P158" i="13" s="1"/>
  <c r="Q158" i="13" s="1"/>
  <c r="N91" i="13"/>
  <c r="O91" i="13" s="1"/>
  <c r="P91" i="13" s="1"/>
  <c r="Q91" i="13" s="1"/>
  <c r="K91" i="25" s="1"/>
  <c r="N112" i="13"/>
  <c r="O112" i="13" s="1"/>
  <c r="P112" i="13" s="1"/>
  <c r="Q112" i="13" s="1"/>
  <c r="K112" i="25" s="1"/>
  <c r="N100" i="13"/>
  <c r="O100" i="13" s="1"/>
  <c r="P100" i="13" s="1"/>
  <c r="Q100" i="13" s="1"/>
  <c r="K100" i="25" s="1"/>
  <c r="N155" i="13"/>
  <c r="O155" i="13" s="1"/>
  <c r="P155" i="13" s="1"/>
  <c r="Q155" i="13" s="1"/>
  <c r="N10" i="13"/>
  <c r="O10" i="13" s="1"/>
  <c r="P10" i="13" s="1"/>
  <c r="Q10" i="13" s="1"/>
  <c r="N99" i="13"/>
  <c r="O99" i="13" s="1"/>
  <c r="P99" i="13" s="1"/>
  <c r="Q99" i="13" s="1"/>
  <c r="K99" i="25" s="1"/>
  <c r="N102" i="13"/>
  <c r="O102" i="13" s="1"/>
  <c r="P102" i="13" s="1"/>
  <c r="Q102" i="13" s="1"/>
  <c r="N36" i="13"/>
  <c r="O36" i="13" s="1"/>
  <c r="P36" i="13" s="1"/>
  <c r="Q36" i="13" s="1"/>
  <c r="N77" i="13"/>
  <c r="O77" i="13" s="1"/>
  <c r="P77" i="13" s="1"/>
  <c r="Q77" i="13" s="1"/>
  <c r="N35" i="13"/>
  <c r="O35" i="13" s="1"/>
  <c r="P35" i="13" s="1"/>
  <c r="Q35" i="13" s="1"/>
  <c r="N273" i="13"/>
  <c r="O273" i="13" s="1"/>
  <c r="P273" i="13" s="1"/>
  <c r="Q273" i="13" s="1"/>
  <c r="K273" i="25" s="1"/>
  <c r="N215" i="13"/>
  <c r="O215" i="13" s="1"/>
  <c r="P215" i="13" s="1"/>
  <c r="Q215" i="13" s="1"/>
  <c r="K215" i="25" s="1"/>
  <c r="N282" i="13"/>
  <c r="O282" i="13" s="1"/>
  <c r="P282" i="13" s="1"/>
  <c r="Q282" i="13" s="1"/>
  <c r="K282" i="25" s="1"/>
  <c r="N241" i="13"/>
  <c r="O241" i="13" s="1"/>
  <c r="P241" i="13" s="1"/>
  <c r="Q241" i="13" s="1"/>
  <c r="N197" i="13"/>
  <c r="O197" i="13" s="1"/>
  <c r="P197" i="13" s="1"/>
  <c r="Q197" i="13" s="1"/>
  <c r="N57" i="13"/>
  <c r="O57" i="13" s="1"/>
  <c r="P57" i="13" s="1"/>
  <c r="Q57" i="13" s="1"/>
  <c r="K57" i="25" s="1"/>
  <c r="N49" i="13"/>
  <c r="O49" i="13" s="1"/>
  <c r="P49" i="13" s="1"/>
  <c r="Q49" i="13" s="1"/>
  <c r="K49" i="25" s="1"/>
  <c r="N61" i="13"/>
  <c r="O61" i="13" s="1"/>
  <c r="P61" i="13" s="1"/>
  <c r="Q61" i="13" s="1"/>
  <c r="K61" i="25" s="1"/>
  <c r="N73" i="13"/>
  <c r="O73" i="13" s="1"/>
  <c r="P73" i="13" s="1"/>
  <c r="Q73" i="13" s="1"/>
  <c r="K73" i="25" s="1"/>
  <c r="N25" i="13"/>
  <c r="O25" i="13" s="1"/>
  <c r="P25" i="13" s="1"/>
  <c r="Q25" i="13" s="1"/>
  <c r="K25" i="25" s="1"/>
  <c r="N98" i="13"/>
  <c r="O98" i="13" s="1"/>
  <c r="P98" i="13" s="1"/>
  <c r="Q98" i="13" s="1"/>
  <c r="N181" i="13"/>
  <c r="O181" i="13" s="1"/>
  <c r="P181" i="13" s="1"/>
  <c r="Q181" i="13" s="1"/>
  <c r="N176" i="13"/>
  <c r="O176" i="13" s="1"/>
  <c r="P176" i="13" s="1"/>
  <c r="Q176" i="13" s="1"/>
  <c r="N54" i="13"/>
  <c r="O54" i="13" s="1"/>
  <c r="P54" i="13" s="1"/>
  <c r="Q54" i="13" s="1"/>
  <c r="N207" i="13"/>
  <c r="O207" i="13" s="1"/>
  <c r="P207" i="13" s="1"/>
  <c r="Q207" i="13" s="1"/>
  <c r="N224" i="13"/>
  <c r="O224" i="13" s="1"/>
  <c r="P224" i="13" s="1"/>
  <c r="Q224" i="13" s="1"/>
  <c r="N167" i="13"/>
  <c r="O167" i="13" s="1"/>
  <c r="P167" i="13" s="1"/>
  <c r="Q167" i="13" s="1"/>
  <c r="K167" i="25" s="1"/>
  <c r="N300" i="13"/>
  <c r="O300" i="13" s="1"/>
  <c r="P300" i="13" s="1"/>
  <c r="Q300" i="13" s="1"/>
  <c r="N87" i="13"/>
  <c r="O87" i="13" s="1"/>
  <c r="P87" i="13" s="1"/>
  <c r="Q87" i="13" s="1"/>
  <c r="K87" i="25" s="1"/>
  <c r="N53" i="13"/>
  <c r="O53" i="13" s="1"/>
  <c r="P53" i="13" s="1"/>
  <c r="Q53" i="13" s="1"/>
  <c r="K53" i="25" s="1"/>
  <c r="N45" i="13"/>
  <c r="O45" i="13" s="1"/>
  <c r="P45" i="13" s="1"/>
  <c r="Q45" i="13" s="1"/>
  <c r="K45" i="25" s="1"/>
  <c r="N236" i="13"/>
  <c r="O236" i="13" s="1"/>
  <c r="P236" i="13" s="1"/>
  <c r="Q236" i="13" s="1"/>
  <c r="K236" i="25" s="1"/>
  <c r="N147" i="13"/>
  <c r="O147" i="13" s="1"/>
  <c r="P147" i="13" s="1"/>
  <c r="Q147" i="13" s="1"/>
  <c r="K147" i="25" s="1"/>
  <c r="N178" i="13"/>
  <c r="O178" i="13" s="1"/>
  <c r="P178" i="13" s="1"/>
  <c r="Q178" i="13" s="1"/>
  <c r="K178" i="25" s="1"/>
  <c r="N252" i="13"/>
  <c r="O252" i="13" s="1"/>
  <c r="P252" i="13" s="1"/>
  <c r="Q252" i="13" s="1"/>
  <c r="K252" i="25" s="1"/>
  <c r="N48" i="13"/>
  <c r="O48" i="13" s="1"/>
  <c r="P48" i="13" s="1"/>
  <c r="Q48" i="13" s="1"/>
  <c r="N157" i="13"/>
  <c r="O157" i="13" s="1"/>
  <c r="P157" i="13" s="1"/>
  <c r="Q157" i="13" s="1"/>
  <c r="K157" i="25" s="1"/>
  <c r="N271" i="13"/>
  <c r="O271" i="13" s="1"/>
  <c r="P271" i="13" s="1"/>
  <c r="Q271" i="13" s="1"/>
  <c r="K271" i="25" s="1"/>
  <c r="N226" i="13"/>
  <c r="O226" i="13" s="1"/>
  <c r="P226" i="13" s="1"/>
  <c r="Q226" i="13" s="1"/>
  <c r="K226" i="25" s="1"/>
  <c r="N294" i="13"/>
  <c r="O294" i="13" s="1"/>
  <c r="P294" i="13" s="1"/>
  <c r="Q294" i="13" s="1"/>
  <c r="N148" i="13"/>
  <c r="O148" i="13" s="1"/>
  <c r="P148" i="13" s="1"/>
  <c r="Q148" i="13" s="1"/>
  <c r="N185" i="13"/>
  <c r="O185" i="13" s="1"/>
  <c r="P185" i="13" s="1"/>
  <c r="Q185" i="13" s="1"/>
  <c r="N145" i="13"/>
  <c r="O145" i="13" s="1"/>
  <c r="P145" i="13" s="1"/>
  <c r="Q145" i="13" s="1"/>
  <c r="N179" i="13"/>
  <c r="O179" i="13" s="1"/>
  <c r="P179" i="13" s="1"/>
  <c r="Q179" i="13" s="1"/>
  <c r="N307" i="13"/>
  <c r="O307" i="13" s="1"/>
  <c r="P307" i="13" s="1"/>
  <c r="Q307" i="13" s="1"/>
  <c r="N212" i="13"/>
  <c r="O212" i="13" s="1"/>
  <c r="P212" i="13" s="1"/>
  <c r="Q212" i="13" s="1"/>
  <c r="N104" i="13"/>
  <c r="O104" i="13" s="1"/>
  <c r="P104" i="13" s="1"/>
  <c r="Q104" i="13" s="1"/>
  <c r="N205" i="13"/>
  <c r="O205" i="13" s="1"/>
  <c r="P205" i="13" s="1"/>
  <c r="Q205" i="13" s="1"/>
  <c r="N117" i="13"/>
  <c r="O117" i="13" s="1"/>
  <c r="P117" i="13" s="1"/>
  <c r="Q117" i="13" s="1"/>
  <c r="K117" i="25" s="1"/>
  <c r="N160" i="13"/>
  <c r="O160" i="13" s="1"/>
  <c r="P160" i="13" s="1"/>
  <c r="Q160" i="13" s="1"/>
  <c r="K160" i="25" s="1"/>
  <c r="N58" i="13"/>
  <c r="O58" i="13" s="1"/>
  <c r="P58" i="13" s="1"/>
  <c r="Q58" i="13" s="1"/>
  <c r="K58" i="25" s="1"/>
  <c r="N275" i="13"/>
  <c r="O275" i="13" s="1"/>
  <c r="P275" i="13" s="1"/>
  <c r="Q275" i="13" s="1"/>
  <c r="K275" i="25" s="1"/>
  <c r="N20" i="13"/>
  <c r="O20" i="13" s="1"/>
  <c r="P20" i="13" s="1"/>
  <c r="Q20" i="13" s="1"/>
  <c r="K20" i="25" s="1"/>
  <c r="N19" i="13"/>
  <c r="O19" i="13" s="1"/>
  <c r="P19" i="13" s="1"/>
  <c r="Q19" i="13" s="1"/>
  <c r="K19" i="25" s="1"/>
  <c r="N184" i="13"/>
  <c r="O184" i="13" s="1"/>
  <c r="P184" i="13" s="1"/>
  <c r="Q184" i="13" s="1"/>
  <c r="N257" i="13"/>
  <c r="O257" i="13" s="1"/>
  <c r="P257" i="13" s="1"/>
  <c r="Q257" i="13" s="1"/>
  <c r="K257" i="25" s="1"/>
  <c r="N223" i="13"/>
  <c r="O223" i="13" s="1"/>
  <c r="P223" i="13" s="1"/>
  <c r="Q223" i="13" s="1"/>
  <c r="N90" i="13"/>
  <c r="O90" i="13" s="1"/>
  <c r="P90" i="13" s="1"/>
  <c r="Q90" i="13" s="1"/>
  <c r="K90" i="25" s="1"/>
  <c r="N66" i="13"/>
  <c r="O66" i="13" s="1"/>
  <c r="P66" i="13" s="1"/>
  <c r="Q66" i="13" s="1"/>
  <c r="N172" i="13"/>
  <c r="O172" i="13" s="1"/>
  <c r="P172" i="13" s="1"/>
  <c r="Q172" i="13" s="1"/>
  <c r="N141" i="13"/>
  <c r="O141" i="13" s="1"/>
  <c r="P141" i="13" s="1"/>
  <c r="Q141" i="13" s="1"/>
  <c r="N140" i="13"/>
  <c r="O140" i="13" s="1"/>
  <c r="P140" i="13" s="1"/>
  <c r="Q140" i="13" s="1"/>
  <c r="N71" i="13"/>
  <c r="O71" i="13" s="1"/>
  <c r="P71" i="13" s="1"/>
  <c r="Q71" i="13" s="1"/>
  <c r="K71" i="25" s="1"/>
  <c r="N138" i="13"/>
  <c r="O138" i="13" s="1"/>
  <c r="P138" i="13" s="1"/>
  <c r="Q138" i="13" s="1"/>
  <c r="K138" i="25" s="1"/>
  <c r="N188" i="13"/>
  <c r="O188" i="13" s="1"/>
  <c r="P188" i="13" s="1"/>
  <c r="Q188" i="13" s="1"/>
  <c r="K188" i="25" s="1"/>
  <c r="N202" i="13"/>
  <c r="O202" i="13" s="1"/>
  <c r="P202" i="13" s="1"/>
  <c r="Q202" i="13" s="1"/>
  <c r="K202" i="25" s="1"/>
  <c r="N21" i="13"/>
  <c r="O21" i="13" s="1"/>
  <c r="P21" i="13" s="1"/>
  <c r="Q21" i="13" s="1"/>
  <c r="K21" i="25" s="1"/>
  <c r="N256" i="13"/>
  <c r="O256" i="13" s="1"/>
  <c r="P256" i="13" s="1"/>
  <c r="Q256" i="13" s="1"/>
  <c r="K256" i="25" s="1"/>
  <c r="N96" i="13"/>
  <c r="O96" i="13" s="1"/>
  <c r="P96" i="13" s="1"/>
  <c r="Q96" i="13" s="1"/>
  <c r="K96" i="25" s="1"/>
  <c r="N33" i="13"/>
  <c r="O33" i="13" s="1"/>
  <c r="P33" i="13" s="1"/>
  <c r="Q33" i="13" s="1"/>
  <c r="N142" i="13"/>
  <c r="O142" i="13" s="1"/>
  <c r="P142" i="13" s="1"/>
  <c r="Q142" i="13" s="1"/>
  <c r="K142" i="25" s="1"/>
  <c r="N75" i="13"/>
  <c r="O75" i="13" s="1"/>
  <c r="P75" i="13" s="1"/>
  <c r="Q75" i="13" s="1"/>
  <c r="N107" i="13"/>
  <c r="O107" i="13" s="1"/>
  <c r="P107" i="13" s="1"/>
  <c r="Q107" i="13" s="1"/>
  <c r="N16" i="13"/>
  <c r="O16" i="13" s="1"/>
  <c r="P16" i="13" s="1"/>
  <c r="Q16" i="13" s="1"/>
  <c r="N311" i="13"/>
  <c r="O311" i="13" s="1"/>
  <c r="P311" i="13" s="1"/>
  <c r="Q311" i="13" s="1"/>
  <c r="N130" i="13"/>
  <c r="O130" i="13" s="1"/>
  <c r="P130" i="13" s="1"/>
  <c r="Q130" i="13" s="1"/>
  <c r="N211" i="13"/>
  <c r="O211" i="13" s="1"/>
  <c r="P211" i="13" s="1"/>
  <c r="Q211" i="13" s="1"/>
  <c r="N105" i="13"/>
  <c r="O105" i="13" s="1"/>
  <c r="P105" i="13" s="1"/>
  <c r="Q105" i="13" s="1"/>
  <c r="K105" i="25" s="1"/>
  <c r="N28" i="13"/>
  <c r="O28" i="13" s="1"/>
  <c r="P28" i="13" s="1"/>
  <c r="Q28" i="13" s="1"/>
  <c r="K28" i="25" s="1"/>
  <c r="N209" i="13"/>
  <c r="O209" i="13" s="1"/>
  <c r="P209" i="13" s="1"/>
  <c r="Q209" i="13" s="1"/>
  <c r="N154" i="13"/>
  <c r="O154" i="13" s="1"/>
  <c r="P154" i="13" s="1"/>
  <c r="Q154" i="13" s="1"/>
  <c r="K154" i="25" s="1"/>
  <c r="N206" i="13"/>
  <c r="O206" i="13" s="1"/>
  <c r="P206" i="13" s="1"/>
  <c r="Q206" i="13" s="1"/>
  <c r="N121" i="13"/>
  <c r="O121" i="13" s="1"/>
  <c r="P121" i="13" s="1"/>
  <c r="Q121" i="13" s="1"/>
  <c r="N51" i="13"/>
  <c r="O51" i="13" s="1"/>
  <c r="P51" i="13" s="1"/>
  <c r="Q51" i="13" s="1"/>
  <c r="N12" i="13"/>
  <c r="O12" i="13" s="1"/>
  <c r="P12" i="13" s="1"/>
  <c r="Q12" i="13" s="1"/>
  <c r="N84" i="13"/>
  <c r="O84" i="13" s="1"/>
  <c r="P84" i="13" s="1"/>
  <c r="Q84" i="13" s="1"/>
  <c r="N134" i="13"/>
  <c r="O134" i="13" s="1"/>
  <c r="P134" i="13" s="1"/>
  <c r="Q134" i="13" s="1"/>
  <c r="N245" i="13"/>
  <c r="O245" i="13" s="1"/>
  <c r="P245" i="13" s="1"/>
  <c r="Q245" i="13" s="1"/>
  <c r="N149" i="13"/>
  <c r="O149" i="13" s="1"/>
  <c r="P149" i="13" s="1"/>
  <c r="Q149" i="13" s="1"/>
  <c r="N255" i="13"/>
  <c r="O255" i="13" s="1"/>
  <c r="P255" i="13" s="1"/>
  <c r="Q255" i="13" s="1"/>
  <c r="N122" i="13"/>
  <c r="O122" i="13" s="1"/>
  <c r="P122" i="13" s="1"/>
  <c r="Q122" i="13" s="1"/>
  <c r="N200" i="13"/>
  <c r="O200" i="13" s="1"/>
  <c r="P200" i="13" s="1"/>
  <c r="Q200" i="13" s="1"/>
  <c r="N161" i="13"/>
  <c r="O161" i="13" s="1"/>
  <c r="P161" i="13" s="1"/>
  <c r="Q161" i="13" s="1"/>
  <c r="N291" i="13"/>
  <c r="O291" i="13" s="1"/>
  <c r="P291" i="13" s="1"/>
  <c r="Q291" i="13" s="1"/>
  <c r="N258" i="13"/>
  <c r="O258" i="13" s="1"/>
  <c r="P258" i="13" s="1"/>
  <c r="Q258" i="13" s="1"/>
  <c r="N204" i="13"/>
  <c r="O204" i="13" s="1"/>
  <c r="P204" i="13" s="1"/>
  <c r="Q204" i="13" s="1"/>
  <c r="N72" i="13"/>
  <c r="O72" i="13" s="1"/>
  <c r="P72" i="13" s="1"/>
  <c r="Q72" i="13" s="1"/>
  <c r="N56" i="13"/>
  <c r="O56" i="13" s="1"/>
  <c r="P56" i="13" s="1"/>
  <c r="Q56" i="13" s="1"/>
  <c r="N30" i="13"/>
  <c r="O30" i="13" s="1"/>
  <c r="P30" i="13" s="1"/>
  <c r="Q30" i="13" s="1"/>
  <c r="N175" i="13"/>
  <c r="O175" i="13" s="1"/>
  <c r="P175" i="13" s="1"/>
  <c r="Q175" i="13" s="1"/>
  <c r="N38" i="13"/>
  <c r="O38" i="13" s="1"/>
  <c r="P38" i="13" s="1"/>
  <c r="Q38" i="13" s="1"/>
  <c r="N274" i="13"/>
  <c r="O274" i="13" s="1"/>
  <c r="P274" i="13" s="1"/>
  <c r="Q274" i="13" s="1"/>
  <c r="N276" i="13"/>
  <c r="O276" i="13" s="1"/>
  <c r="P276" i="13" s="1"/>
  <c r="Q276" i="13" s="1"/>
  <c r="N265" i="13"/>
  <c r="O265" i="13" s="1"/>
  <c r="P265" i="13" s="1"/>
  <c r="Q265" i="13" s="1"/>
  <c r="N69" i="13"/>
  <c r="O69" i="13" s="1"/>
  <c r="P69" i="13" s="1"/>
  <c r="Q69" i="13" s="1"/>
  <c r="N193" i="13"/>
  <c r="O193" i="13" s="1"/>
  <c r="P193" i="13" s="1"/>
  <c r="Q193" i="13" s="1"/>
  <c r="N238" i="13"/>
  <c r="O238" i="13" s="1"/>
  <c r="P238" i="13" s="1"/>
  <c r="Q238" i="13" s="1"/>
  <c r="N292" i="13"/>
  <c r="O292" i="13" s="1"/>
  <c r="P292" i="13" s="1"/>
  <c r="Q292" i="13" s="1"/>
  <c r="N9" i="13"/>
  <c r="O9" i="13" s="1"/>
  <c r="P9" i="13" s="1"/>
  <c r="Q9" i="13" s="1"/>
  <c r="N237" i="13"/>
  <c r="O237" i="13" s="1"/>
  <c r="P237" i="13" s="1"/>
  <c r="Q237" i="13" s="1"/>
  <c r="N144" i="13"/>
  <c r="O144" i="13" s="1"/>
  <c r="P144" i="13" s="1"/>
  <c r="Q144" i="13" s="1"/>
  <c r="N261" i="13"/>
  <c r="O261" i="13" s="1"/>
  <c r="P261" i="13" s="1"/>
  <c r="Q261" i="13" s="1"/>
  <c r="N270" i="13"/>
  <c r="O270" i="13" s="1"/>
  <c r="P270" i="13" s="1"/>
  <c r="Q270" i="13" s="1"/>
  <c r="N113" i="13"/>
  <c r="O113" i="13" s="1"/>
  <c r="P113" i="13" s="1"/>
  <c r="Q113" i="13" s="1"/>
  <c r="N284" i="13"/>
  <c r="O284" i="13" s="1"/>
  <c r="P284" i="13" s="1"/>
  <c r="Q284" i="13" s="1"/>
  <c r="N47" i="13"/>
  <c r="O47" i="13" s="1"/>
  <c r="P47" i="13" s="1"/>
  <c r="Q47" i="13" s="1"/>
  <c r="N88" i="13"/>
  <c r="O88" i="13" s="1"/>
  <c r="P88" i="13" s="1"/>
  <c r="Q88" i="13" s="1"/>
  <c r="N37" i="13"/>
  <c r="O37" i="13" s="1"/>
  <c r="P37" i="13" s="1"/>
  <c r="Q37" i="13" s="1"/>
  <c r="N201" i="13"/>
  <c r="O201" i="13" s="1"/>
  <c r="P201" i="13" s="1"/>
  <c r="Q201" i="13" s="1"/>
  <c r="N189" i="13"/>
  <c r="O189" i="13" s="1"/>
  <c r="P189" i="13" s="1"/>
  <c r="Q189" i="13" s="1"/>
  <c r="N109" i="13"/>
  <c r="O109" i="13" s="1"/>
  <c r="P109" i="13" s="1"/>
  <c r="Q109" i="13" s="1"/>
  <c r="N7" i="13"/>
  <c r="O7" i="13" s="1"/>
  <c r="P7" i="13" s="1"/>
  <c r="Q7" i="13" s="1"/>
  <c r="N233" i="13"/>
  <c r="O233" i="13" s="1"/>
  <c r="P233" i="13" s="1"/>
  <c r="Q233" i="13" s="1"/>
  <c r="N152" i="13"/>
  <c r="O152" i="13" s="1"/>
  <c r="P152" i="13" s="1"/>
  <c r="Q152" i="13" s="1"/>
  <c r="N235" i="13"/>
  <c r="O235" i="13" s="1"/>
  <c r="P235" i="13" s="1"/>
  <c r="Q235" i="13" s="1"/>
  <c r="N269" i="13"/>
  <c r="O269" i="13" s="1"/>
  <c r="P269" i="13" s="1"/>
  <c r="Q269" i="13" s="1"/>
  <c r="N213" i="13"/>
  <c r="O213" i="13" s="1"/>
  <c r="P213" i="13" s="1"/>
  <c r="Q213" i="13" s="1"/>
  <c r="N230" i="13"/>
  <c r="O230" i="13" s="1"/>
  <c r="P230" i="13" s="1"/>
  <c r="Q230" i="13" s="1"/>
  <c r="N165" i="13"/>
  <c r="O165" i="13" s="1"/>
  <c r="P165" i="13" s="1"/>
  <c r="Q165" i="13" s="1"/>
  <c r="N173" i="13"/>
  <c r="O173" i="13" s="1"/>
  <c r="P173" i="13" s="1"/>
  <c r="Q173" i="13" s="1"/>
  <c r="N289" i="13"/>
  <c r="O289" i="13" s="1"/>
  <c r="P289" i="13" s="1"/>
  <c r="Q289" i="13" s="1"/>
  <c r="N123" i="13"/>
  <c r="O123" i="13" s="1"/>
  <c r="P123" i="13" s="1"/>
  <c r="Q123" i="13" s="1"/>
  <c r="N177" i="13"/>
  <c r="O177" i="13" s="1"/>
  <c r="P177" i="13" s="1"/>
  <c r="Q177" i="13" s="1"/>
  <c r="N114" i="13"/>
  <c r="O114" i="13" s="1"/>
  <c r="P114" i="13" s="1"/>
  <c r="Q114" i="13" s="1"/>
  <c r="N26" i="13"/>
  <c r="O26" i="13" s="1"/>
  <c r="P26" i="13" s="1"/>
  <c r="Q26" i="13" s="1"/>
  <c r="N248" i="13"/>
  <c r="O248" i="13" s="1"/>
  <c r="P248" i="13" s="1"/>
  <c r="Q248" i="13" s="1"/>
  <c r="N68" i="13"/>
  <c r="O68" i="13" s="1"/>
  <c r="P68" i="13" s="1"/>
  <c r="Q68" i="13" s="1"/>
  <c r="N55" i="13"/>
  <c r="O55" i="13" s="1"/>
  <c r="P55" i="13" s="1"/>
  <c r="Q55" i="13" s="1"/>
  <c r="N89" i="13"/>
  <c r="O89" i="13" s="1"/>
  <c r="P89" i="13" s="1"/>
  <c r="Q89" i="13" s="1"/>
  <c r="K89" i="25" s="1"/>
  <c r="N309" i="13"/>
  <c r="O309" i="13" s="1"/>
  <c r="P309" i="13" s="1"/>
  <c r="Q309" i="13" s="1"/>
  <c r="N43" i="13"/>
  <c r="O43" i="13" s="1"/>
  <c r="P43" i="13" s="1"/>
  <c r="Q43" i="13" s="1"/>
  <c r="N171" i="13"/>
  <c r="O171" i="13" s="1"/>
  <c r="P171" i="13" s="1"/>
  <c r="Q171" i="13" s="1"/>
  <c r="N288" i="13"/>
  <c r="O288" i="13" s="1"/>
  <c r="P288" i="13" s="1"/>
  <c r="Q288" i="13" s="1"/>
  <c r="N64" i="13"/>
  <c r="O64" i="13" s="1"/>
  <c r="P64" i="13" s="1"/>
  <c r="Q64" i="13" s="1"/>
  <c r="N191" i="13"/>
  <c r="O191" i="13" s="1"/>
  <c r="P191" i="13" s="1"/>
  <c r="Q191" i="13" s="1"/>
  <c r="N115" i="13"/>
  <c r="O115" i="13" s="1"/>
  <c r="P115" i="13" s="1"/>
  <c r="Q115" i="13" s="1"/>
  <c r="N83" i="13"/>
  <c r="O83" i="13" s="1"/>
  <c r="P83" i="13" s="1"/>
  <c r="Q83" i="13" s="1"/>
  <c r="N297" i="13"/>
  <c r="O297" i="13" s="1"/>
  <c r="P297" i="13" s="1"/>
  <c r="Q297" i="13" s="1"/>
  <c r="N124" i="13"/>
  <c r="O124" i="13" s="1"/>
  <c r="P124" i="13" s="1"/>
  <c r="Q124" i="13" s="1"/>
  <c r="N103" i="13"/>
  <c r="O103" i="13" s="1"/>
  <c r="P103" i="13" s="1"/>
  <c r="Q103" i="13" s="1"/>
  <c r="N262" i="13"/>
  <c r="O262" i="13" s="1"/>
  <c r="P262" i="13" s="1"/>
  <c r="Q262" i="13" s="1"/>
  <c r="N234" i="13"/>
  <c r="O234" i="13" s="1"/>
  <c r="P234" i="13" s="1"/>
  <c r="Q234" i="13" s="1"/>
  <c r="N225" i="13"/>
  <c r="O225" i="13" s="1"/>
  <c r="P225" i="13" s="1"/>
  <c r="Q225" i="13" s="1"/>
  <c r="N239" i="13"/>
  <c r="O239" i="13" s="1"/>
  <c r="P239" i="13" s="1"/>
  <c r="Q239" i="13" s="1"/>
  <c r="N135" i="13"/>
  <c r="O135" i="13" s="1"/>
  <c r="P135" i="13" s="1"/>
  <c r="Q135" i="13" s="1"/>
  <c r="N220" i="13"/>
  <c r="O220" i="13" s="1"/>
  <c r="P220" i="13" s="1"/>
  <c r="Q220" i="13" s="1"/>
  <c r="N78" i="13"/>
  <c r="O78" i="13" s="1"/>
  <c r="P78" i="13" s="1"/>
  <c r="Q78" i="13" s="1"/>
  <c r="N24" i="13"/>
  <c r="O24" i="13" s="1"/>
  <c r="P24" i="13" s="1"/>
  <c r="Q24" i="13" s="1"/>
  <c r="N62" i="13"/>
  <c r="O62" i="13" s="1"/>
  <c r="P62" i="13" s="1"/>
  <c r="Q62" i="13" s="1"/>
  <c r="N216" i="13"/>
  <c r="O216" i="13" s="1"/>
  <c r="P216" i="13" s="1"/>
  <c r="Q216" i="13" s="1"/>
  <c r="N304" i="13"/>
  <c r="O304" i="13" s="1"/>
  <c r="P304" i="13" s="1"/>
  <c r="Q304" i="13" s="1"/>
  <c r="N106" i="13"/>
  <c r="O106" i="13" s="1"/>
  <c r="P106" i="13" s="1"/>
  <c r="Q106" i="13" s="1"/>
  <c r="N60" i="13"/>
  <c r="O60" i="13" s="1"/>
  <c r="P60" i="13" s="1"/>
  <c r="Q60" i="13" s="1"/>
  <c r="N14" i="13"/>
  <c r="O14" i="13" s="1"/>
  <c r="P14" i="13" s="1"/>
  <c r="Q14" i="13" s="1"/>
  <c r="N222" i="13"/>
  <c r="O222" i="13" s="1"/>
  <c r="P222" i="13" s="1"/>
  <c r="Q222" i="13" s="1"/>
  <c r="N203" i="13"/>
  <c r="O203" i="13" s="1"/>
  <c r="P203" i="13" s="1"/>
  <c r="Q203" i="13" s="1"/>
  <c r="N285" i="13"/>
  <c r="O285" i="13" s="1"/>
  <c r="P285" i="13" s="1"/>
  <c r="Q285" i="13" s="1"/>
  <c r="N295" i="13"/>
  <c r="O295" i="13" s="1"/>
  <c r="P295" i="13" s="1"/>
  <c r="Q295" i="13" s="1"/>
  <c r="N132" i="13"/>
  <c r="O132" i="13" s="1"/>
  <c r="P132" i="13" s="1"/>
  <c r="Q132" i="13" s="1"/>
  <c r="N40" i="13"/>
  <c r="O40" i="13" s="1"/>
  <c r="P40" i="13" s="1"/>
  <c r="Q40" i="13" s="1"/>
  <c r="N129" i="13"/>
  <c r="O129" i="13" s="1"/>
  <c r="P129" i="13" s="1"/>
  <c r="Q129" i="13" s="1"/>
  <c r="N247" i="13"/>
  <c r="O247" i="13" s="1"/>
  <c r="P247" i="13" s="1"/>
  <c r="Q247" i="13" s="1"/>
  <c r="N264" i="13"/>
  <c r="O264" i="13" s="1"/>
  <c r="P264" i="13" s="1"/>
  <c r="Q264" i="13" s="1"/>
  <c r="N150" i="13"/>
  <c r="O150" i="13" s="1"/>
  <c r="P150" i="13" s="1"/>
  <c r="Q150" i="13" s="1"/>
  <c r="N65" i="13"/>
  <c r="O65" i="13" s="1"/>
  <c r="P65" i="13" s="1"/>
  <c r="Q65" i="13" s="1"/>
  <c r="N27" i="13"/>
  <c r="O27" i="13" s="1"/>
  <c r="P27" i="13" s="1"/>
  <c r="Q27" i="13" s="1"/>
  <c r="N162" i="13"/>
  <c r="O162" i="13" s="1"/>
  <c r="P162" i="13" s="1"/>
  <c r="Q162" i="13" s="1"/>
  <c r="K162" i="25" s="1"/>
  <c r="N34" i="13"/>
  <c r="O34" i="13" s="1"/>
  <c r="P34" i="13" s="1"/>
  <c r="Q34" i="13" s="1"/>
  <c r="N79" i="13"/>
  <c r="O79" i="13" s="1"/>
  <c r="P79" i="13" s="1"/>
  <c r="Q79" i="13" s="1"/>
  <c r="N229" i="13"/>
  <c r="O229" i="13" s="1"/>
  <c r="P229" i="13" s="1"/>
  <c r="Q229" i="13" s="1"/>
  <c r="N312" i="13"/>
  <c r="O312" i="13" s="1"/>
  <c r="P312" i="13" s="1"/>
  <c r="Q312" i="13" s="1"/>
  <c r="N192" i="13"/>
  <c r="O192" i="13" s="1"/>
  <c r="P192" i="13" s="1"/>
  <c r="Q192" i="13" s="1"/>
  <c r="N131" i="13"/>
  <c r="O131" i="13" s="1"/>
  <c r="P131" i="13" s="1"/>
  <c r="Q131" i="13" s="1"/>
  <c r="N299" i="13"/>
  <c r="O299" i="13" s="1"/>
  <c r="P299" i="13" s="1"/>
  <c r="Q299" i="13" s="1"/>
  <c r="N119" i="13"/>
  <c r="O119" i="13" s="1"/>
  <c r="P119" i="13" s="1"/>
  <c r="Q119" i="13" s="1"/>
  <c r="N251" i="13"/>
  <c r="O251" i="13" s="1"/>
  <c r="P251" i="13" s="1"/>
  <c r="Q251" i="13" s="1"/>
  <c r="N29" i="13"/>
  <c r="O29" i="13" s="1"/>
  <c r="P29" i="13" s="1"/>
  <c r="Q29" i="13" s="1"/>
  <c r="N194" i="13"/>
  <c r="O194" i="13" s="1"/>
  <c r="P194" i="13" s="1"/>
  <c r="Q194" i="13" s="1"/>
  <c r="N253" i="13"/>
  <c r="O253" i="13" s="1"/>
  <c r="P253" i="13" s="1"/>
  <c r="Q253" i="13" s="1"/>
  <c r="K253" i="25" s="1"/>
  <c r="N169" i="13"/>
  <c r="O169" i="13" s="1"/>
  <c r="P169" i="13" s="1"/>
  <c r="Q169" i="13" s="1"/>
  <c r="N243" i="13"/>
  <c r="O243" i="13" s="1"/>
  <c r="P243" i="13" s="1"/>
  <c r="Q243" i="13" s="1"/>
  <c r="N218" i="13"/>
  <c r="O218" i="13" s="1"/>
  <c r="D10" i="34"/>
  <c r="D11" i="34" s="1"/>
  <c r="E313" i="12" l="1"/>
  <c r="G313" i="12" s="1"/>
  <c r="H313" i="12" s="1"/>
  <c r="N268" i="13"/>
  <c r="O268" i="13" s="1"/>
  <c r="P268" i="13" s="1"/>
  <c r="Q268" i="13" s="1"/>
  <c r="K268" i="25" s="1"/>
  <c r="N82" i="13"/>
  <c r="O82" i="13" s="1"/>
  <c r="P82" i="13" s="1"/>
  <c r="Q82" i="13" s="1"/>
  <c r="K82" i="25" s="1"/>
  <c r="L82" i="25" s="1"/>
  <c r="N82" i="25" s="1"/>
  <c r="N272" i="13"/>
  <c r="O272" i="13" s="1"/>
  <c r="P272" i="13" s="1"/>
  <c r="Q272" i="13" s="1"/>
  <c r="K272" i="25" s="1"/>
  <c r="N101" i="13"/>
  <c r="O101" i="13" s="1"/>
  <c r="P101" i="13" s="1"/>
  <c r="Q101" i="13" s="1"/>
  <c r="K101" i="25" s="1"/>
  <c r="N290" i="13"/>
  <c r="O290" i="13" s="1"/>
  <c r="P290" i="13" s="1"/>
  <c r="Q290" i="13" s="1"/>
  <c r="K290" i="25" s="1"/>
  <c r="R67" i="13"/>
  <c r="S67" i="13" s="1"/>
  <c r="K5" i="12"/>
  <c r="J313" i="39"/>
  <c r="I314" i="25" s="1"/>
  <c r="E38" i="48"/>
  <c r="R231" i="13"/>
  <c r="S231" i="13" s="1"/>
  <c r="R146" i="13"/>
  <c r="S146" i="13" s="1"/>
  <c r="I6" i="25"/>
  <c r="R44" i="13"/>
  <c r="S44" i="13" s="1"/>
  <c r="R143" i="13"/>
  <c r="S143" i="13" s="1"/>
  <c r="R86" i="13"/>
  <c r="S86" i="13" s="1"/>
  <c r="R305" i="13"/>
  <c r="S305" i="13" s="1"/>
  <c r="R208" i="13"/>
  <c r="S208" i="13" s="1"/>
  <c r="R94" i="13"/>
  <c r="S94" i="13" s="1"/>
  <c r="R267" i="13"/>
  <c r="S267" i="13" s="1"/>
  <c r="R266" i="13"/>
  <c r="S266" i="13" s="1"/>
  <c r="R283" i="13"/>
  <c r="S283" i="13" s="1"/>
  <c r="R126" i="13"/>
  <c r="S126" i="13" s="1"/>
  <c r="R219" i="13"/>
  <c r="S219" i="13" s="1"/>
  <c r="O190" i="13"/>
  <c r="P190" i="13" s="1"/>
  <c r="Q190" i="13" s="1"/>
  <c r="K190" i="25" s="1"/>
  <c r="L94" i="25"/>
  <c r="N94" i="25" s="1"/>
  <c r="L256" i="25"/>
  <c r="N256" i="25" s="1"/>
  <c r="L271" i="25"/>
  <c r="N271" i="25" s="1"/>
  <c r="L73" i="25"/>
  <c r="N73" i="25" s="1"/>
  <c r="L163" i="25"/>
  <c r="N163" i="25" s="1"/>
  <c r="L283" i="25"/>
  <c r="N283" i="25" s="1"/>
  <c r="L157" i="25"/>
  <c r="N157" i="25" s="1"/>
  <c r="L253" i="25"/>
  <c r="N253" i="25" s="1"/>
  <c r="L231" i="25"/>
  <c r="N231" i="25" s="1"/>
  <c r="L90" i="25"/>
  <c r="N90" i="25" s="1"/>
  <c r="L275" i="25"/>
  <c r="N275" i="25" s="1"/>
  <c r="L147" i="25"/>
  <c r="N147" i="25" s="1"/>
  <c r="L49" i="25"/>
  <c r="N49" i="25" s="1"/>
  <c r="L282" i="25"/>
  <c r="N282" i="25" s="1"/>
  <c r="L306" i="25"/>
  <c r="N306" i="25" s="1"/>
  <c r="L174" i="25"/>
  <c r="N174" i="25" s="1"/>
  <c r="L159" i="25"/>
  <c r="N159" i="25" s="1"/>
  <c r="L296" i="25"/>
  <c r="N296" i="25" s="1"/>
  <c r="L162" i="25"/>
  <c r="N162" i="25" s="1"/>
  <c r="L86" i="25"/>
  <c r="N86" i="25" s="1"/>
  <c r="L188" i="25"/>
  <c r="N188" i="25" s="1"/>
  <c r="L58" i="25"/>
  <c r="N58" i="25" s="1"/>
  <c r="L236" i="25"/>
  <c r="N236" i="25" s="1"/>
  <c r="L57" i="25"/>
  <c r="N57" i="25" s="1"/>
  <c r="L215" i="25"/>
  <c r="N215" i="25" s="1"/>
  <c r="L97" i="25"/>
  <c r="N97" i="25" s="1"/>
  <c r="L259" i="25"/>
  <c r="N259" i="25" s="1"/>
  <c r="L67" i="25"/>
  <c r="N67" i="25" s="1"/>
  <c r="L252" i="25"/>
  <c r="N252" i="25" s="1"/>
  <c r="L310" i="25"/>
  <c r="N310" i="25" s="1"/>
  <c r="L139" i="25"/>
  <c r="N139" i="25" s="1"/>
  <c r="L99" i="25"/>
  <c r="N99" i="25" s="1"/>
  <c r="L18" i="25"/>
  <c r="N18" i="25" s="1"/>
  <c r="L208" i="25"/>
  <c r="N208" i="25" s="1"/>
  <c r="L89" i="25"/>
  <c r="N89" i="25" s="1"/>
  <c r="L138" i="25"/>
  <c r="N138" i="25" s="1"/>
  <c r="L273" i="25"/>
  <c r="N273" i="25" s="1"/>
  <c r="L308" i="25"/>
  <c r="N308" i="25" s="1"/>
  <c r="L232" i="25"/>
  <c r="N232" i="25" s="1"/>
  <c r="L164" i="25"/>
  <c r="N164" i="25" s="1"/>
  <c r="L126" i="25"/>
  <c r="N126" i="25" s="1"/>
  <c r="L267" i="25"/>
  <c r="N267" i="25" s="1"/>
  <c r="L143" i="25"/>
  <c r="N143" i="25" s="1"/>
  <c r="L71" i="25"/>
  <c r="N71" i="25" s="1"/>
  <c r="L117" i="25"/>
  <c r="N117" i="25" s="1"/>
  <c r="L53" i="25"/>
  <c r="N53" i="25" s="1"/>
  <c r="L39" i="25"/>
  <c r="N39" i="25" s="1"/>
  <c r="L301" i="25"/>
  <c r="N301" i="25" s="1"/>
  <c r="L303" i="25"/>
  <c r="N303" i="25" s="1"/>
  <c r="L263" i="25"/>
  <c r="N263" i="25" s="1"/>
  <c r="L302" i="25"/>
  <c r="N302" i="25" s="1"/>
  <c r="L277" i="25"/>
  <c r="N277" i="25" s="1"/>
  <c r="L196" i="25"/>
  <c r="N196" i="25" s="1"/>
  <c r="L166" i="25"/>
  <c r="N166" i="25" s="1"/>
  <c r="L167" i="25"/>
  <c r="N167" i="25" s="1"/>
  <c r="L227" i="25"/>
  <c r="N227" i="25" s="1"/>
  <c r="L21" i="25"/>
  <c r="N21" i="25" s="1"/>
  <c r="L61" i="25"/>
  <c r="N61" i="25" s="1"/>
  <c r="L221" i="25"/>
  <c r="N221" i="25" s="1"/>
  <c r="L17" i="25"/>
  <c r="N17" i="25" s="1"/>
  <c r="L154" i="25"/>
  <c r="N154" i="25" s="1"/>
  <c r="L257" i="25"/>
  <c r="N257" i="25" s="1"/>
  <c r="L45" i="25"/>
  <c r="N45" i="25" s="1"/>
  <c r="L100" i="25"/>
  <c r="N100" i="25" s="1"/>
  <c r="L187" i="25"/>
  <c r="N187" i="25" s="1"/>
  <c r="L146" i="25"/>
  <c r="N146" i="25" s="1"/>
  <c r="L266" i="25"/>
  <c r="N266" i="25" s="1"/>
  <c r="L44" i="25"/>
  <c r="N44" i="25" s="1"/>
  <c r="L28" i="25"/>
  <c r="N28" i="25" s="1"/>
  <c r="L142" i="25"/>
  <c r="N142" i="25" s="1"/>
  <c r="L87" i="25"/>
  <c r="N87" i="25" s="1"/>
  <c r="L112" i="25"/>
  <c r="N112" i="25" s="1"/>
  <c r="L22" i="25"/>
  <c r="N22" i="25" s="1"/>
  <c r="L63" i="25"/>
  <c r="N63" i="25" s="1"/>
  <c r="L41" i="25"/>
  <c r="N41" i="25" s="1"/>
  <c r="L199" i="25"/>
  <c r="N199" i="25" s="1"/>
  <c r="L286" i="25"/>
  <c r="N286" i="25" s="1"/>
  <c r="L50" i="25"/>
  <c r="N50" i="25" s="1"/>
  <c r="L8" i="25"/>
  <c r="N8" i="25" s="1"/>
  <c r="L305" i="25"/>
  <c r="N305" i="25" s="1"/>
  <c r="L19" i="25"/>
  <c r="N19" i="25" s="1"/>
  <c r="L25" i="25"/>
  <c r="N25" i="25" s="1"/>
  <c r="L20" i="25"/>
  <c r="N20" i="25" s="1"/>
  <c r="L178" i="25"/>
  <c r="N178" i="25" s="1"/>
  <c r="L92" i="25"/>
  <c r="N92" i="25" s="1"/>
  <c r="L202" i="25"/>
  <c r="N202" i="25" s="1"/>
  <c r="L219" i="25"/>
  <c r="N219" i="25" s="1"/>
  <c r="L160" i="25"/>
  <c r="N160" i="25" s="1"/>
  <c r="L95" i="25"/>
  <c r="N95" i="25" s="1"/>
  <c r="L105" i="25"/>
  <c r="N105" i="25" s="1"/>
  <c r="L96" i="25"/>
  <c r="N96" i="25" s="1"/>
  <c r="L226" i="25"/>
  <c r="N226" i="25" s="1"/>
  <c r="L91" i="25"/>
  <c r="N91" i="25" s="1"/>
  <c r="L246" i="25"/>
  <c r="N246" i="25" s="1"/>
  <c r="L279" i="25"/>
  <c r="N279" i="25" s="1"/>
  <c r="L186" i="25"/>
  <c r="N186" i="25" s="1"/>
  <c r="L120" i="25"/>
  <c r="N120" i="25" s="1"/>
  <c r="R302" i="13"/>
  <c r="S302" i="13" s="1"/>
  <c r="R8" i="13"/>
  <c r="S8" i="13" s="1"/>
  <c r="R277" i="13"/>
  <c r="S277" i="13" s="1"/>
  <c r="R92" i="13"/>
  <c r="S92" i="13" s="1"/>
  <c r="R303" i="13"/>
  <c r="S303" i="13" s="1"/>
  <c r="R166" i="13"/>
  <c r="S166" i="13" s="1"/>
  <c r="R196" i="13"/>
  <c r="S196" i="13" s="1"/>
  <c r="R308" i="13"/>
  <c r="S308" i="13" s="1"/>
  <c r="R164" i="13"/>
  <c r="S164" i="13" s="1"/>
  <c r="R259" i="13"/>
  <c r="S259" i="13" s="1"/>
  <c r="R57" i="13"/>
  <c r="S57" i="13" s="1"/>
  <c r="R232" i="13"/>
  <c r="S232" i="13" s="1"/>
  <c r="R139" i="13"/>
  <c r="S139" i="13" s="1"/>
  <c r="R163" i="13"/>
  <c r="S163" i="13" s="1"/>
  <c r="R95" i="13"/>
  <c r="S95" i="13" s="1"/>
  <c r="R18" i="13"/>
  <c r="S18" i="13" s="1"/>
  <c r="R187" i="13"/>
  <c r="S187" i="13" s="1"/>
  <c r="R236" i="13"/>
  <c r="S236" i="13" s="1"/>
  <c r="R284" i="13"/>
  <c r="S284" i="13" s="1"/>
  <c r="R123" i="13"/>
  <c r="S123" i="13" s="1"/>
  <c r="R304" i="13"/>
  <c r="S304" i="13" s="1"/>
  <c r="R186" i="13"/>
  <c r="S186" i="13" s="1"/>
  <c r="R227" i="13"/>
  <c r="S227" i="13" s="1"/>
  <c r="R296" i="13"/>
  <c r="S296" i="13" s="1"/>
  <c r="R226" i="13"/>
  <c r="S226" i="13" s="1"/>
  <c r="R174" i="13"/>
  <c r="S174" i="13" s="1"/>
  <c r="R97" i="13"/>
  <c r="S97" i="13" s="1"/>
  <c r="R151" i="13"/>
  <c r="S151" i="13" s="1"/>
  <c r="R90" i="13"/>
  <c r="S90" i="13" s="1"/>
  <c r="R310" i="13"/>
  <c r="S310" i="13" s="1"/>
  <c r="R73" i="13"/>
  <c r="S73" i="13" s="1"/>
  <c r="R120" i="13"/>
  <c r="S120" i="13" s="1"/>
  <c r="R17" i="13"/>
  <c r="S17" i="13" s="1"/>
  <c r="R28" i="13"/>
  <c r="S28" i="13" s="1"/>
  <c r="R159" i="13"/>
  <c r="S159" i="13" s="1"/>
  <c r="R99" i="13"/>
  <c r="S99" i="13" s="1"/>
  <c r="R237" i="13"/>
  <c r="S237" i="13" s="1"/>
  <c r="R221" i="13"/>
  <c r="S221" i="13" s="1"/>
  <c r="R286" i="13"/>
  <c r="S286" i="13" s="1"/>
  <c r="R55" i="13"/>
  <c r="S55" i="13" s="1"/>
  <c r="R246" i="13"/>
  <c r="S246" i="13" s="1"/>
  <c r="R301" i="13"/>
  <c r="S301" i="13" s="1"/>
  <c r="R112" i="13"/>
  <c r="S112" i="13" s="1"/>
  <c r="R50" i="13"/>
  <c r="S50" i="13" s="1"/>
  <c r="R279" i="13"/>
  <c r="S279" i="13" s="1"/>
  <c r="R191" i="13"/>
  <c r="S191" i="13" s="1"/>
  <c r="R106" i="13"/>
  <c r="S106" i="13" s="1"/>
  <c r="R263" i="13"/>
  <c r="S263" i="13" s="1"/>
  <c r="R87" i="13"/>
  <c r="S87" i="13" s="1"/>
  <c r="R69" i="13"/>
  <c r="S69" i="13" s="1"/>
  <c r="R282" i="13"/>
  <c r="S282" i="13" s="1"/>
  <c r="R58" i="13"/>
  <c r="S58" i="13" s="1"/>
  <c r="R31" i="13"/>
  <c r="S31" i="13" s="1"/>
  <c r="R9" i="13"/>
  <c r="S9" i="13" s="1"/>
  <c r="R63" i="13"/>
  <c r="S63" i="13" s="1"/>
  <c r="R215" i="13"/>
  <c r="S215" i="13" s="1"/>
  <c r="R173" i="13"/>
  <c r="S173" i="13" s="1"/>
  <c r="R142" i="13"/>
  <c r="S142" i="13" s="1"/>
  <c r="R188" i="13"/>
  <c r="S188" i="13" s="1"/>
  <c r="R49" i="13"/>
  <c r="S49" i="13" s="1"/>
  <c r="R145" i="13"/>
  <c r="S145" i="13" s="1"/>
  <c r="R41" i="13"/>
  <c r="S41" i="13" s="1"/>
  <c r="R22" i="13"/>
  <c r="S22" i="13" s="1"/>
  <c r="R51" i="13"/>
  <c r="S51" i="13" s="1"/>
  <c r="R306" i="13"/>
  <c r="S306" i="13" s="1"/>
  <c r="R199" i="13"/>
  <c r="S199" i="13" s="1"/>
  <c r="R149" i="13"/>
  <c r="S149" i="13" s="1"/>
  <c r="R273" i="13"/>
  <c r="S273" i="13" s="1"/>
  <c r="R131" i="13"/>
  <c r="S131" i="13" s="1"/>
  <c r="R167" i="13"/>
  <c r="S167" i="13" s="1"/>
  <c r="R91" i="13"/>
  <c r="S91" i="13" s="1"/>
  <c r="R114" i="13"/>
  <c r="S114" i="13" s="1"/>
  <c r="R100" i="13"/>
  <c r="S100" i="13" s="1"/>
  <c r="R129" i="13"/>
  <c r="S129" i="13" s="1"/>
  <c r="R96" i="13"/>
  <c r="S96" i="13" s="1"/>
  <c r="R297" i="13"/>
  <c r="S297" i="13" s="1"/>
  <c r="R216" i="13"/>
  <c r="S216" i="13" s="1"/>
  <c r="R256" i="13"/>
  <c r="S256" i="13" s="1"/>
  <c r="R295" i="13"/>
  <c r="S295" i="13" s="1"/>
  <c r="R105" i="13"/>
  <c r="S105" i="13" s="1"/>
  <c r="R134" i="13"/>
  <c r="S134" i="13" s="1"/>
  <c r="R19" i="13"/>
  <c r="S19" i="13" s="1"/>
  <c r="R189" i="13"/>
  <c r="S189" i="13" s="1"/>
  <c r="R193" i="13"/>
  <c r="S193" i="13" s="1"/>
  <c r="R154" i="13"/>
  <c r="S154" i="13" s="1"/>
  <c r="R251" i="13"/>
  <c r="S251" i="13" s="1"/>
  <c r="R138" i="13"/>
  <c r="S138" i="13" s="1"/>
  <c r="R25" i="13"/>
  <c r="S25" i="13" s="1"/>
  <c r="R249" i="13"/>
  <c r="S249" i="13" s="1"/>
  <c r="R285" i="13"/>
  <c r="S285" i="13" s="1"/>
  <c r="R271" i="13"/>
  <c r="S271" i="13" s="1"/>
  <c r="R276" i="13"/>
  <c r="S276" i="13" s="1"/>
  <c r="R253" i="13"/>
  <c r="S253" i="13" s="1"/>
  <c r="R245" i="13"/>
  <c r="S245" i="13" s="1"/>
  <c r="R61" i="13"/>
  <c r="S61" i="13" s="1"/>
  <c r="R252" i="13"/>
  <c r="S252" i="13" s="1"/>
  <c r="R158" i="13"/>
  <c r="S158" i="13" s="1"/>
  <c r="R39" i="13"/>
  <c r="S39" i="13" s="1"/>
  <c r="R71" i="13"/>
  <c r="S71" i="13" s="1"/>
  <c r="R264" i="13"/>
  <c r="S264" i="13" s="1"/>
  <c r="R38" i="13"/>
  <c r="S38" i="13" s="1"/>
  <c r="R122" i="13"/>
  <c r="S122" i="13" s="1"/>
  <c r="R115" i="13"/>
  <c r="S115" i="13" s="1"/>
  <c r="R20" i="13"/>
  <c r="S20" i="13" s="1"/>
  <c r="R109" i="13"/>
  <c r="S109" i="13" s="1"/>
  <c r="R157" i="13"/>
  <c r="S157" i="13" s="1"/>
  <c r="R247" i="13"/>
  <c r="S247" i="13" s="1"/>
  <c r="R53" i="13"/>
  <c r="S53" i="13" s="1"/>
  <c r="R152" i="13"/>
  <c r="S152" i="13" s="1"/>
  <c r="R89" i="13"/>
  <c r="S89" i="13" s="1"/>
  <c r="R160" i="13"/>
  <c r="S160" i="13" s="1"/>
  <c r="R21" i="13"/>
  <c r="S21" i="13" s="1"/>
  <c r="R27" i="13"/>
  <c r="S27" i="13" s="1"/>
  <c r="R265" i="13"/>
  <c r="S265" i="13" s="1"/>
  <c r="R45" i="13"/>
  <c r="S45" i="13" s="1"/>
  <c r="R261" i="13"/>
  <c r="S261" i="13" s="1"/>
  <c r="R230" i="13"/>
  <c r="S230" i="13" s="1"/>
  <c r="R202" i="13"/>
  <c r="S202" i="13" s="1"/>
  <c r="R47" i="13"/>
  <c r="S47" i="13" s="1"/>
  <c r="R275" i="13"/>
  <c r="S275" i="13" s="1"/>
  <c r="R238" i="13"/>
  <c r="S238" i="13" s="1"/>
  <c r="R203" i="13"/>
  <c r="S203" i="13" s="1"/>
  <c r="R257" i="13"/>
  <c r="S257" i="13" s="1"/>
  <c r="R147" i="13"/>
  <c r="S147" i="13" s="1"/>
  <c r="R117" i="13"/>
  <c r="S117" i="13" s="1"/>
  <c r="R270" i="13"/>
  <c r="S270" i="13" s="1"/>
  <c r="R178" i="13"/>
  <c r="S178" i="13" s="1"/>
  <c r="K121" i="25"/>
  <c r="K64" i="25"/>
  <c r="K258" i="25"/>
  <c r="K288" i="25"/>
  <c r="K78" i="25"/>
  <c r="K14" i="25"/>
  <c r="K309" i="25"/>
  <c r="K79" i="25"/>
  <c r="K56" i="25"/>
  <c r="K43" i="25"/>
  <c r="K37" i="25"/>
  <c r="K269" i="25"/>
  <c r="K239" i="25"/>
  <c r="K144" i="25"/>
  <c r="K98" i="25"/>
  <c r="K111" i="25"/>
  <c r="K104" i="25"/>
  <c r="K198" i="25"/>
  <c r="K130" i="25"/>
  <c r="K59" i="25"/>
  <c r="K133" i="25"/>
  <c r="K262" i="25"/>
  <c r="K52" i="25"/>
  <c r="K23" i="25"/>
  <c r="K242" i="25"/>
  <c r="K300" i="25"/>
  <c r="R150" i="13"/>
  <c r="S150" i="13" s="1"/>
  <c r="R274" i="13"/>
  <c r="S274" i="13" s="1"/>
  <c r="K173" i="25"/>
  <c r="K243" i="25"/>
  <c r="K29" i="25"/>
  <c r="K26" i="25"/>
  <c r="K177" i="25"/>
  <c r="K235" i="25"/>
  <c r="K237" i="25"/>
  <c r="K72" i="25"/>
  <c r="K213" i="25"/>
  <c r="K170" i="25"/>
  <c r="K161" i="25"/>
  <c r="K108" i="25"/>
  <c r="K184" i="25"/>
  <c r="K76" i="25"/>
  <c r="K307" i="25"/>
  <c r="R233" i="13"/>
  <c r="S233" i="13" s="1"/>
  <c r="K33" i="25"/>
  <c r="K32" i="25"/>
  <c r="K294" i="25"/>
  <c r="K185" i="25"/>
  <c r="K217" i="25"/>
  <c r="K191" i="25"/>
  <c r="R113" i="13"/>
  <c r="S113" i="13" s="1"/>
  <c r="K165" i="25"/>
  <c r="K10" i="25"/>
  <c r="R235" i="13"/>
  <c r="S235" i="13" s="1"/>
  <c r="K169" i="25"/>
  <c r="K251" i="25"/>
  <c r="K129" i="25"/>
  <c r="K123" i="25"/>
  <c r="K152" i="25"/>
  <c r="K189" i="25"/>
  <c r="K9" i="25"/>
  <c r="K276" i="25"/>
  <c r="K122" i="25"/>
  <c r="K149" i="25"/>
  <c r="K134" i="25"/>
  <c r="K244" i="25"/>
  <c r="K127" i="25"/>
  <c r="K153" i="25"/>
  <c r="K278" i="25"/>
  <c r="K299" i="25"/>
  <c r="K248" i="25"/>
  <c r="K228" i="25"/>
  <c r="K212" i="25"/>
  <c r="K36" i="25"/>
  <c r="K182" i="25"/>
  <c r="K107" i="25"/>
  <c r="K168" i="25"/>
  <c r="K74" i="25"/>
  <c r="K7" i="25"/>
  <c r="K150" i="25"/>
  <c r="K289" i="25"/>
  <c r="K270" i="25"/>
  <c r="K84" i="25"/>
  <c r="K15" i="25"/>
  <c r="K224" i="25"/>
  <c r="K312" i="25"/>
  <c r="K176" i="25"/>
  <c r="K70" i="25"/>
  <c r="K85" i="25"/>
  <c r="K313" i="25"/>
  <c r="K81" i="25"/>
  <c r="R192" i="13"/>
  <c r="S192" i="13" s="1"/>
  <c r="R248" i="13"/>
  <c r="S248" i="13" s="1"/>
  <c r="K255" i="25"/>
  <c r="R29" i="13"/>
  <c r="S29" i="13" s="1"/>
  <c r="K145" i="25"/>
  <c r="K132" i="25"/>
  <c r="K238" i="25"/>
  <c r="K281" i="25"/>
  <c r="K148" i="25"/>
  <c r="K195" i="25"/>
  <c r="K137" i="25"/>
  <c r="K293" i="25"/>
  <c r="K24" i="25"/>
  <c r="K234" i="25"/>
  <c r="R289" i="13"/>
  <c r="S289" i="13" s="1"/>
  <c r="K62" i="25"/>
  <c r="K141" i="25"/>
  <c r="K250" i="25"/>
  <c r="R84" i="13"/>
  <c r="S84" i="13" s="1"/>
  <c r="K287" i="25"/>
  <c r="K13" i="25"/>
  <c r="K183" i="25"/>
  <c r="K311" i="25"/>
  <c r="R194" i="13"/>
  <c r="S194" i="13" s="1"/>
  <c r="R119" i="13"/>
  <c r="S119" i="13" s="1"/>
  <c r="K128" i="25"/>
  <c r="R65" i="13"/>
  <c r="S65" i="13" s="1"/>
  <c r="K158" i="25"/>
  <c r="K209" i="25"/>
  <c r="R132" i="13"/>
  <c r="S132" i="13" s="1"/>
  <c r="K131" i="25"/>
  <c r="K27" i="25"/>
  <c r="K295" i="25"/>
  <c r="K47" i="25"/>
  <c r="K193" i="25"/>
  <c r="K51" i="25"/>
  <c r="K80" i="25"/>
  <c r="K291" i="25"/>
  <c r="K135" i="25"/>
  <c r="K171" i="25"/>
  <c r="K206" i="25"/>
  <c r="K292" i="25"/>
  <c r="K83" i="25"/>
  <c r="K222" i="25"/>
  <c r="K30" i="25"/>
  <c r="K220" i="25"/>
  <c r="K68" i="25"/>
  <c r="K93" i="25"/>
  <c r="K118" i="25"/>
  <c r="K102" i="25"/>
  <c r="K204" i="25"/>
  <c r="K211" i="25"/>
  <c r="K260" i="25"/>
  <c r="K119" i="25"/>
  <c r="K106" i="25"/>
  <c r="K233" i="25"/>
  <c r="K274" i="25"/>
  <c r="K16" i="25"/>
  <c r="K264" i="25"/>
  <c r="K124" i="25"/>
  <c r="K200" i="25"/>
  <c r="K46" i="25"/>
  <c r="K240" i="25"/>
  <c r="K103" i="25"/>
  <c r="K156" i="25"/>
  <c r="K181" i="25"/>
  <c r="K75" i="25"/>
  <c r="R299" i="13"/>
  <c r="S299" i="13" s="1"/>
  <c r="R162" i="13"/>
  <c r="S162" i="13" s="1"/>
  <c r="R26" i="13"/>
  <c r="S26" i="13" s="1"/>
  <c r="K285" i="25"/>
  <c r="K115" i="25"/>
  <c r="K55" i="25"/>
  <c r="K230" i="25"/>
  <c r="K69" i="25"/>
  <c r="K38" i="25"/>
  <c r="K229" i="25"/>
  <c r="K125" i="25"/>
  <c r="K77" i="25"/>
  <c r="K179" i="25"/>
  <c r="K31" i="25"/>
  <c r="K175" i="25"/>
  <c r="K194" i="25"/>
  <c r="K192" i="25"/>
  <c r="K65" i="25"/>
  <c r="K113" i="25"/>
  <c r="K88" i="25"/>
  <c r="K280" i="25"/>
  <c r="K116" i="25"/>
  <c r="K140" i="25"/>
  <c r="K136" i="25"/>
  <c r="K35" i="25"/>
  <c r="K223" i="25"/>
  <c r="K249" i="25"/>
  <c r="K216" i="25"/>
  <c r="K40" i="25"/>
  <c r="K245" i="25"/>
  <c r="K210" i="25"/>
  <c r="K172" i="25"/>
  <c r="K155" i="25"/>
  <c r="K298" i="25"/>
  <c r="K225" i="25"/>
  <c r="K12" i="25"/>
  <c r="R30" i="13"/>
  <c r="S30" i="13" s="1"/>
  <c r="K304" i="25"/>
  <c r="K114" i="25"/>
  <c r="K254" i="25"/>
  <c r="K34" i="25"/>
  <c r="K205" i="25"/>
  <c r="K11" i="25"/>
  <c r="K197" i="25"/>
  <c r="K180" i="25"/>
  <c r="K66" i="25"/>
  <c r="K54" i="25"/>
  <c r="K214" i="25"/>
  <c r="R40" i="13"/>
  <c r="S40" i="13" s="1"/>
  <c r="K241" i="25"/>
  <c r="K42" i="25"/>
  <c r="K48" i="25"/>
  <c r="K207" i="25"/>
  <c r="K110" i="25"/>
  <c r="R222" i="13"/>
  <c r="S222" i="13" s="1"/>
  <c r="R124" i="13"/>
  <c r="S124" i="13" s="1"/>
  <c r="K60" i="25"/>
  <c r="R177" i="13"/>
  <c r="S177" i="13" s="1"/>
  <c r="K151" i="25"/>
  <c r="K201" i="25"/>
  <c r="K247" i="25"/>
  <c r="K203" i="25"/>
  <c r="K297" i="25"/>
  <c r="K109" i="25"/>
  <c r="K284" i="25"/>
  <c r="K261" i="25"/>
  <c r="K265" i="25"/>
  <c r="R243" i="13"/>
  <c r="S243" i="13" s="1"/>
  <c r="P218" i="13"/>
  <c r="Q218" i="13" s="1"/>
  <c r="R169" i="13"/>
  <c r="S169" i="13" s="1"/>
  <c r="R141" i="13"/>
  <c r="S141" i="13" s="1"/>
  <c r="R300" i="13"/>
  <c r="S300" i="13" s="1"/>
  <c r="R220" i="13"/>
  <c r="S220" i="13" s="1"/>
  <c r="R62" i="13"/>
  <c r="S62" i="13" s="1"/>
  <c r="R75" i="13"/>
  <c r="S75" i="13" s="1"/>
  <c r="R110" i="13"/>
  <c r="S110" i="13" s="1"/>
  <c r="R35" i="13"/>
  <c r="S35" i="13" s="1"/>
  <c r="R93" i="13"/>
  <c r="S93" i="13" s="1"/>
  <c r="R72" i="13"/>
  <c r="S72" i="13" s="1"/>
  <c r="R180" i="13"/>
  <c r="S180" i="13" s="1"/>
  <c r="R98" i="13"/>
  <c r="S98" i="13" s="1"/>
  <c r="R108" i="13"/>
  <c r="S108" i="13" s="1"/>
  <c r="R42" i="13"/>
  <c r="S42" i="13" s="1"/>
  <c r="R16" i="13"/>
  <c r="S16" i="13" s="1"/>
  <c r="R172" i="13"/>
  <c r="S172" i="13" s="1"/>
  <c r="R293" i="13"/>
  <c r="S293" i="13" s="1"/>
  <c r="R224" i="13"/>
  <c r="S224" i="13" s="1"/>
  <c r="R281" i="13"/>
  <c r="S281" i="13" s="1"/>
  <c r="R78" i="13"/>
  <c r="S78" i="13" s="1"/>
  <c r="R307" i="13"/>
  <c r="S307" i="13" s="1"/>
  <c r="R183" i="13"/>
  <c r="S183" i="13" s="1"/>
  <c r="R23" i="13"/>
  <c r="S23" i="13" s="1"/>
  <c r="R260" i="13"/>
  <c r="S260" i="13" s="1"/>
  <c r="R288" i="13"/>
  <c r="S288" i="13" s="1"/>
  <c r="R214" i="13"/>
  <c r="S214" i="13" s="1"/>
  <c r="R121" i="13"/>
  <c r="S121" i="13" s="1"/>
  <c r="R144" i="13"/>
  <c r="S144" i="13" s="1"/>
  <c r="R52" i="13"/>
  <c r="S52" i="13" s="1"/>
  <c r="R211" i="13"/>
  <c r="S211" i="13" s="1"/>
  <c r="R255" i="13"/>
  <c r="S255" i="13" s="1"/>
  <c r="R229" i="13"/>
  <c r="S229" i="13" s="1"/>
  <c r="R198" i="13"/>
  <c r="S198" i="13" s="1"/>
  <c r="R48" i="13"/>
  <c r="S48" i="13" s="1"/>
  <c r="R179" i="13"/>
  <c r="S179" i="13" s="1"/>
  <c r="R242" i="13"/>
  <c r="S242" i="13" s="1"/>
  <c r="R201" i="13"/>
  <c r="S201" i="13" s="1"/>
  <c r="R7" i="13"/>
  <c r="S7" i="13" s="1"/>
  <c r="R107" i="13"/>
  <c r="S107" i="13" s="1"/>
  <c r="R136" i="13"/>
  <c r="S136" i="13" s="1"/>
  <c r="R278" i="13"/>
  <c r="S278" i="13" s="1"/>
  <c r="R14" i="13"/>
  <c r="S14" i="13" s="1"/>
  <c r="R81" i="13"/>
  <c r="S81" i="13" s="1"/>
  <c r="R217" i="13"/>
  <c r="S217" i="13" s="1"/>
  <c r="R165" i="13"/>
  <c r="S165" i="13" s="1"/>
  <c r="R209" i="13"/>
  <c r="S209" i="13" s="1"/>
  <c r="R10" i="13"/>
  <c r="S10" i="13" s="1"/>
  <c r="R15" i="13"/>
  <c r="S15" i="13" s="1"/>
  <c r="R36" i="13"/>
  <c r="S36" i="13" s="1"/>
  <c r="R170" i="13"/>
  <c r="S170" i="13" s="1"/>
  <c r="R244" i="13"/>
  <c r="S244" i="13" s="1"/>
  <c r="R258" i="13"/>
  <c r="S258" i="13" s="1"/>
  <c r="R135" i="13"/>
  <c r="S135" i="13" s="1"/>
  <c r="R76" i="13"/>
  <c r="S76" i="13" s="1"/>
  <c r="R250" i="13"/>
  <c r="S250" i="13" s="1"/>
  <c r="R70" i="13"/>
  <c r="S70" i="13" s="1"/>
  <c r="R287" i="13"/>
  <c r="S287" i="13" s="1"/>
  <c r="R269" i="13"/>
  <c r="S269" i="13" s="1"/>
  <c r="R204" i="13"/>
  <c r="S204" i="13" s="1"/>
  <c r="R262" i="13"/>
  <c r="S262" i="13" s="1"/>
  <c r="R128" i="13"/>
  <c r="S128" i="13" s="1"/>
  <c r="R175" i="13"/>
  <c r="S175" i="13" s="1"/>
  <c r="R148" i="13"/>
  <c r="S148" i="13" s="1"/>
  <c r="R195" i="13"/>
  <c r="S195" i="13" s="1"/>
  <c r="R228" i="13"/>
  <c r="S228" i="13" s="1"/>
  <c r="R161" i="13"/>
  <c r="S161" i="13" s="1"/>
  <c r="R291" i="13"/>
  <c r="S291" i="13" s="1"/>
  <c r="R125" i="13"/>
  <c r="S125" i="13" s="1"/>
  <c r="R103" i="13"/>
  <c r="S103" i="13" s="1"/>
  <c r="R59" i="13"/>
  <c r="S59" i="13" s="1"/>
  <c r="R156" i="13"/>
  <c r="S156" i="13" s="1"/>
  <c r="R77" i="13"/>
  <c r="S77" i="13" s="1"/>
  <c r="R207" i="13"/>
  <c r="S207" i="13" s="1"/>
  <c r="R168" i="13"/>
  <c r="S168" i="13" s="1"/>
  <c r="R225" i="13"/>
  <c r="S225" i="13" s="1"/>
  <c r="R223" i="13"/>
  <c r="S223" i="13" s="1"/>
  <c r="R292" i="13"/>
  <c r="S292" i="13" s="1"/>
  <c r="R83" i="13"/>
  <c r="S83" i="13" s="1"/>
  <c r="R185" i="13"/>
  <c r="S185" i="13" s="1"/>
  <c r="R254" i="13"/>
  <c r="S254" i="13" s="1"/>
  <c r="R197" i="13"/>
  <c r="S197" i="13" s="1"/>
  <c r="R88" i="13"/>
  <c r="S88" i="13" s="1"/>
  <c r="R210" i="13"/>
  <c r="S210" i="13" s="1"/>
  <c r="R64" i="13"/>
  <c r="S64" i="13" s="1"/>
  <c r="R80" i="13"/>
  <c r="S80" i="13" s="1"/>
  <c r="R213" i="13"/>
  <c r="S213" i="13" s="1"/>
  <c r="R34" i="13"/>
  <c r="S34" i="13" s="1"/>
  <c r="R205" i="13"/>
  <c r="S205" i="13" s="1"/>
  <c r="R66" i="13"/>
  <c r="S66" i="13" s="1"/>
  <c r="R68" i="13"/>
  <c r="S68" i="13" s="1"/>
  <c r="R140" i="13"/>
  <c r="S140" i="13" s="1"/>
  <c r="R24" i="13"/>
  <c r="S24" i="13" s="1"/>
  <c r="R11" i="13"/>
  <c r="S11" i="13" s="1"/>
  <c r="R54" i="13"/>
  <c r="S54" i="13" s="1"/>
  <c r="R212" i="13"/>
  <c r="S212" i="13" s="1"/>
  <c r="R182" i="13"/>
  <c r="S182" i="13" s="1"/>
  <c r="R234" i="13"/>
  <c r="S234" i="13" s="1"/>
  <c r="R200" i="13"/>
  <c r="S200" i="13" s="1"/>
  <c r="R104" i="13"/>
  <c r="S104" i="13" s="1"/>
  <c r="R171" i="13"/>
  <c r="S171" i="13" s="1"/>
  <c r="R13" i="13"/>
  <c r="S13" i="13" s="1"/>
  <c r="R239" i="13"/>
  <c r="S239" i="13" s="1"/>
  <c r="R309" i="13"/>
  <c r="S309" i="13" s="1"/>
  <c r="R79" i="13"/>
  <c r="S79" i="13" s="1"/>
  <c r="R153" i="13"/>
  <c r="S153" i="13" s="1"/>
  <c r="R294" i="13"/>
  <c r="S294" i="13" s="1"/>
  <c r="R311" i="13"/>
  <c r="S311" i="13" s="1"/>
  <c r="R37" i="13"/>
  <c r="S37" i="13" s="1"/>
  <c r="R12" i="13"/>
  <c r="S12" i="13" s="1"/>
  <c r="R60" i="13"/>
  <c r="S60" i="13" s="1"/>
  <c r="R74" i="13"/>
  <c r="S74" i="13" s="1"/>
  <c r="R116" i="13"/>
  <c r="S116" i="13" s="1"/>
  <c r="R137" i="13"/>
  <c r="S137" i="13" s="1"/>
  <c r="R56" i="13"/>
  <c r="S56" i="13" s="1"/>
  <c r="R280" i="13"/>
  <c r="S280" i="13" s="1"/>
  <c r="R155" i="13"/>
  <c r="S155" i="13" s="1"/>
  <c r="R312" i="13"/>
  <c r="S312" i="13" s="1"/>
  <c r="R46" i="13"/>
  <c r="S46" i="13" s="1"/>
  <c r="R111" i="13"/>
  <c r="S111" i="13" s="1"/>
  <c r="R184" i="13"/>
  <c r="S184" i="13" s="1"/>
  <c r="R118" i="13"/>
  <c r="S118" i="13" s="1"/>
  <c r="R176" i="13"/>
  <c r="S176" i="13" s="1"/>
  <c r="R240" i="13"/>
  <c r="S240" i="13" s="1"/>
  <c r="R130" i="13"/>
  <c r="S130" i="13" s="1"/>
  <c r="R102" i="13"/>
  <c r="S102" i="13" s="1"/>
  <c r="R241" i="13"/>
  <c r="S241" i="13" s="1"/>
  <c r="R43" i="13"/>
  <c r="S43" i="13" s="1"/>
  <c r="R127" i="13"/>
  <c r="S127" i="13" s="1"/>
  <c r="R33" i="13"/>
  <c r="S33" i="13" s="1"/>
  <c r="R85" i="13"/>
  <c r="S85" i="13" s="1"/>
  <c r="R133" i="13"/>
  <c r="S133" i="13" s="1"/>
  <c r="R298" i="13"/>
  <c r="S298" i="13" s="1"/>
  <c r="R181" i="13"/>
  <c r="S181" i="13" s="1"/>
  <c r="R206" i="13"/>
  <c r="S206" i="13" s="1"/>
  <c r="R32" i="13"/>
  <c r="S32" i="13" s="1"/>
  <c r="R313" i="13"/>
  <c r="S313" i="13" s="1"/>
  <c r="E39" i="48"/>
  <c r="K313" i="12" l="1"/>
  <c r="R101" i="13"/>
  <c r="S101" i="13" s="1"/>
  <c r="R268" i="13"/>
  <c r="S268" i="13" s="1"/>
  <c r="R82" i="13"/>
  <c r="S82" i="13" s="1"/>
  <c r="R272" i="13"/>
  <c r="S272" i="13" s="1"/>
  <c r="R290" i="13"/>
  <c r="S290" i="13" s="1"/>
  <c r="N6" i="13"/>
  <c r="J5" i="12"/>
  <c r="J313" i="12" s="1"/>
  <c r="J314" i="25" s="1"/>
  <c r="R190" i="13"/>
  <c r="S190" i="13" s="1"/>
  <c r="F39" i="48"/>
  <c r="F43" i="48" s="1"/>
  <c r="L66" i="25"/>
  <c r="N66" i="25" s="1"/>
  <c r="L194" i="25"/>
  <c r="N194" i="25" s="1"/>
  <c r="L222" i="25"/>
  <c r="N222" i="25" s="1"/>
  <c r="L145" i="25"/>
  <c r="N145" i="25" s="1"/>
  <c r="L134" i="25"/>
  <c r="N134" i="25" s="1"/>
  <c r="L300" i="25"/>
  <c r="N300" i="25" s="1"/>
  <c r="L247" i="25"/>
  <c r="N247" i="25" s="1"/>
  <c r="L207" i="25"/>
  <c r="N207" i="25" s="1"/>
  <c r="L180" i="25"/>
  <c r="N180" i="25" s="1"/>
  <c r="L304" i="25"/>
  <c r="N304" i="25" s="1"/>
  <c r="L210" i="25"/>
  <c r="N210" i="25" s="1"/>
  <c r="L140" i="25"/>
  <c r="N140" i="25" s="1"/>
  <c r="L175" i="25"/>
  <c r="N175" i="25" s="1"/>
  <c r="L230" i="25"/>
  <c r="N230" i="25" s="1"/>
  <c r="L181" i="25"/>
  <c r="N181" i="25" s="1"/>
  <c r="L16" i="25"/>
  <c r="N16" i="25" s="1"/>
  <c r="L102" i="25"/>
  <c r="N102" i="25" s="1"/>
  <c r="L83" i="25"/>
  <c r="N83" i="25" s="1"/>
  <c r="L193" i="25"/>
  <c r="N193" i="25" s="1"/>
  <c r="L158" i="25"/>
  <c r="N158" i="25" s="1"/>
  <c r="L287" i="25"/>
  <c r="N287" i="25" s="1"/>
  <c r="L293" i="25"/>
  <c r="N293" i="25" s="1"/>
  <c r="L176" i="25"/>
  <c r="N176" i="25" s="1"/>
  <c r="L150" i="25"/>
  <c r="N150" i="25" s="1"/>
  <c r="L228" i="25"/>
  <c r="N228" i="25" s="1"/>
  <c r="L149" i="25"/>
  <c r="N149" i="25" s="1"/>
  <c r="L251" i="25"/>
  <c r="N251" i="25" s="1"/>
  <c r="L185" i="25"/>
  <c r="N185" i="25" s="1"/>
  <c r="L184" i="25"/>
  <c r="N184" i="25" s="1"/>
  <c r="L177" i="25"/>
  <c r="N177" i="25" s="1"/>
  <c r="L242" i="25"/>
  <c r="N242" i="25" s="1"/>
  <c r="L104" i="25"/>
  <c r="N104" i="25" s="1"/>
  <c r="L43" i="25"/>
  <c r="N43" i="25" s="1"/>
  <c r="L64" i="25"/>
  <c r="N64" i="25" s="1"/>
  <c r="L201" i="25"/>
  <c r="N201" i="25" s="1"/>
  <c r="L48" i="25"/>
  <c r="N48" i="25" s="1"/>
  <c r="L197" i="25"/>
  <c r="N197" i="25" s="1"/>
  <c r="L245" i="25"/>
  <c r="N245" i="25" s="1"/>
  <c r="L116" i="25"/>
  <c r="N116" i="25" s="1"/>
  <c r="L31" i="25"/>
  <c r="N31" i="25" s="1"/>
  <c r="L55" i="25"/>
  <c r="N55" i="25" s="1"/>
  <c r="L156" i="25"/>
  <c r="N156" i="25" s="1"/>
  <c r="L274" i="25"/>
  <c r="N274" i="25" s="1"/>
  <c r="L118" i="25"/>
  <c r="N118" i="25" s="1"/>
  <c r="L292" i="25"/>
  <c r="N292" i="25" s="1"/>
  <c r="L47" i="25"/>
  <c r="N47" i="25" s="1"/>
  <c r="L137" i="25"/>
  <c r="N137" i="25" s="1"/>
  <c r="L255" i="25"/>
  <c r="N255" i="25" s="1"/>
  <c r="L312" i="25"/>
  <c r="N312" i="25" s="1"/>
  <c r="L7" i="25"/>
  <c r="N7" i="25" s="1"/>
  <c r="L248" i="25"/>
  <c r="N248" i="25" s="1"/>
  <c r="L122" i="25"/>
  <c r="N122" i="25" s="1"/>
  <c r="L169" i="25"/>
  <c r="N169" i="25" s="1"/>
  <c r="L294" i="25"/>
  <c r="N294" i="25" s="1"/>
  <c r="L108" i="25"/>
  <c r="N108" i="25" s="1"/>
  <c r="L26" i="25"/>
  <c r="N26" i="25" s="1"/>
  <c r="L23" i="25"/>
  <c r="N23" i="25" s="1"/>
  <c r="L111" i="25"/>
  <c r="N111" i="25" s="1"/>
  <c r="L56" i="25"/>
  <c r="N56" i="25" s="1"/>
  <c r="L121" i="25"/>
  <c r="N121" i="25" s="1"/>
  <c r="L203" i="25"/>
  <c r="N203" i="25" s="1"/>
  <c r="L114" i="25"/>
  <c r="N114" i="25" s="1"/>
  <c r="L69" i="25"/>
  <c r="N69" i="25" s="1"/>
  <c r="L264" i="25"/>
  <c r="N264" i="25" s="1"/>
  <c r="L209" i="25"/>
  <c r="N209" i="25" s="1"/>
  <c r="L70" i="25"/>
  <c r="N70" i="25" s="1"/>
  <c r="L289" i="25"/>
  <c r="N289" i="25" s="1"/>
  <c r="L129" i="25"/>
  <c r="N129" i="25" s="1"/>
  <c r="L235" i="25"/>
  <c r="N235" i="25" s="1"/>
  <c r="L258" i="25"/>
  <c r="N258" i="25" s="1"/>
  <c r="L265" i="25"/>
  <c r="N265" i="25" s="1"/>
  <c r="L11" i="25"/>
  <c r="N11" i="25" s="1"/>
  <c r="L280" i="25"/>
  <c r="N280" i="25" s="1"/>
  <c r="L233" i="25"/>
  <c r="N233" i="25" s="1"/>
  <c r="L268" i="25"/>
  <c r="N268" i="25" s="1"/>
  <c r="L195" i="25"/>
  <c r="N195" i="25" s="1"/>
  <c r="L74" i="25"/>
  <c r="N74" i="25" s="1"/>
  <c r="L161" i="25"/>
  <c r="N161" i="25" s="1"/>
  <c r="L98" i="25"/>
  <c r="N98" i="25" s="1"/>
  <c r="L261" i="25"/>
  <c r="N261" i="25" s="1"/>
  <c r="L241" i="25"/>
  <c r="N241" i="25" s="1"/>
  <c r="L216" i="25"/>
  <c r="N216" i="25" s="1"/>
  <c r="L285" i="25"/>
  <c r="N285" i="25" s="1"/>
  <c r="L106" i="25"/>
  <c r="N106" i="25" s="1"/>
  <c r="L295" i="25"/>
  <c r="N295" i="25" s="1"/>
  <c r="L148" i="25"/>
  <c r="N148" i="25" s="1"/>
  <c r="L168" i="25"/>
  <c r="N168" i="25" s="1"/>
  <c r="L9" i="25"/>
  <c r="N9" i="25" s="1"/>
  <c r="L170" i="25"/>
  <c r="N170" i="25" s="1"/>
  <c r="L144" i="25"/>
  <c r="N144" i="25" s="1"/>
  <c r="L284" i="25"/>
  <c r="N284" i="25" s="1"/>
  <c r="L60" i="25"/>
  <c r="N60" i="25" s="1"/>
  <c r="L34" i="25"/>
  <c r="N34" i="25" s="1"/>
  <c r="L225" i="25"/>
  <c r="N225" i="25" s="1"/>
  <c r="L249" i="25"/>
  <c r="N249" i="25" s="1"/>
  <c r="L113" i="25"/>
  <c r="N113" i="25" s="1"/>
  <c r="L125" i="25"/>
  <c r="N125" i="25" s="1"/>
  <c r="L46" i="25"/>
  <c r="N46" i="25" s="1"/>
  <c r="L119" i="25"/>
  <c r="N119" i="25" s="1"/>
  <c r="L68" i="25"/>
  <c r="N68" i="25" s="1"/>
  <c r="L135" i="25"/>
  <c r="N135" i="25" s="1"/>
  <c r="L27" i="25"/>
  <c r="N27" i="25" s="1"/>
  <c r="L62" i="25"/>
  <c r="N62" i="25" s="1"/>
  <c r="L281" i="25"/>
  <c r="N281" i="25" s="1"/>
  <c r="L81" i="25"/>
  <c r="N81" i="25" s="1"/>
  <c r="L15" i="25"/>
  <c r="N15" i="25" s="1"/>
  <c r="L107" i="25"/>
  <c r="N107" i="25" s="1"/>
  <c r="L153" i="25"/>
  <c r="N153" i="25" s="1"/>
  <c r="L189" i="25"/>
  <c r="N189" i="25" s="1"/>
  <c r="L165" i="25"/>
  <c r="N165" i="25" s="1"/>
  <c r="L33" i="25"/>
  <c r="N33" i="25" s="1"/>
  <c r="L213" i="25"/>
  <c r="N213" i="25" s="1"/>
  <c r="L173" i="25"/>
  <c r="N173" i="25" s="1"/>
  <c r="L133" i="25"/>
  <c r="N133" i="25" s="1"/>
  <c r="L239" i="25"/>
  <c r="N239" i="25" s="1"/>
  <c r="L14" i="25"/>
  <c r="N14" i="25" s="1"/>
  <c r="L110" i="25"/>
  <c r="N110" i="25" s="1"/>
  <c r="L136" i="25"/>
  <c r="N136" i="25" s="1"/>
  <c r="L75" i="25"/>
  <c r="N75" i="25" s="1"/>
  <c r="L51" i="25"/>
  <c r="N51" i="25" s="1"/>
  <c r="L13" i="25"/>
  <c r="N13" i="25" s="1"/>
  <c r="L212" i="25"/>
  <c r="N212" i="25" s="1"/>
  <c r="L76" i="25"/>
  <c r="N76" i="25" s="1"/>
  <c r="L198" i="25"/>
  <c r="N198" i="25" s="1"/>
  <c r="L42" i="25"/>
  <c r="N42" i="25" s="1"/>
  <c r="L40" i="25"/>
  <c r="N40" i="25" s="1"/>
  <c r="L115" i="25"/>
  <c r="N115" i="25" s="1"/>
  <c r="L103" i="25"/>
  <c r="N103" i="25" s="1"/>
  <c r="L206" i="25"/>
  <c r="N206" i="25" s="1"/>
  <c r="L250" i="25"/>
  <c r="N250" i="25" s="1"/>
  <c r="L224" i="25"/>
  <c r="N224" i="25" s="1"/>
  <c r="L276" i="25"/>
  <c r="N276" i="25" s="1"/>
  <c r="L29" i="25"/>
  <c r="N29" i="25" s="1"/>
  <c r="L79" i="25"/>
  <c r="N79" i="25" s="1"/>
  <c r="L205" i="25"/>
  <c r="N205" i="25" s="1"/>
  <c r="L88" i="25"/>
  <c r="N88" i="25" s="1"/>
  <c r="L240" i="25"/>
  <c r="N240" i="25" s="1"/>
  <c r="L171" i="25"/>
  <c r="N171" i="25" s="1"/>
  <c r="L141" i="25"/>
  <c r="N141" i="25" s="1"/>
  <c r="L278" i="25"/>
  <c r="N278" i="25" s="1"/>
  <c r="L101" i="25"/>
  <c r="N101" i="25" s="1"/>
  <c r="L243" i="25"/>
  <c r="N243" i="25" s="1"/>
  <c r="L309" i="25"/>
  <c r="N309" i="25" s="1"/>
  <c r="L214" i="25"/>
  <c r="N214" i="25" s="1"/>
  <c r="L311" i="25"/>
  <c r="N311" i="25" s="1"/>
  <c r="L127" i="25"/>
  <c r="N127" i="25" s="1"/>
  <c r="L72" i="25"/>
  <c r="N72" i="25" s="1"/>
  <c r="L59" i="25"/>
  <c r="N59" i="25" s="1"/>
  <c r="L78" i="25"/>
  <c r="N78" i="25" s="1"/>
  <c r="L172" i="25"/>
  <c r="N172" i="25" s="1"/>
  <c r="L204" i="25"/>
  <c r="N204" i="25" s="1"/>
  <c r="L24" i="25"/>
  <c r="N24" i="25" s="1"/>
  <c r="L217" i="25"/>
  <c r="N217" i="25" s="1"/>
  <c r="L37" i="25"/>
  <c r="N37" i="25" s="1"/>
  <c r="L151" i="25"/>
  <c r="N151" i="25" s="1"/>
  <c r="L179" i="25"/>
  <c r="N179" i="25" s="1"/>
  <c r="L290" i="25"/>
  <c r="N290" i="25" s="1"/>
  <c r="L128" i="25"/>
  <c r="N128" i="25" s="1"/>
  <c r="L299" i="25"/>
  <c r="N299" i="25" s="1"/>
  <c r="L32" i="25"/>
  <c r="N32" i="25" s="1"/>
  <c r="L52" i="25"/>
  <c r="N52" i="25" s="1"/>
  <c r="L12" i="25"/>
  <c r="N12" i="25" s="1"/>
  <c r="L77" i="25"/>
  <c r="N77" i="25" s="1"/>
  <c r="L93" i="25"/>
  <c r="N93" i="25" s="1"/>
  <c r="L190" i="25"/>
  <c r="N190" i="25" s="1"/>
  <c r="L10" i="25"/>
  <c r="N10" i="25" s="1"/>
  <c r="L262" i="25"/>
  <c r="N262" i="25" s="1"/>
  <c r="L109" i="25"/>
  <c r="N109" i="25" s="1"/>
  <c r="L254" i="25"/>
  <c r="N254" i="25" s="1"/>
  <c r="L298" i="25"/>
  <c r="N298" i="25" s="1"/>
  <c r="L223" i="25"/>
  <c r="N223" i="25" s="1"/>
  <c r="L65" i="25"/>
  <c r="N65" i="25" s="1"/>
  <c r="L229" i="25"/>
  <c r="N229" i="25" s="1"/>
  <c r="L200" i="25"/>
  <c r="N200" i="25" s="1"/>
  <c r="L260" i="25"/>
  <c r="N260" i="25" s="1"/>
  <c r="L220" i="25"/>
  <c r="N220" i="25" s="1"/>
  <c r="L291" i="25"/>
  <c r="N291" i="25" s="1"/>
  <c r="L131" i="25"/>
  <c r="N131" i="25" s="1"/>
  <c r="L238" i="25"/>
  <c r="N238" i="25" s="1"/>
  <c r="L313" i="25"/>
  <c r="N313" i="25" s="1"/>
  <c r="L84" i="25"/>
  <c r="N84" i="25" s="1"/>
  <c r="L182" i="25"/>
  <c r="N182" i="25" s="1"/>
  <c r="L152" i="25"/>
  <c r="N152" i="25" s="1"/>
  <c r="L269" i="25"/>
  <c r="N269" i="25" s="1"/>
  <c r="L297" i="25"/>
  <c r="N297" i="25" s="1"/>
  <c r="L54" i="25"/>
  <c r="N54" i="25" s="1"/>
  <c r="L272" i="25"/>
  <c r="N272" i="25" s="1"/>
  <c r="L155" i="25"/>
  <c r="N155" i="25" s="1"/>
  <c r="L35" i="25"/>
  <c r="N35" i="25" s="1"/>
  <c r="L192" i="25"/>
  <c r="N192" i="25" s="1"/>
  <c r="L38" i="25"/>
  <c r="N38" i="25" s="1"/>
  <c r="L124" i="25"/>
  <c r="N124" i="25" s="1"/>
  <c r="L211" i="25"/>
  <c r="N211" i="25" s="1"/>
  <c r="L30" i="25"/>
  <c r="N30" i="25" s="1"/>
  <c r="L80" i="25"/>
  <c r="N80" i="25" s="1"/>
  <c r="L183" i="25"/>
  <c r="N183" i="25" s="1"/>
  <c r="L234" i="25"/>
  <c r="N234" i="25" s="1"/>
  <c r="L132" i="25"/>
  <c r="N132" i="25" s="1"/>
  <c r="L85" i="25"/>
  <c r="N85" i="25" s="1"/>
  <c r="L270" i="25"/>
  <c r="N270" i="25" s="1"/>
  <c r="L36" i="25"/>
  <c r="N36" i="25" s="1"/>
  <c r="L244" i="25"/>
  <c r="N244" i="25" s="1"/>
  <c r="L123" i="25"/>
  <c r="N123" i="25" s="1"/>
  <c r="L191" i="25"/>
  <c r="N191" i="25" s="1"/>
  <c r="L307" i="25"/>
  <c r="N307" i="25" s="1"/>
  <c r="L237" i="25"/>
  <c r="N237" i="25" s="1"/>
  <c r="L130" i="25"/>
  <c r="N130" i="25" s="1"/>
  <c r="L288" i="25"/>
  <c r="N288" i="25" s="1"/>
  <c r="K218" i="25"/>
  <c r="R218" i="13"/>
  <c r="S218" i="13" s="1"/>
  <c r="O6" i="13" l="1"/>
  <c r="P6" i="13" s="1"/>
  <c r="Q6" i="13" s="1"/>
  <c r="K6" i="25" s="1"/>
  <c r="N314" i="13"/>
  <c r="J6" i="25"/>
  <c r="F54" i="48"/>
  <c r="L218" i="25"/>
  <c r="N218" i="25" s="1"/>
  <c r="L6" i="25" l="1"/>
  <c r="N6" i="25" s="1"/>
  <c r="N314" i="25" s="1"/>
  <c r="Q314" i="13"/>
  <c r="D36" i="40" s="1"/>
  <c r="R6" i="13"/>
  <c r="S6" i="13" s="1"/>
  <c r="K314" i="25" l="1"/>
  <c r="L314" i="25" s="1"/>
  <c r="C36" i="40" s="1"/>
</calcChain>
</file>

<file path=xl/sharedStrings.xml><?xml version="1.0" encoding="utf-8"?>
<sst xmlns="http://schemas.openxmlformats.org/spreadsheetml/2006/main" count="978" uniqueCount="568">
  <si>
    <t>Plafonnement de l'aide</t>
  </si>
  <si>
    <t>L'Isle</t>
  </si>
  <si>
    <t>Lussery-Villars</t>
  </si>
  <si>
    <t>Mauraz</t>
  </si>
  <si>
    <t>Mex</t>
  </si>
  <si>
    <t>Moiry</t>
  </si>
  <si>
    <t>Corcelles-près-Payerne</t>
  </si>
  <si>
    <t>Grandcour</t>
  </si>
  <si>
    <t>Henniez</t>
  </si>
  <si>
    <t>Missy</t>
  </si>
  <si>
    <t>Payerne</t>
  </si>
  <si>
    <t>Trey</t>
  </si>
  <si>
    <t>Villarzel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</si>
  <si>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</si>
  <si>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</si>
  <si>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</si>
  <si>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</si>
  <si>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</si>
  <si>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</si>
  <si>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</si>
  <si>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</si>
  <si>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</si>
  <si>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</si>
  <si>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</si>
  <si>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</si>
  <si>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</si>
  <si>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</si>
  <si>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</si>
  <si>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</si>
  <si>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</si>
  <si>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Saint-Barthélemy</t>
  </si>
  <si>
    <t>Villars-le-Terroir</t>
  </si>
  <si>
    <t>Vuarrens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</si>
  <si>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</si>
  <si>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</si>
  <si>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</si>
  <si>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</si>
  <si>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</si>
  <si>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</si>
  <si>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</si>
  <si>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</si>
  <si>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</si>
  <si>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</si>
  <si>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</si>
  <si>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Plafond transports</t>
  </si>
  <si>
    <t>Plafond forêts</t>
  </si>
  <si>
    <t>No OFS</t>
  </si>
  <si>
    <t>Fonds de péréquation</t>
  </si>
  <si>
    <t>IFO normalisé à 100</t>
  </si>
  <si>
    <t>Corsier-sur-Vevey</t>
  </si>
  <si>
    <t>Jongny</t>
  </si>
  <si>
    <t>Montreux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</si>
  <si>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</si>
  <si>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</si>
  <si>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</si>
  <si>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</si>
  <si>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</si>
  <si>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</si>
  <si>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</si>
  <si>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</si>
  <si>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</si>
  <si>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</si>
  <si>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</si>
  <si>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</si>
  <si>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</si>
  <si>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</si>
  <si>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</t>
  </si>
  <si>
    <t>Habitants</t>
  </si>
  <si>
    <t>Valeur par habitant</t>
  </si>
  <si>
    <t>Nyon</t>
  </si>
  <si>
    <t>Prangins</t>
  </si>
  <si>
    <t>Bougy-Villars</t>
  </si>
  <si>
    <t>Yvorne</t>
  </si>
  <si>
    <t>Apples</t>
  </si>
  <si>
    <t>Aubonne</t>
  </si>
  <si>
    <t>Ballens</t>
  </si>
  <si>
    <t>Berolle</t>
  </si>
  <si>
    <t>Bière</t>
  </si>
  <si>
    <t>Taux communal</t>
  </si>
  <si>
    <t>ISP</t>
  </si>
  <si>
    <t>IPE</t>
  </si>
  <si>
    <t>IBC</t>
  </si>
  <si>
    <t>IET</t>
  </si>
  <si>
    <t>ISO</t>
  </si>
  <si>
    <t>IMM</t>
  </si>
  <si>
    <t>IFO</t>
  </si>
  <si>
    <t>STO</t>
  </si>
  <si>
    <t>IFR</t>
  </si>
  <si>
    <t>ISD</t>
  </si>
  <si>
    <t>DMU</t>
  </si>
  <si>
    <t>IGI</t>
  </si>
  <si>
    <t>TOT</t>
  </si>
  <si>
    <t>Facture sociale à charge des communes</t>
  </si>
  <si>
    <t>Alimentation</t>
  </si>
  <si>
    <t>./. Dép. thématiques</t>
  </si>
  <si>
    <t>Commune</t>
  </si>
  <si>
    <t>Chavannes-sur-Moudon</t>
  </si>
  <si>
    <t>Curtilles</t>
  </si>
  <si>
    <t>Dompierre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</si>
  <si>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</si>
  <si>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</si>
  <si>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</si>
  <si>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</si>
  <si>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</si>
  <si>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</si>
  <si>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</si>
  <si>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</si>
  <si>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</si>
  <si>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</si>
  <si>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Arnex-sur-Nyon</t>
  </si>
  <si>
    <t>Bassins</t>
  </si>
  <si>
    <t>Chessel</t>
  </si>
  <si>
    <t>Corbeyrier</t>
  </si>
  <si>
    <t>Gryon</t>
  </si>
  <si>
    <t>Lavey-Morcles</t>
  </si>
  <si>
    <t>Leysin</t>
  </si>
  <si>
    <t>Noville</t>
  </si>
  <si>
    <t>Ollon</t>
  </si>
  <si>
    <t>Sainte-Croix</t>
  </si>
  <si>
    <t>Lausanne</t>
  </si>
  <si>
    <t>Le Mont-sur-Lausanne</t>
  </si>
  <si>
    <t>Paudex</t>
  </si>
  <si>
    <t>Prilly</t>
  </si>
  <si>
    <t>Pully</t>
  </si>
  <si>
    <t>Taux projeté</t>
  </si>
  <si>
    <t>Plafonnement du taux</t>
  </si>
  <si>
    <t>Contrôle du taux projeté</t>
  </si>
  <si>
    <t>Rivaz</t>
  </si>
  <si>
    <t>St-Saphorin (Lavaux)</t>
  </si>
  <si>
    <t>Ormont-Dessous</t>
  </si>
  <si>
    <t>Ormont-Dessus</t>
  </si>
  <si>
    <t>Rennaz</t>
  </si>
  <si>
    <t>Roche</t>
  </si>
  <si>
    <t>Villeneuve</t>
  </si>
  <si>
    <t>Romainmôtier-Envy</t>
  </si>
  <si>
    <t>Sergey</t>
  </si>
  <si>
    <t>Valeyres-sous-Rances</t>
  </si>
  <si>
    <t>Total</t>
  </si>
  <si>
    <t>Dépenses thématiques</t>
  </si>
  <si>
    <t>Ferreyres</t>
  </si>
  <si>
    <t>Gollion</t>
  </si>
  <si>
    <t>Grancy</t>
  </si>
  <si>
    <t>Forel (Lavaux)</t>
  </si>
  <si>
    <t>Lutry</t>
  </si>
  <si>
    <t>Péréquation directe nette</t>
  </si>
  <si>
    <t>Plafond en pts</t>
  </si>
  <si>
    <t>Bremblens</t>
  </si>
  <si>
    <t>Buchillon</t>
  </si>
  <si>
    <t>Yvonand</t>
  </si>
  <si>
    <t>Yverdon-les-Bains</t>
  </si>
  <si>
    <t>Clarmont</t>
  </si>
  <si>
    <t>Denens</t>
  </si>
  <si>
    <t>Denges</t>
  </si>
  <si>
    <t>Echandens</t>
  </si>
  <si>
    <t>Echichens</t>
  </si>
  <si>
    <t>Ecublens</t>
  </si>
  <si>
    <t>Etoy</t>
  </si>
  <si>
    <t>Lavigny</t>
  </si>
  <si>
    <t>Lonay</t>
  </si>
  <si>
    <t>Lully</t>
  </si>
  <si>
    <t>Lussy-sur-Morges</t>
  </si>
  <si>
    <t>Morges</t>
  </si>
  <si>
    <t>Préverenges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</si>
  <si>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</si>
  <si>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</si>
  <si>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</si>
  <si>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</si>
  <si>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</si>
  <si>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</si>
  <si>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</si>
  <si>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</si>
  <si>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</si>
  <si>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</si>
  <si>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</si>
  <si>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</si>
  <si>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</si>
  <si>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</si>
  <si>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</si>
  <si>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</si>
  <si>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</si>
  <si>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</t>
  </si>
  <si>
    <t>Echallens</t>
  </si>
  <si>
    <t>Essertines-sur-Yverdon</t>
  </si>
  <si>
    <t>Etagnières</t>
  </si>
  <si>
    <t>Fey</t>
  </si>
  <si>
    <t>Froideville</t>
  </si>
  <si>
    <t>Morrens</t>
  </si>
  <si>
    <t>Oulens-sous-Echallens</t>
  </si>
  <si>
    <t>Pailly</t>
  </si>
  <si>
    <t>Penthéréaz</t>
  </si>
  <si>
    <t>Poliez-Pittet</t>
  </si>
  <si>
    <t>Rueyres</t>
  </si>
  <si>
    <t>Sous-total</t>
  </si>
  <si>
    <t>Frontaliers</t>
  </si>
  <si>
    <t>Successions et donations</t>
  </si>
  <si>
    <t>Droits de mutation</t>
  </si>
  <si>
    <t>Gains immobiliers</t>
  </si>
  <si>
    <t>Villars-sous-Yens</t>
  </si>
  <si>
    <t>Vufflens-le-Château</t>
  </si>
  <si>
    <t>Vullierens</t>
  </si>
  <si>
    <t>Yens</t>
  </si>
  <si>
    <t>Boulens</t>
  </si>
  <si>
    <t>Bussy-sur-Moudon</t>
  </si>
  <si>
    <t>Le Chenit</t>
  </si>
  <si>
    <t>Le Lieu</t>
  </si>
  <si>
    <t>Blonay</t>
  </si>
  <si>
    <t>Chardonne</t>
  </si>
  <si>
    <t>Corseaux</t>
  </si>
  <si>
    <t>Boussens</t>
  </si>
  <si>
    <t>La Chaux (Cossonay)</t>
  </si>
  <si>
    <t>Plafonnement de l'effort</t>
  </si>
  <si>
    <t>Solde net des péréquations</t>
  </si>
  <si>
    <t>Prise en charge dépassement</t>
  </si>
  <si>
    <t>Forêts</t>
  </si>
  <si>
    <t>Dépassement forêts</t>
  </si>
  <si>
    <t>Romanel-sur-Lausanne</t>
  </si>
  <si>
    <t>La Praz</t>
  </si>
  <si>
    <t>Premier</t>
  </si>
  <si>
    <t>Rances</t>
  </si>
  <si>
    <t>Indicateurs financiers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</si>
  <si>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</si>
  <si>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</si>
  <si>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</si>
  <si>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</si>
  <si>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</si>
  <si>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</si>
  <si>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</si>
  <si>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</si>
  <si>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</si>
  <si>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</si>
  <si>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</si>
  <si>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</si>
  <si>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</si>
  <si>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</si>
  <si>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</si>
  <si>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</si>
  <si>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</si>
  <si>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</si>
  <si>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</si>
  <si>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</si>
  <si>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Cottens</t>
  </si>
  <si>
    <t>Cuarnens</t>
  </si>
  <si>
    <t>Daillens</t>
  </si>
  <si>
    <t>Dizy</t>
  </si>
  <si>
    <t>Eclépens</t>
  </si>
  <si>
    <t>Pertes débiteurs</t>
  </si>
  <si>
    <t>Modif. Ant.</t>
  </si>
  <si>
    <t>Imputation forfaitaire</t>
  </si>
  <si>
    <t>Pers. physiques - revenu/fortune corrigé</t>
  </si>
  <si>
    <t>IRF corrrigé</t>
  </si>
  <si>
    <t xml:space="preserve">Pers. physiques - revenu/fortune </t>
  </si>
  <si>
    <t xml:space="preserve">IRF </t>
  </si>
  <si>
    <t>Plafond effort</t>
  </si>
  <si>
    <t>Plafond taux</t>
  </si>
  <si>
    <t>Chavannes-près-Renens</t>
  </si>
  <si>
    <t>Chigny</t>
  </si>
  <si>
    <t>Diff. De taux</t>
  </si>
  <si>
    <t>Impôt spécial affecté</t>
  </si>
  <si>
    <t>Impôt personnel</t>
  </si>
  <si>
    <t>Pers. morales bénéfice / capital</t>
  </si>
  <si>
    <t>Aigle</t>
  </si>
  <si>
    <t>Bex</t>
  </si>
  <si>
    <t>Taux après déduction de l'effort péréquatif</t>
  </si>
  <si>
    <t>Somme des efforts péréquatifs prévus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</si>
  <si>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</si>
  <si>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</si>
  <si>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</si>
  <si>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</si>
  <si>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</si>
  <si>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</si>
  <si>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</si>
  <si>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</si>
  <si>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Montagny-près-Yverdon</t>
  </si>
  <si>
    <t>Oppens</t>
  </si>
  <si>
    <t>Orges</t>
  </si>
  <si>
    <t>Ursins</t>
  </si>
  <si>
    <t>Vugelles-La Mothe</t>
  </si>
  <si>
    <t>./. Gestion du fonds</t>
  </si>
  <si>
    <t>Corcelles-le-Jorat</t>
  </si>
  <si>
    <t>Essertes</t>
  </si>
  <si>
    <t>Maracon</t>
  </si>
  <si>
    <t>Montpreveyres</t>
  </si>
  <si>
    <t>Ropraz</t>
  </si>
  <si>
    <t>Servion</t>
  </si>
  <si>
    <t>Mutrux</t>
  </si>
  <si>
    <t>Novalles</t>
  </si>
  <si>
    <t>Onnens</t>
  </si>
  <si>
    <t>Provence</t>
  </si>
  <si>
    <t>Recettes conjoncturelles en pts</t>
  </si>
  <si>
    <t>A répartir selon clé</t>
  </si>
  <si>
    <t>en % de la moyenne</t>
  </si>
  <si>
    <t>Seuil 1</t>
  </si>
  <si>
    <t>Seuil 2</t>
  </si>
  <si>
    <t>Total écrêtage</t>
  </si>
  <si>
    <t>Montant à recevoir</t>
  </si>
  <si>
    <t>Total à recevoir</t>
  </si>
  <si>
    <t>Savigny</t>
  </si>
  <si>
    <t>Chexbres</t>
  </si>
  <si>
    <t>Villars-Epeney</t>
  </si>
  <si>
    <t>Puidoux</t>
  </si>
  <si>
    <t>Bussy-Chardonney</t>
  </si>
  <si>
    <t>Total transports</t>
  </si>
  <si>
    <t>Dépassement transports</t>
  </si>
  <si>
    <t>Population</t>
  </si>
  <si>
    <t>Capacité fiscale totale</t>
  </si>
  <si>
    <t>Montant perçu</t>
  </si>
  <si>
    <t>Bas</t>
  </si>
  <si>
    <t>Seuils de population</t>
  </si>
  <si>
    <t>Haut</t>
  </si>
  <si>
    <t>Montants</t>
  </si>
  <si>
    <t>Compensation brute</t>
  </si>
  <si>
    <t>Reverolle</t>
  </si>
  <si>
    <t>Romanel-sur-Morges</t>
  </si>
  <si>
    <t>Saint-Prex</t>
  </si>
  <si>
    <t>Saint-Sulpice</t>
  </si>
  <si>
    <t>Tolochenaz</t>
  </si>
  <si>
    <t>Vaux-sur-Morges</t>
  </si>
  <si>
    <t>Villars-Sainte-Croix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</si>
  <si>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</si>
  <si>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</si>
  <si>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</si>
  <si>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</si>
  <si>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</si>
  <si>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</si>
  <si>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</si>
  <si>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</si>
  <si>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</si>
  <si>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Péréquation directe</t>
  </si>
  <si>
    <t>Routes</t>
  </si>
  <si>
    <t>Transports publics</t>
  </si>
  <si>
    <t>Transports scolaires</t>
  </si>
  <si>
    <t>Croy</t>
  </si>
  <si>
    <t>Juriens</t>
  </si>
  <si>
    <t>Lignerolle</t>
  </si>
  <si>
    <t>Montcherand</t>
  </si>
  <si>
    <t>Orbe</t>
  </si>
  <si>
    <t>Vallorbe</t>
  </si>
  <si>
    <t>Vaulion</t>
  </si>
  <si>
    <t>Vuiteboeuf</t>
  </si>
  <si>
    <t>Effort plafonné</t>
  </si>
  <si>
    <t>Impôts suivant le taux</t>
  </si>
  <si>
    <t>Féchy</t>
  </si>
  <si>
    <t>Gimel</t>
  </si>
  <si>
    <t>Saint-Livres</t>
  </si>
  <si>
    <t>Saint-Oyens</t>
  </si>
  <si>
    <t>Saubraz</t>
  </si>
  <si>
    <t>Avenches</t>
  </si>
  <si>
    <t>Cudrefin</t>
  </si>
  <si>
    <t>Faoug</t>
  </si>
  <si>
    <t>Bettens</t>
  </si>
  <si>
    <t>Bournens</t>
  </si>
  <si>
    <t>% taux communal moyen</t>
  </si>
  <si>
    <t>Compensation nette</t>
  </si>
  <si>
    <t>Différence à compenser</t>
  </si>
  <si>
    <t>A recevoir population</t>
  </si>
  <si>
    <t>Total péréquation directe</t>
  </si>
  <si>
    <t>Total éléments divers</t>
  </si>
  <si>
    <t>Effort total net</t>
  </si>
  <si>
    <t xml:space="preserve">Taux actuel </t>
  </si>
  <si>
    <t xml:space="preserve">Solde net actuel
</t>
  </si>
  <si>
    <t xml:space="preserve">Taux </t>
  </si>
  <si>
    <t>Pop.</t>
  </si>
  <si>
    <t>Longirod</t>
  </si>
  <si>
    <t>Marchissy</t>
  </si>
  <si>
    <t>Mollens</t>
  </si>
  <si>
    <t>Saint-George</t>
  </si>
  <si>
    <t>Total des prises en charges</t>
  </si>
  <si>
    <t>Thématique</t>
  </si>
  <si>
    <t>Effort total</t>
  </si>
  <si>
    <t>Valeur du point</t>
  </si>
  <si>
    <t>Plafonnement en francs</t>
  </si>
  <si>
    <t>Chavannes-le-Veyron</t>
  </si>
  <si>
    <t>Chevilly</t>
  </si>
  <si>
    <t>Cossonay</t>
  </si>
  <si>
    <t>./. Conjoncturelles</t>
  </si>
  <si>
    <t>./. Ecrêtage</t>
  </si>
  <si>
    <t>Paramétrage des critères de péréquation</t>
  </si>
  <si>
    <t>Prise en charge (%)</t>
  </si>
  <si>
    <t>Montants affectés aux plafonnements</t>
  </si>
  <si>
    <t>Seuil max (pts)</t>
  </si>
  <si>
    <t>Impôt sur les étrangers</t>
  </si>
  <si>
    <t>Impôt à la source</t>
  </si>
  <si>
    <t>Pers. morales immeubles</t>
  </si>
  <si>
    <t>Impôt foncier</t>
  </si>
  <si>
    <t>Vulliens</t>
  </si>
  <si>
    <t>Champtauroz</t>
  </si>
  <si>
    <t>Chevroux</t>
  </si>
  <si>
    <t>Belmont-sur-Lausanne</t>
  </si>
  <si>
    <t>Cheseaux-sur-Lausanne</t>
  </si>
  <si>
    <t>Crissier</t>
  </si>
  <si>
    <t>Epalinges</t>
  </si>
  <si>
    <t>Jouxtens-Mézery</t>
  </si>
  <si>
    <t>Mathod</t>
  </si>
  <si>
    <t>Molondin</t>
  </si>
  <si>
    <t>Renens</t>
  </si>
  <si>
    <t>Valeyres-sous-Montagny</t>
  </si>
  <si>
    <t>Valeyres-sous-Ursins</t>
  </si>
  <si>
    <t>Orzens</t>
  </si>
  <si>
    <t>Pomy</t>
  </si>
  <si>
    <t>Rovray</t>
  </si>
  <si>
    <t>Suchy</t>
  </si>
  <si>
    <t>Suscévaz</t>
  </si>
  <si>
    <t>Treycovagnes</t>
  </si>
  <si>
    <t>Aclens</t>
  </si>
  <si>
    <t>Total part communale</t>
  </si>
  <si>
    <t>Répartition selon péréquation</t>
  </si>
  <si>
    <t>Solde péréquation directe</t>
  </si>
  <si>
    <t>Points</t>
  </si>
  <si>
    <t>Seuil 3</t>
  </si>
  <si>
    <t>Effort total sans thématiques</t>
  </si>
  <si>
    <t>Plafonnement aide</t>
  </si>
  <si>
    <t>Pers. physiques - revenu</t>
  </si>
  <si>
    <t xml:space="preserve">Pers. physiques - fortune </t>
  </si>
  <si>
    <t>Impôt sur la dépense (étrangers)</t>
  </si>
  <si>
    <t>Impôt récupéré après défalcation</t>
  </si>
  <si>
    <t>PPR</t>
  </si>
  <si>
    <t>PPF</t>
  </si>
  <si>
    <t>PMB</t>
  </si>
  <si>
    <t>PMC</t>
  </si>
  <si>
    <t>Montant plafonnement totaux</t>
  </si>
  <si>
    <t xml:space="preserve">Montant prélevé </t>
  </si>
  <si>
    <t xml:space="preserve">./. Plafonnements totaux </t>
  </si>
  <si>
    <t xml:space="preserve">./. Réserve </t>
  </si>
  <si>
    <t>Recettes conjoncturelles (mutations + gains immob + successions)</t>
  </si>
  <si>
    <t>A recevoir solidarité</t>
  </si>
  <si>
    <t>Solde solidarité et population</t>
  </si>
  <si>
    <t>Bourg-en-Lavaux</t>
  </si>
  <si>
    <t>Tévenon</t>
  </si>
  <si>
    <t>Vully-les-Lacs</t>
  </si>
  <si>
    <t>Goumoëns</t>
  </si>
  <si>
    <t>Montilliez</t>
  </si>
  <si>
    <t>Jorat-Menthue</t>
  </si>
  <si>
    <t>Valbroye</t>
  </si>
  <si>
    <t>Oron</t>
  </si>
  <si>
    <t>Prélèvements conjoncturels</t>
  </si>
  <si>
    <t>Variation point d'impôt</t>
  </si>
  <si>
    <t>Indexation</t>
  </si>
  <si>
    <t>Plafond aide</t>
  </si>
  <si>
    <t>Bussigny</t>
  </si>
  <si>
    <t>Arzier-Le Muids</t>
  </si>
  <si>
    <t>Montanaire</t>
  </si>
  <si>
    <t>Dépassement routes</t>
  </si>
  <si>
    <t>Droits mutations, GI, successions et donations</t>
  </si>
  <si>
    <t>Indice IPC au 1er janvier 2010</t>
  </si>
  <si>
    <t>Indice IPC au 30 juin de l'année du décompte</t>
  </si>
  <si>
    <t>Montant à affecter ajusté à l'IPC</t>
  </si>
  <si>
    <t>Population selon FAO</t>
  </si>
  <si>
    <t xml:space="preserve">Rendement des impôts et taxes communaux  (en CHF)   </t>
  </si>
  <si>
    <t>Année de référence</t>
  </si>
  <si>
    <t>Valeur du point communal</t>
  </si>
  <si>
    <t>Péréquation directe - Couche Population</t>
  </si>
  <si>
    <t>Péréquation directe - Couche Solidarité</t>
  </si>
  <si>
    <t>CHF</t>
  </si>
  <si>
    <t>Pts</t>
  </si>
  <si>
    <t>A rendre en CHF</t>
  </si>
  <si>
    <t>Effort péréquatif en points</t>
  </si>
  <si>
    <t>A) Période de calcul</t>
  </si>
  <si>
    <t>B) Prélèvement sur recettes conjoncturelles</t>
  </si>
  <si>
    <t>C) Ecrêtage</t>
  </si>
  <si>
    <t>pour une capacité dépassant</t>
  </si>
  <si>
    <t>D) Couche population</t>
  </si>
  <si>
    <t>Montant à affecter par habitant</t>
  </si>
  <si>
    <t>E) Couche solidarité</t>
  </si>
  <si>
    <t>F) Ecart péréquation horizontale</t>
  </si>
  <si>
    <t>G) Dépenses thématiques</t>
  </si>
  <si>
    <t>Transports, nombre de points</t>
  </si>
  <si>
    <t>Prise en charge maximale</t>
  </si>
  <si>
    <t xml:space="preserve">I) Indexation </t>
  </si>
  <si>
    <t>H) Paramètres de plafonnement en points</t>
  </si>
  <si>
    <t>Impôts théoriques</t>
  </si>
  <si>
    <t>Synthèse en CHF</t>
  </si>
  <si>
    <t>Ecrêtage</t>
  </si>
  <si>
    <t xml:space="preserve">J) Liste des communes A--&gt;Z </t>
  </si>
  <si>
    <t>Recettes conjoncturelles (DM + GI + Succ.)</t>
  </si>
  <si>
    <t>Répartition solde après prélèvements</t>
  </si>
  <si>
    <t>Solidarité</t>
  </si>
  <si>
    <t>Transports</t>
  </si>
  <si>
    <t>Plafonnements</t>
  </si>
  <si>
    <t>Aide</t>
  </si>
  <si>
    <t>Taux</t>
  </si>
  <si>
    <t>Total de la péréquation directe</t>
  </si>
  <si>
    <t>Montant à charge de la commune</t>
  </si>
  <si>
    <t>Résumé par commune</t>
  </si>
  <si>
    <t>Communes sans police communale/intercommunale = 0</t>
  </si>
  <si>
    <t>Imp théoriques</t>
  </si>
  <si>
    <t>Facturation de l'Etat au coût réel (Fr/hab) aux communes délégatrices, mais max 2 pts</t>
  </si>
  <si>
    <t>Manco pour l'Etat - à couvrir par la péréquation (en points d'impôts écrêtés)</t>
  </si>
  <si>
    <t>Total à charge des communes</t>
  </si>
  <si>
    <t>Réforme policière</t>
  </si>
  <si>
    <t>Financement reçu pour les nouvelles tâches</t>
  </si>
  <si>
    <t>J) Réforme policière</t>
  </si>
  <si>
    <t>Nombre de point</t>
  </si>
  <si>
    <t>Charges pour commune sans police</t>
  </si>
  <si>
    <t>Répartition du solde</t>
  </si>
  <si>
    <t>Facture</t>
  </si>
  <si>
    <t>Date population</t>
  </si>
  <si>
    <t>Date taux d'impôt</t>
  </si>
  <si>
    <t>Taux IFO</t>
  </si>
  <si>
    <t>Total de la réforme policière</t>
  </si>
  <si>
    <t>Date plafonnement du taux (N-1)</t>
  </si>
  <si>
    <t>Seuil de population (habitants). Art. 2 DLPIC</t>
  </si>
  <si>
    <t>Selon Art. 3 DLPIC</t>
  </si>
  <si>
    <t>Gestion du fond (montant négatif). Art. 8 DLPIC</t>
  </si>
  <si>
    <t>% prélevé. Art. 4 LPIC</t>
  </si>
  <si>
    <t>Frontaliers. Art. 3 LPIC</t>
  </si>
  <si>
    <t>Forêts, nombre de points. Art. 4 DLPIC</t>
  </si>
  <si>
    <t>Effort maximum plafonné. Art. 5 DLPIC</t>
  </si>
  <si>
    <t>Aide maximale plafonnée. Art. 7 DLPIC</t>
  </si>
  <si>
    <t>x</t>
  </si>
  <si>
    <t>P é r é q u a t i o n   d i r e c t e</t>
  </si>
  <si>
    <t>R é f o r m e   p o l i c i è r e</t>
  </si>
  <si>
    <t>T o t a l   p é r é q u a t i o n   d i r e c t e,   i n d i r e c t e   e t   p o l i c e</t>
  </si>
  <si>
    <t>Treytorrens (Payerne)</t>
  </si>
  <si>
    <t>Saint-Légier-La Chiésaz</t>
  </si>
  <si>
    <t>Effort péréquatif. Art. 5 DLPIC</t>
  </si>
  <si>
    <t>Dépassement du taux. Art. 6 DLPIC</t>
  </si>
  <si>
    <t>Année 2018</t>
  </si>
  <si>
    <t>Montant écrêtage pour calculer le point impôt écrêté</t>
  </si>
  <si>
    <t>*Année 2019</t>
  </si>
  <si>
    <t>* Cela équivaut à la suppression du point d'impôt écrêté</t>
  </si>
  <si>
    <t>*Max. selon art. 4 DLPIC</t>
  </si>
  <si>
    <t>Jorat-Mézières</t>
  </si>
  <si>
    <t xml:space="preserve">Année 2018 : </t>
  </si>
  <si>
    <t>Dès 2019 :</t>
  </si>
  <si>
    <t>Total des prises en charges pour plfd aide</t>
  </si>
  <si>
    <t>Année 2019</t>
  </si>
  <si>
    <t>Situation N-1 (plafond de l'effort)</t>
  </si>
  <si>
    <t>Situation N-1 (plafond du taux)</t>
  </si>
  <si>
    <t>Effort</t>
  </si>
  <si>
    <t>Total net</t>
  </si>
  <si>
    <t>S y n t h è s e   e n   C H F</t>
  </si>
  <si>
    <t>Coût réel en CHF</t>
  </si>
  <si>
    <t>Taux maximum plafonné. Art. 6 DLPIC</t>
  </si>
  <si>
    <t>Seuil 4</t>
  </si>
  <si>
    <t>Seuil 5</t>
  </si>
  <si>
    <t>2019</t>
  </si>
  <si>
    <t>Valeur point impôt</t>
  </si>
  <si>
    <t>Nombre de points</t>
  </si>
  <si>
    <t>Valeur du point d'impôt</t>
  </si>
  <si>
    <t>Point impôt</t>
  </si>
  <si>
    <t>Montant total avec le renchérissement à payer par les communes en pts d'impôts</t>
  </si>
  <si>
    <t>Point d'impôt</t>
  </si>
  <si>
    <t>Point d'impôts</t>
  </si>
  <si>
    <t>Plafond de 
taux</t>
  </si>
  <si>
    <t>* Dès 2019, le plafond a passé de 4 à 4.5</t>
  </si>
  <si>
    <t>Valeur du point d'impôt communal selon acomptes 2020</t>
  </si>
  <si>
    <t>Année 2020</t>
  </si>
  <si>
    <t>Dès 2020 :</t>
  </si>
  <si>
    <t>Acomptes 2020</t>
  </si>
  <si>
    <t>Effort total sans les recettes conjoncturelles</t>
  </si>
  <si>
    <t>Montant prélevé en pts d'impôt</t>
  </si>
  <si>
    <t>2020</t>
  </si>
  <si>
    <t>Acomptes 2021</t>
  </si>
  <si>
    <t>Année 2021</t>
  </si>
  <si>
    <t>*Année 2020</t>
  </si>
  <si>
    <t>Dès 2021 :</t>
  </si>
  <si>
    <t>Valeur du point d'impôt communal selon acomptes 2021</t>
  </si>
  <si>
    <t xml:space="preserve">Pers. morales bénéfice </t>
  </si>
  <si>
    <t>Pers. morales  capital</t>
  </si>
  <si>
    <t>Commune
LDecTer, Etat 01.01.2021</t>
  </si>
  <si>
    <t>P é r é q u a t i o n   i n d i r e c t e   (participation à la cohésion sociale)</t>
  </si>
  <si>
    <t>Total de la participation à la cohésion sociale</t>
  </si>
  <si>
    <t>Participation à la cohésion sociale selon acomptes 2020</t>
  </si>
  <si>
    <t>Participation à la cohésion sociale selon acomptes 2021</t>
  </si>
  <si>
    <t>Variation de la participation à la cohésion sociale</t>
  </si>
  <si>
    <t>Répartition CHF 31'614'505.-</t>
  </si>
  <si>
    <t>Participation à la cohésion sociale</t>
  </si>
  <si>
    <t>Participation en points d'impôts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</si>
</sst>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.00\ _C_H_F_-;\-* #,##0.00\ _C_H_F_-;_-* &quot;-&quot;??\ _C_H_F_-;_-@_-"/>
    <numFmt numFmtId="165" formatCode="_ * #,##0.00_ ;_ * \-#,##0.00_ ;_ * &quot;-&quot;??_ ;_ @_ "/>
    <numFmt numFmtId="166" formatCode="#\ ###\ ###\ ##0"/>
    <numFmt numFmtId="167" formatCode="#,##0.0"/>
    <numFmt numFmtId="168" formatCode="0.0%"/>
    <numFmt numFmtId="169" formatCode="#\ ###\ ##0"/>
    <numFmt numFmtId="170" formatCode="0.000"/>
    <numFmt numFmtId="171" formatCode="#,##0.000"/>
    <numFmt numFmtId="172" formatCode="#,##0;\-#,##0;"/>
    <numFmt numFmtId="173" formatCode="#,##0.000000"/>
    <numFmt numFmtId="174" formatCode="0.0000"/>
    <numFmt numFmtId="175" formatCode="_-* #,##0_-;\-* #,##0_-;_-* &quot;-&quot;??_-;_-@_-"/>
    <numFmt numFmtId="176" formatCode="_ * #,##0_ ;_ * \-#,##0_ ;_ * &quot;-&quot;??_ ;_ @_ "/>
    <numFmt numFmtId="177" formatCode="_-* #,##0.0_-;\-* #,##0.0_-;_-* &quot;-&quot;??_-;_-@_-"/>
    <numFmt numFmtId="178" formatCode="_ * #,##0.000_ ;_ * \-#,##0.000_ ;_ * &quot;-&quot;??_ ;_ @_ "/>
    <numFmt numFmtId="179" formatCode="0_ ;\-0\ "/>
    <numFmt numFmtId="180" formatCode="_-* #,##0.00000_-;\-* #,##0.00000_-;_-* &quot;-&quot;??_-;_-@_-"/>
  </numFmts>
  <fonts count="67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 Narrow"/>
      <family val="2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24"/>
      <name val="Calibri"/>
      <family val="2"/>
      <scheme val="minor"/>
    </font>
    <font>
      <sz val="20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color theme="0"/>
      <name val="Trebuchet MS"/>
      <family val="2"/>
    </font>
    <font>
      <b/>
      <sz val="10"/>
      <name val="Calibri"/>
      <family val="2"/>
      <scheme val="minor"/>
    </font>
    <font>
      <sz val="14"/>
      <name val="Trebuchet MS"/>
      <family val="2"/>
    </font>
    <font>
      <sz val="11"/>
      <color theme="0"/>
      <name val="Calibri"/>
      <family val="2"/>
    </font>
    <font>
      <sz val="11"/>
      <name val="Calibri"/>
      <family val="2"/>
    </font>
    <font>
      <sz val="10"/>
      <name val="Verdana"/>
    </font>
    <font>
      <sz val="8"/>
      <name val="Helve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2572">
    <xf numFmtId="0" fontId="0" fillId="0" borderId="0"/>
    <xf numFmtId="0" fontId="26" fillId="0" borderId="1"/>
    <xf numFmtId="0" fontId="27" fillId="0" borderId="0"/>
    <xf numFmtId="0" fontId="26" fillId="0" borderId="2">
      <alignment vertical="top"/>
    </xf>
    <xf numFmtId="43" fontId="2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8" fillId="0" borderId="0"/>
    <xf numFmtId="0" fontId="25" fillId="0" borderId="0"/>
    <xf numFmtId="0" fontId="23" fillId="0" borderId="0"/>
    <xf numFmtId="0" fontId="29" fillId="0" borderId="0"/>
    <xf numFmtId="0" fontId="22" fillId="0" borderId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0" fillId="0" borderId="0"/>
    <xf numFmtId="165" fontId="18" fillId="0" borderId="0" applyFont="0" applyFill="0" applyBorder="0" applyAlignment="0" applyProtection="0"/>
    <xf numFmtId="0" fontId="18" fillId="0" borderId="0"/>
    <xf numFmtId="0" fontId="2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23" fillId="0" borderId="0"/>
    <xf numFmtId="0" fontId="23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0" fontId="21" fillId="0" borderId="0"/>
    <xf numFmtId="43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7" fillId="0" borderId="0"/>
    <xf numFmtId="0" fontId="23" fillId="0" borderId="0"/>
    <xf numFmtId="0" fontId="48" fillId="0" borderId="5" applyBorder="0">
      <alignment horizontal="center" textRotation="90"/>
    </xf>
    <xf numFmtId="0" fontId="23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23" fillId="0" borderId="0"/>
    <xf numFmtId="0" fontId="25" fillId="0" borderId="0">
      <alignment vertical="top"/>
    </xf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8" borderId="0" applyNumberFormat="0" applyBorder="0" applyAlignment="0" applyProtection="0"/>
    <xf numFmtId="0" fontId="51" fillId="0" borderId="0" applyNumberFormat="0" applyFill="0" applyBorder="0" applyAlignment="0" applyProtection="0"/>
    <xf numFmtId="0" fontId="52" fillId="29" borderId="18" applyNumberFormat="0" applyAlignment="0" applyProtection="0"/>
    <xf numFmtId="0" fontId="53" fillId="0" borderId="19" applyNumberFormat="0" applyFill="0" applyAlignment="0" applyProtection="0"/>
    <xf numFmtId="0" fontId="54" fillId="16" borderId="18" applyNumberFormat="0" applyAlignment="0" applyProtection="0"/>
    <xf numFmtId="0" fontId="55" fillId="12" borderId="0" applyNumberFormat="0" applyBorder="0" applyAlignment="0" applyProtection="0"/>
    <xf numFmtId="165" fontId="25" fillId="0" borderId="0" applyFont="0" applyFill="0" applyBorder="0" applyAlignment="0" applyProtection="0">
      <alignment vertical="top"/>
    </xf>
    <xf numFmtId="0" fontId="56" fillId="30" borderId="0" applyNumberFormat="0" applyBorder="0" applyAlignment="0" applyProtection="0"/>
    <xf numFmtId="0" fontId="28" fillId="0" borderId="0"/>
    <xf numFmtId="0" fontId="57" fillId="13" borderId="0" applyNumberFormat="0" applyBorder="0" applyAlignment="0" applyProtection="0"/>
    <xf numFmtId="0" fontId="58" fillId="29" borderId="20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1" applyNumberFormat="0" applyFill="0" applyAlignment="0" applyProtection="0"/>
    <xf numFmtId="0" fontId="62" fillId="0" borderId="22" applyNumberFormat="0" applyFill="0" applyAlignment="0" applyProtection="0"/>
    <xf numFmtId="0" fontId="63" fillId="0" borderId="23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24" applyNumberFormat="0" applyFill="0" applyAlignment="0" applyProtection="0"/>
    <xf numFmtId="0" fontId="65" fillId="31" borderId="25" applyNumberFormat="0" applyAlignment="0" applyProtection="0"/>
    <xf numFmtId="0" fontId="4" fillId="0" borderId="0"/>
    <xf numFmtId="165" fontId="4" fillId="0" borderId="0" applyFont="0" applyFill="0" applyBorder="0" applyAlignment="0" applyProtection="0"/>
    <xf numFmtId="0" fontId="26" fillId="0" borderId="26"/>
    <xf numFmtId="0" fontId="26" fillId="0" borderId="27">
      <alignment vertical="top"/>
    </xf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66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5" fillId="0" borderId="0">
      <alignment vertical="top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</cellStyleXfs>
  <cellXfs count="537">
    <xf numFmtId="0" fontId="0" fillId="0" borderId="0" xfId="0"/>
    <xf numFmtId="175" fontId="31" fillId="0" borderId="0" xfId="4" applyNumberFormat="1" applyFont="1" applyFill="1" applyBorder="1"/>
    <xf numFmtId="175" fontId="31" fillId="3" borderId="5" xfId="4" applyNumberFormat="1" applyFont="1" applyFill="1" applyBorder="1"/>
    <xf numFmtId="0" fontId="31" fillId="4" borderId="0" xfId="0" applyNumberFormat="1" applyFont="1" applyFill="1" applyAlignment="1">
      <alignment horizontal="left"/>
    </xf>
    <xf numFmtId="0" fontId="31" fillId="4" borderId="0" xfId="0" applyNumberFormat="1" applyFont="1" applyFill="1" applyAlignment="1">
      <alignment horizontal="center"/>
    </xf>
    <xf numFmtId="175" fontId="31" fillId="4" borderId="0" xfId="4" applyNumberFormat="1" applyFont="1" applyFill="1" applyAlignment="1">
      <alignment horizontal="center"/>
    </xf>
    <xf numFmtId="175" fontId="31" fillId="4" borderId="0" xfId="4" applyNumberFormat="1" applyFont="1" applyFill="1"/>
    <xf numFmtId="0" fontId="31" fillId="4" borderId="14" xfId="0" applyNumberFormat="1" applyFont="1" applyFill="1" applyBorder="1" applyAlignment="1">
      <alignment horizontal="center"/>
    </xf>
    <xf numFmtId="0" fontId="31" fillId="4" borderId="5" xfId="0" applyNumberFormat="1" applyFont="1" applyFill="1" applyBorder="1" applyAlignment="1">
      <alignment horizontal="center"/>
    </xf>
    <xf numFmtId="3" fontId="31" fillId="4" borderId="9" xfId="0" applyNumberFormat="1" applyFont="1" applyFill="1" applyBorder="1"/>
    <xf numFmtId="175" fontId="31" fillId="4" borderId="5" xfId="4" applyNumberFormat="1" applyFont="1" applyFill="1" applyBorder="1"/>
    <xf numFmtId="175" fontId="31" fillId="4" borderId="14" xfId="4" applyNumberFormat="1" applyFont="1" applyFill="1" applyBorder="1"/>
    <xf numFmtId="3" fontId="31" fillId="4" borderId="0" xfId="0" applyNumberFormat="1" applyFont="1" applyFill="1"/>
    <xf numFmtId="0" fontId="31" fillId="4" borderId="0" xfId="0" applyFont="1" applyFill="1"/>
    <xf numFmtId="175" fontId="31" fillId="4" borderId="0" xfId="4" applyNumberFormat="1" applyFont="1" applyFill="1" applyBorder="1"/>
    <xf numFmtId="43" fontId="31" fillId="4" borderId="0" xfId="4" applyFont="1" applyFill="1"/>
    <xf numFmtId="0" fontId="31" fillId="4" borderId="0" xfId="0" applyFont="1" applyFill="1" applyAlignment="1">
      <alignment vertical="top" wrapText="1"/>
    </xf>
    <xf numFmtId="43" fontId="31" fillId="4" borderId="0" xfId="0" applyNumberFormat="1" applyFont="1" applyFill="1"/>
    <xf numFmtId="175" fontId="31" fillId="4" borderId="3" xfId="4" applyNumberFormat="1" applyFont="1" applyFill="1" applyBorder="1"/>
    <xf numFmtId="43" fontId="31" fillId="4" borderId="14" xfId="4" applyFont="1" applyFill="1" applyBorder="1"/>
    <xf numFmtId="175" fontId="30" fillId="6" borderId="14" xfId="4" applyNumberFormat="1" applyFont="1" applyFill="1" applyBorder="1" applyAlignment="1">
      <alignment horizontal="center"/>
    </xf>
    <xf numFmtId="166" fontId="30" fillId="6" borderId="14" xfId="0" applyNumberFormat="1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14" fontId="30" fillId="6" borderId="14" xfId="0" applyNumberFormat="1" applyFont="1" applyFill="1" applyBorder="1" applyAlignment="1">
      <alignment horizontal="center"/>
    </xf>
    <xf numFmtId="166" fontId="31" fillId="4" borderId="17" xfId="0" applyNumberFormat="1" applyFont="1" applyFill="1" applyBorder="1" applyAlignment="1">
      <alignment horizontal="center"/>
    </xf>
    <xf numFmtId="0" fontId="33" fillId="4" borderId="0" xfId="0" applyNumberFormat="1" applyFont="1" applyFill="1" applyAlignment="1">
      <alignment horizontal="left"/>
    </xf>
    <xf numFmtId="0" fontId="33" fillId="4" borderId="0" xfId="0" applyNumberFormat="1" applyFont="1" applyFill="1" applyAlignment="1">
      <alignment horizontal="center"/>
    </xf>
    <xf numFmtId="0" fontId="32" fillId="4" borderId="0" xfId="0" applyFont="1" applyFill="1"/>
    <xf numFmtId="4" fontId="31" fillId="4" borderId="0" xfId="0" applyNumberFormat="1" applyFont="1" applyFill="1"/>
    <xf numFmtId="166" fontId="31" fillId="4" borderId="0" xfId="0" applyNumberFormat="1" applyFont="1" applyFill="1" applyAlignment="1">
      <alignment horizontal="left"/>
    </xf>
    <xf numFmtId="0" fontId="31" fillId="4" borderId="14" xfId="0" applyFont="1" applyFill="1" applyBorder="1"/>
    <xf numFmtId="175" fontId="31" fillId="4" borderId="11" xfId="4" applyNumberFormat="1" applyFont="1" applyFill="1" applyBorder="1"/>
    <xf numFmtId="3" fontId="31" fillId="4" borderId="5" xfId="0" applyNumberFormat="1" applyFont="1" applyFill="1" applyBorder="1"/>
    <xf numFmtId="43" fontId="31" fillId="4" borderId="5" xfId="4" applyFont="1" applyFill="1" applyBorder="1"/>
    <xf numFmtId="2" fontId="31" fillId="4" borderId="5" xfId="0" applyNumberFormat="1" applyFont="1" applyFill="1" applyBorder="1"/>
    <xf numFmtId="2" fontId="31" fillId="4" borderId="14" xfId="0" applyNumberFormat="1" applyFont="1" applyFill="1" applyBorder="1"/>
    <xf numFmtId="175" fontId="31" fillId="4" borderId="0" xfId="0" applyNumberFormat="1" applyFont="1" applyFill="1"/>
    <xf numFmtId="175" fontId="31" fillId="5" borderId="14" xfId="4" applyNumberFormat="1" applyFont="1" applyFill="1" applyBorder="1"/>
    <xf numFmtId="175" fontId="31" fillId="3" borderId="14" xfId="4" applyNumberFormat="1" applyFont="1" applyFill="1" applyBorder="1"/>
    <xf numFmtId="3" fontId="30" fillId="6" borderId="14" xfId="0" applyNumberFormat="1" applyFont="1" applyFill="1" applyBorder="1" applyAlignment="1">
      <alignment horizontal="center"/>
    </xf>
    <xf numFmtId="0" fontId="30" fillId="6" borderId="14" xfId="0" applyNumberFormat="1" applyFont="1" applyFill="1" applyBorder="1" applyAlignment="1">
      <alignment horizontal="center"/>
    </xf>
    <xf numFmtId="175" fontId="31" fillId="4" borderId="9" xfId="4" applyNumberFormat="1" applyFont="1" applyFill="1" applyBorder="1"/>
    <xf numFmtId="3" fontId="31" fillId="4" borderId="0" xfId="11" applyNumberFormat="1" applyFont="1" applyFill="1" applyAlignment="1">
      <alignment vertical="center"/>
    </xf>
    <xf numFmtId="0" fontId="31" fillId="4" borderId="0" xfId="11" applyFont="1" applyFill="1" applyAlignment="1">
      <alignment vertical="center"/>
    </xf>
    <xf numFmtId="175" fontId="31" fillId="4" borderId="0" xfId="4" applyNumberFormat="1" applyFont="1" applyFill="1" applyAlignment="1">
      <alignment vertical="center"/>
    </xf>
    <xf numFmtId="0" fontId="31" fillId="4" borderId="0" xfId="0" applyFont="1" applyFill="1" applyBorder="1"/>
    <xf numFmtId="0" fontId="31" fillId="4" borderId="4" xfId="0" applyFont="1" applyFill="1" applyBorder="1" applyAlignment="1">
      <alignment horizontal="center"/>
    </xf>
    <xf numFmtId="167" fontId="31" fillId="4" borderId="0" xfId="0" applyNumberFormat="1" applyFont="1" applyFill="1"/>
    <xf numFmtId="0" fontId="31" fillId="4" borderId="0" xfId="0" quotePrefix="1" applyFont="1" applyFill="1"/>
    <xf numFmtId="0" fontId="31" fillId="4" borderId="5" xfId="0" applyFont="1" applyFill="1" applyBorder="1" applyAlignment="1">
      <alignment horizontal="center"/>
    </xf>
    <xf numFmtId="0" fontId="31" fillId="4" borderId="3" xfId="0" applyFont="1" applyFill="1" applyBorder="1" applyAlignment="1">
      <alignment horizontal="center"/>
    </xf>
    <xf numFmtId="1" fontId="33" fillId="4" borderId="0" xfId="11" applyNumberFormat="1" applyFont="1" applyFill="1" applyAlignment="1">
      <alignment horizontal="left" vertical="center"/>
    </xf>
    <xf numFmtId="4" fontId="31" fillId="4" borderId="0" xfId="11" applyNumberFormat="1" applyFont="1" applyFill="1" applyAlignment="1">
      <alignment vertical="center"/>
    </xf>
    <xf numFmtId="0" fontId="32" fillId="4" borderId="0" xfId="11" applyFont="1" applyFill="1"/>
    <xf numFmtId="175" fontId="31" fillId="4" borderId="4" xfId="4" applyNumberFormat="1" applyFont="1" applyFill="1" applyBorder="1"/>
    <xf numFmtId="175" fontId="31" fillId="5" borderId="5" xfId="4" applyNumberFormat="1" applyFont="1" applyFill="1" applyBorder="1"/>
    <xf numFmtId="0" fontId="31" fillId="4" borderId="0" xfId="11" applyFont="1" applyFill="1" applyBorder="1" applyAlignment="1">
      <alignment vertical="center"/>
    </xf>
    <xf numFmtId="10" fontId="31" fillId="4" borderId="0" xfId="12" applyNumberFormat="1" applyFont="1" applyFill="1" applyAlignment="1">
      <alignment vertical="center"/>
    </xf>
    <xf numFmtId="10" fontId="31" fillId="4" borderId="0" xfId="12" applyNumberFormat="1" applyFont="1" applyFill="1"/>
    <xf numFmtId="4" fontId="31" fillId="4" borderId="14" xfId="0" applyNumberFormat="1" applyFont="1" applyFill="1" applyBorder="1"/>
    <xf numFmtId="10" fontId="31" fillId="4" borderId="14" xfId="12" applyNumberFormat="1" applyFont="1" applyFill="1" applyBorder="1"/>
    <xf numFmtId="0" fontId="30" fillId="6" borderId="4" xfId="0" applyFont="1" applyFill="1" applyBorder="1" applyAlignment="1">
      <alignment horizontal="center" vertical="center" wrapText="1"/>
    </xf>
    <xf numFmtId="4" fontId="31" fillId="4" borderId="11" xfId="0" applyNumberFormat="1" applyFont="1" applyFill="1" applyBorder="1"/>
    <xf numFmtId="9" fontId="30" fillId="6" borderId="14" xfId="12" applyNumberFormat="1" applyFont="1" applyFill="1" applyBorder="1" applyAlignment="1">
      <alignment horizontal="center" vertical="center" wrapText="1"/>
    </xf>
    <xf numFmtId="0" fontId="30" fillId="6" borderId="14" xfId="0" applyFont="1" applyFill="1" applyBorder="1" applyAlignment="1">
      <alignment horizontal="center" vertical="center" wrapText="1"/>
    </xf>
    <xf numFmtId="9" fontId="30" fillId="6" borderId="14" xfId="12" applyNumberFormat="1" applyFont="1" applyFill="1" applyBorder="1" applyAlignment="1">
      <alignment horizontal="center" vertical="center"/>
    </xf>
    <xf numFmtId="43" fontId="30" fillId="6" borderId="14" xfId="4" applyFont="1" applyFill="1" applyBorder="1" applyAlignment="1">
      <alignment vertical="center" wrapText="1"/>
    </xf>
    <xf numFmtId="4" fontId="31" fillId="4" borderId="12" xfId="0" applyNumberFormat="1" applyFont="1" applyFill="1" applyBorder="1"/>
    <xf numFmtId="169" fontId="31" fillId="4" borderId="0" xfId="11" applyNumberFormat="1" applyFont="1" applyFill="1" applyAlignment="1">
      <alignment vertical="center"/>
    </xf>
    <xf numFmtId="175" fontId="31" fillId="4" borderId="15" xfId="4" applyNumberFormat="1" applyFont="1" applyFill="1" applyBorder="1"/>
    <xf numFmtId="175" fontId="31" fillId="4" borderId="16" xfId="4" applyNumberFormat="1" applyFont="1" applyFill="1" applyBorder="1"/>
    <xf numFmtId="170" fontId="31" fillId="4" borderId="0" xfId="0" applyNumberFormat="1" applyFont="1" applyFill="1"/>
    <xf numFmtId="0" fontId="31" fillId="4" borderId="0" xfId="0" applyFont="1" applyFill="1" applyAlignment="1">
      <alignment vertical="top"/>
    </xf>
    <xf numFmtId="3" fontId="31" fillId="4" borderId="0" xfId="0" applyNumberFormat="1" applyFont="1" applyFill="1" applyAlignment="1">
      <alignment vertical="top"/>
    </xf>
    <xf numFmtId="3" fontId="31" fillId="4" borderId="0" xfId="0" applyNumberFormat="1" applyFont="1" applyFill="1" applyBorder="1" applyAlignment="1">
      <alignment vertical="top" wrapText="1"/>
    </xf>
    <xf numFmtId="0" fontId="31" fillId="4" borderId="17" xfId="0" applyFont="1" applyFill="1" applyBorder="1"/>
    <xf numFmtId="0" fontId="31" fillId="4" borderId="6" xfId="0" applyFont="1" applyFill="1" applyBorder="1"/>
    <xf numFmtId="0" fontId="31" fillId="4" borderId="7" xfId="0" applyFont="1" applyFill="1" applyBorder="1"/>
    <xf numFmtId="0" fontId="31" fillId="4" borderId="14" xfId="0" applyFont="1" applyFill="1" applyBorder="1" applyAlignment="1">
      <alignment horizontal="center"/>
    </xf>
    <xf numFmtId="0" fontId="31" fillId="4" borderId="8" xfId="0" applyFont="1" applyFill="1" applyBorder="1"/>
    <xf numFmtId="0" fontId="31" fillId="4" borderId="12" xfId="0" applyFont="1" applyFill="1" applyBorder="1"/>
    <xf numFmtId="0" fontId="31" fillId="4" borderId="9" xfId="0" applyFont="1" applyFill="1" applyBorder="1"/>
    <xf numFmtId="0" fontId="31" fillId="4" borderId="11" xfId="0" applyFont="1" applyFill="1" applyBorder="1"/>
    <xf numFmtId="0" fontId="31" fillId="4" borderId="10" xfId="0" applyFont="1" applyFill="1" applyBorder="1"/>
    <xf numFmtId="0" fontId="31" fillId="4" borderId="13" xfId="0" applyFont="1" applyFill="1" applyBorder="1"/>
    <xf numFmtId="173" fontId="31" fillId="4" borderId="0" xfId="0" applyNumberFormat="1" applyFont="1" applyFill="1" applyAlignment="1">
      <alignment vertical="top"/>
    </xf>
    <xf numFmtId="175" fontId="31" fillId="4" borderId="12" xfId="4" applyNumberFormat="1" applyFont="1" applyFill="1" applyBorder="1"/>
    <xf numFmtId="43" fontId="31" fillId="4" borderId="4" xfId="4" applyFont="1" applyFill="1" applyBorder="1"/>
    <xf numFmtId="43" fontId="31" fillId="4" borderId="3" xfId="4" applyFont="1" applyFill="1" applyBorder="1"/>
    <xf numFmtId="3" fontId="31" fillId="4" borderId="8" xfId="0" applyNumberFormat="1" applyFont="1" applyFill="1" applyBorder="1"/>
    <xf numFmtId="3" fontId="31" fillId="4" borderId="10" xfId="0" applyNumberFormat="1" applyFont="1" applyFill="1" applyBorder="1"/>
    <xf numFmtId="3" fontId="31" fillId="4" borderId="17" xfId="0" applyNumberFormat="1" applyFont="1" applyFill="1" applyBorder="1"/>
    <xf numFmtId="3" fontId="31" fillId="4" borderId="13" xfId="0" applyNumberFormat="1" applyFont="1" applyFill="1" applyBorder="1" applyAlignment="1">
      <alignment horizontal="center" vertical="top" wrapText="1"/>
    </xf>
    <xf numFmtId="169" fontId="31" fillId="4" borderId="0" xfId="0" applyNumberFormat="1" applyFont="1" applyFill="1"/>
    <xf numFmtId="3" fontId="31" fillId="4" borderId="4" xfId="12" applyNumberFormat="1" applyFont="1" applyFill="1" applyBorder="1"/>
    <xf numFmtId="3" fontId="31" fillId="4" borderId="5" xfId="12" applyNumberFormat="1" applyFont="1" applyFill="1" applyBorder="1"/>
    <xf numFmtId="3" fontId="31" fillId="4" borderId="3" xfId="12" applyNumberFormat="1" applyFont="1" applyFill="1" applyBorder="1"/>
    <xf numFmtId="3" fontId="31" fillId="4" borderId="14" xfId="12" applyNumberFormat="1" applyFont="1" applyFill="1" applyBorder="1"/>
    <xf numFmtId="43" fontId="31" fillId="4" borderId="14" xfId="4" applyNumberFormat="1" applyFont="1" applyFill="1" applyBorder="1"/>
    <xf numFmtId="175" fontId="31" fillId="8" borderId="14" xfId="4" applyNumberFormat="1" applyFont="1" applyFill="1" applyBorder="1"/>
    <xf numFmtId="175" fontId="31" fillId="5" borderId="4" xfId="4" applyNumberFormat="1" applyFont="1" applyFill="1" applyBorder="1"/>
    <xf numFmtId="175" fontId="31" fillId="5" borderId="3" xfId="4" applyNumberFormat="1" applyFont="1" applyFill="1" applyBorder="1"/>
    <xf numFmtId="3" fontId="30" fillId="6" borderId="4" xfId="0" applyNumberFormat="1" applyFont="1" applyFill="1" applyBorder="1"/>
    <xf numFmtId="0" fontId="30" fillId="6" borderId="0" xfId="0" applyFont="1" applyFill="1"/>
    <xf numFmtId="0" fontId="31" fillId="4" borderId="8" xfId="0" applyFont="1" applyFill="1" applyBorder="1" applyAlignment="1">
      <alignment horizontal="center"/>
    </xf>
    <xf numFmtId="0" fontId="30" fillId="6" borderId="3" xfId="0" applyFont="1" applyFill="1" applyBorder="1" applyAlignment="1">
      <alignment horizontal="center"/>
    </xf>
    <xf numFmtId="175" fontId="31" fillId="4" borderId="13" xfId="4" applyNumberFormat="1" applyFont="1" applyFill="1" applyBorder="1"/>
    <xf numFmtId="2" fontId="31" fillId="4" borderId="0" xfId="0" applyNumberFormat="1" applyFont="1" applyFill="1"/>
    <xf numFmtId="9" fontId="31" fillId="4" borderId="0" xfId="0" applyNumberFormat="1" applyFont="1" applyFill="1"/>
    <xf numFmtId="4" fontId="31" fillId="4" borderId="14" xfId="12" applyNumberFormat="1" applyFont="1" applyFill="1" applyBorder="1"/>
    <xf numFmtId="4" fontId="31" fillId="4" borderId="0" xfId="12" applyNumberFormat="1" applyFont="1" applyFill="1" applyBorder="1"/>
    <xf numFmtId="0" fontId="31" fillId="4" borderId="16" xfId="0" applyFont="1" applyFill="1" applyBorder="1"/>
    <xf numFmtId="0" fontId="30" fillId="6" borderId="4" xfId="0" applyFont="1" applyFill="1" applyBorder="1" applyAlignment="1">
      <alignment horizontal="center" vertical="top" wrapText="1"/>
    </xf>
    <xf numFmtId="175" fontId="31" fillId="5" borderId="11" xfId="4" applyNumberFormat="1" applyFont="1" applyFill="1" applyBorder="1"/>
    <xf numFmtId="3" fontId="31" fillId="4" borderId="17" xfId="12" applyNumberFormat="1" applyFont="1" applyFill="1" applyBorder="1"/>
    <xf numFmtId="171" fontId="31" fillId="4" borderId="0" xfId="0" applyNumberFormat="1" applyFont="1" applyFill="1"/>
    <xf numFmtId="2" fontId="30" fillId="6" borderId="3" xfId="0" applyNumberFormat="1" applyFont="1" applyFill="1" applyBorder="1" applyAlignment="1">
      <alignment horizontal="center" vertical="top" wrapText="1"/>
    </xf>
    <xf numFmtId="3" fontId="31" fillId="4" borderId="7" xfId="12" applyNumberFormat="1" applyFont="1" applyFill="1" applyBorder="1"/>
    <xf numFmtId="166" fontId="31" fillId="4" borderId="14" xfId="0" applyNumberFormat="1" applyFont="1" applyFill="1" applyBorder="1" applyAlignment="1">
      <alignment horizontal="center"/>
    </xf>
    <xf numFmtId="175" fontId="31" fillId="4" borderId="7" xfId="4" applyNumberFormat="1" applyFont="1" applyFill="1" applyBorder="1"/>
    <xf numFmtId="0" fontId="30" fillId="6" borderId="17" xfId="0" applyFont="1" applyFill="1" applyBorder="1"/>
    <xf numFmtId="0" fontId="30" fillId="6" borderId="6" xfId="0" applyFont="1" applyFill="1" applyBorder="1"/>
    <xf numFmtId="0" fontId="30" fillId="6" borderId="14" xfId="0" applyFont="1" applyFill="1" applyBorder="1" applyAlignment="1">
      <alignment horizontal="center"/>
    </xf>
    <xf numFmtId="167" fontId="31" fillId="4" borderId="4" xfId="0" applyNumberFormat="1" applyFont="1" applyFill="1" applyBorder="1"/>
    <xf numFmtId="0" fontId="20" fillId="4" borderId="0" xfId="0" applyFont="1" applyFill="1" applyBorder="1" applyAlignment="1">
      <alignment horizontal="left"/>
    </xf>
    <xf numFmtId="167" fontId="31" fillId="4" borderId="5" xfId="0" applyNumberFormat="1" applyFont="1" applyFill="1" applyBorder="1"/>
    <xf numFmtId="0" fontId="20" fillId="4" borderId="0" xfId="0" applyFont="1" applyFill="1" applyAlignment="1">
      <alignment horizontal="left"/>
    </xf>
    <xf numFmtId="167" fontId="31" fillId="4" borderId="3" xfId="0" applyNumberFormat="1" applyFont="1" applyFill="1" applyBorder="1"/>
    <xf numFmtId="175" fontId="31" fillId="3" borderId="4" xfId="4" applyNumberFormat="1" applyFont="1" applyFill="1" applyBorder="1"/>
    <xf numFmtId="175" fontId="31" fillId="5" borderId="15" xfId="4" applyNumberFormat="1" applyFont="1" applyFill="1" applyBorder="1"/>
    <xf numFmtId="175" fontId="31" fillId="5" borderId="0" xfId="4" applyNumberFormat="1" applyFont="1" applyFill="1" applyBorder="1"/>
    <xf numFmtId="175" fontId="31" fillId="3" borderId="3" xfId="4" applyNumberFormat="1" applyFont="1" applyFill="1" applyBorder="1"/>
    <xf numFmtId="175" fontId="31" fillId="5" borderId="16" xfId="4" applyNumberFormat="1" applyFont="1" applyFill="1" applyBorder="1"/>
    <xf numFmtId="43" fontId="31" fillId="4" borderId="0" xfId="4" applyFont="1" applyFill="1" applyBorder="1" applyAlignment="1">
      <alignment vertical="center"/>
    </xf>
    <xf numFmtId="43" fontId="31" fillId="4" borderId="0" xfId="4" applyFont="1" applyFill="1" applyAlignment="1">
      <alignment vertical="center"/>
    </xf>
    <xf numFmtId="4" fontId="31" fillId="4" borderId="4" xfId="12" applyNumberFormat="1" applyFont="1" applyFill="1" applyBorder="1"/>
    <xf numFmtId="4" fontId="31" fillId="4" borderId="5" xfId="12" applyNumberFormat="1" applyFont="1" applyFill="1" applyBorder="1"/>
    <xf numFmtId="0" fontId="31" fillId="4" borderId="0" xfId="0" applyFont="1" applyFill="1" applyBorder="1" applyAlignment="1">
      <alignment horizontal="center" vertical="top" wrapText="1"/>
    </xf>
    <xf numFmtId="177" fontId="31" fillId="4" borderId="0" xfId="11" applyNumberFormat="1" applyFont="1" applyFill="1" applyAlignment="1">
      <alignment vertical="center"/>
    </xf>
    <xf numFmtId="177" fontId="31" fillId="4" borderId="0" xfId="0" applyNumberFormat="1" applyFont="1" applyFill="1"/>
    <xf numFmtId="177" fontId="30" fillId="6" borderId="4" xfId="0" applyNumberFormat="1" applyFont="1" applyFill="1" applyBorder="1" applyAlignment="1">
      <alignment horizontal="center" vertical="top" wrapText="1"/>
    </xf>
    <xf numFmtId="172" fontId="31" fillId="4" borderId="0" xfId="0" applyNumberFormat="1" applyFont="1" applyFill="1"/>
    <xf numFmtId="167" fontId="31" fillId="4" borderId="0" xfId="12" applyNumberFormat="1" applyFont="1" applyFill="1" applyBorder="1" applyAlignment="1">
      <alignment horizontal="center" vertical="top" wrapText="1"/>
    </xf>
    <xf numFmtId="167" fontId="31" fillId="4" borderId="12" xfId="0" applyNumberFormat="1" applyFont="1" applyFill="1" applyBorder="1"/>
    <xf numFmtId="172" fontId="31" fillId="4" borderId="0" xfId="0" applyNumberFormat="1" applyFont="1" applyFill="1" applyBorder="1"/>
    <xf numFmtId="167" fontId="31" fillId="4" borderId="11" xfId="0" applyNumberFormat="1" applyFont="1" applyFill="1" applyBorder="1"/>
    <xf numFmtId="167" fontId="31" fillId="4" borderId="13" xfId="0" applyNumberFormat="1" applyFont="1" applyFill="1" applyBorder="1"/>
    <xf numFmtId="172" fontId="31" fillId="4" borderId="14" xfId="0" applyNumberFormat="1" applyFont="1" applyFill="1" applyBorder="1"/>
    <xf numFmtId="172" fontId="31" fillId="4" borderId="0" xfId="12" applyNumberFormat="1" applyFont="1" applyFill="1" applyBorder="1"/>
    <xf numFmtId="3" fontId="31" fillId="3" borderId="7" xfId="12" applyNumberFormat="1" applyFont="1" applyFill="1" applyBorder="1"/>
    <xf numFmtId="0" fontId="35" fillId="4" borderId="0" xfId="0" applyFont="1" applyFill="1"/>
    <xf numFmtId="0" fontId="36" fillId="4" borderId="5" xfId="0" applyFont="1" applyFill="1" applyBorder="1" applyAlignment="1">
      <alignment horizontal="center"/>
    </xf>
    <xf numFmtId="0" fontId="36" fillId="4" borderId="5" xfId="0" applyFont="1" applyFill="1" applyBorder="1"/>
    <xf numFmtId="3" fontId="36" fillId="4" borderId="5" xfId="12" applyNumberFormat="1" applyFont="1" applyFill="1" applyBorder="1" applyAlignment="1">
      <alignment horizontal="right"/>
    </xf>
    <xf numFmtId="0" fontId="36" fillId="4" borderId="0" xfId="0" applyFont="1" applyFill="1"/>
    <xf numFmtId="168" fontId="31" fillId="4" borderId="0" xfId="0" applyNumberFormat="1" applyFont="1" applyFill="1"/>
    <xf numFmtId="172" fontId="31" fillId="4" borderId="14" xfId="12" applyNumberFormat="1" applyFont="1" applyFill="1" applyBorder="1"/>
    <xf numFmtId="172" fontId="36" fillId="4" borderId="4" xfId="0" applyNumberFormat="1" applyFont="1" applyFill="1" applyBorder="1"/>
    <xf numFmtId="0" fontId="31" fillId="8" borderId="0" xfId="0" applyFont="1" applyFill="1"/>
    <xf numFmtId="14" fontId="31" fillId="8" borderId="0" xfId="0" applyNumberFormat="1" applyFont="1" applyFill="1"/>
    <xf numFmtId="0" fontId="31" fillId="8" borderId="0" xfId="0" applyFont="1" applyFill="1" applyBorder="1"/>
    <xf numFmtId="0" fontId="32" fillId="8" borderId="0" xfId="0" applyFont="1" applyFill="1"/>
    <xf numFmtId="174" fontId="31" fillId="8" borderId="0" xfId="0" applyNumberFormat="1" applyFont="1" applyFill="1" applyBorder="1"/>
    <xf numFmtId="0" fontId="31" fillId="8" borderId="0" xfId="0" applyFont="1" applyFill="1" applyAlignment="1">
      <alignment horizontal="center" wrapText="1"/>
    </xf>
    <xf numFmtId="43" fontId="31" fillId="8" borderId="0" xfId="4" applyFont="1" applyFill="1"/>
    <xf numFmtId="3" fontId="31" fillId="8" borderId="0" xfId="0" applyNumberFormat="1" applyFont="1" applyFill="1"/>
    <xf numFmtId="2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9" fontId="31" fillId="8" borderId="0" xfId="0" applyNumberFormat="1" applyFont="1" applyFill="1" applyBorder="1" applyAlignment="1">
      <alignment horizontal="center" vertical="top" wrapText="1"/>
    </xf>
    <xf numFmtId="2" fontId="31" fillId="8" borderId="0" xfId="0" applyNumberFormat="1" applyFont="1" applyFill="1" applyBorder="1" applyAlignment="1">
      <alignment horizontal="center"/>
    </xf>
    <xf numFmtId="10" fontId="31" fillId="8" borderId="14" xfId="0" applyNumberFormat="1" applyFont="1" applyFill="1" applyBorder="1" applyAlignment="1">
      <alignment horizontal="center" vertical="top" wrapText="1"/>
    </xf>
    <xf numFmtId="170" fontId="31" fillId="8" borderId="0" xfId="0" applyNumberFormat="1" applyFont="1" applyFill="1" applyBorder="1"/>
    <xf numFmtId="3" fontId="31" fillId="8" borderId="0" xfId="0" applyNumberFormat="1" applyFont="1" applyFill="1" applyBorder="1"/>
    <xf numFmtId="43" fontId="31" fillId="8" borderId="0" xfId="4" applyFont="1" applyFill="1" applyBorder="1"/>
    <xf numFmtId="0" fontId="31" fillId="8" borderId="14" xfId="0" applyFont="1" applyFill="1" applyBorder="1"/>
    <xf numFmtId="43" fontId="31" fillId="8" borderId="14" xfId="4" applyFont="1" applyFill="1" applyBorder="1"/>
    <xf numFmtId="0" fontId="31" fillId="8" borderId="0" xfId="0" applyFont="1" applyFill="1" applyAlignment="1">
      <alignment vertical="top"/>
    </xf>
    <xf numFmtId="0" fontId="33" fillId="8" borderId="0" xfId="0" applyFont="1" applyFill="1"/>
    <xf numFmtId="14" fontId="31" fillId="7" borderId="14" xfId="0" applyNumberFormat="1" applyFont="1" applyFill="1" applyBorder="1" applyAlignment="1">
      <alignment horizontal="center"/>
    </xf>
    <xf numFmtId="9" fontId="31" fillId="7" borderId="14" xfId="0" applyNumberFormat="1" applyFont="1" applyFill="1" applyBorder="1" applyAlignment="1">
      <alignment horizontal="center" vertical="top" wrapText="1"/>
    </xf>
    <xf numFmtId="10" fontId="31" fillId="7" borderId="14" xfId="0" applyNumberFormat="1" applyFont="1" applyFill="1" applyBorder="1" applyAlignment="1">
      <alignment horizontal="center"/>
    </xf>
    <xf numFmtId="0" fontId="31" fillId="8" borderId="0" xfId="0" applyFont="1" applyFill="1" applyBorder="1" applyAlignment="1"/>
    <xf numFmtId="0" fontId="31" fillId="8" borderId="0" xfId="0" applyFont="1" applyFill="1" applyBorder="1" applyAlignment="1">
      <alignment horizontal="left" vertical="top"/>
    </xf>
    <xf numFmtId="0" fontId="31" fillId="8" borderId="0" xfId="0" applyFont="1" applyFill="1" applyBorder="1" applyAlignment="1">
      <alignment horizontal="left"/>
    </xf>
    <xf numFmtId="3" fontId="31" fillId="7" borderId="14" xfId="0" applyNumberFormat="1" applyFont="1" applyFill="1" applyBorder="1"/>
    <xf numFmtId="3" fontId="31" fillId="8" borderId="14" xfId="0" applyNumberFormat="1" applyFont="1" applyFill="1" applyBorder="1"/>
    <xf numFmtId="3" fontId="31" fillId="8" borderId="14" xfId="0" applyNumberFormat="1" applyFont="1" applyFill="1" applyBorder="1" applyAlignment="1">
      <alignment horizontal="center"/>
    </xf>
    <xf numFmtId="9" fontId="31" fillId="7" borderId="14" xfId="0" applyNumberFormat="1" applyFont="1" applyFill="1" applyBorder="1" applyAlignment="1">
      <alignment horizontal="center"/>
    </xf>
    <xf numFmtId="0" fontId="31" fillId="7" borderId="14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176" fontId="31" fillId="8" borderId="14" xfId="4" applyNumberFormat="1" applyFont="1" applyFill="1" applyBorder="1"/>
    <xf numFmtId="175" fontId="31" fillId="8" borderId="17" xfId="4" applyNumberFormat="1" applyFont="1" applyFill="1" applyBorder="1"/>
    <xf numFmtId="0" fontId="31" fillId="8" borderId="7" xfId="0" applyFont="1" applyFill="1" applyBorder="1"/>
    <xf numFmtId="2" fontId="31" fillId="8" borderId="4" xfId="0" applyNumberFormat="1" applyFont="1" applyFill="1" applyBorder="1"/>
    <xf numFmtId="0" fontId="31" fillId="8" borderId="0" xfId="0" quotePrefix="1" applyFont="1" applyFill="1" applyBorder="1"/>
    <xf numFmtId="170" fontId="31" fillId="8" borderId="14" xfId="0" applyNumberFormat="1" applyFont="1" applyFill="1" applyBorder="1"/>
    <xf numFmtId="174" fontId="31" fillId="8" borderId="14" xfId="0" applyNumberFormat="1" applyFont="1" applyFill="1" applyBorder="1"/>
    <xf numFmtId="0" fontId="31" fillId="8" borderId="0" xfId="0" applyFont="1" applyFill="1" applyBorder="1" applyAlignment="1">
      <alignment horizontal="center" vertical="center" wrapText="1"/>
    </xf>
    <xf numFmtId="0" fontId="37" fillId="8" borderId="0" xfId="0" applyFont="1" applyFill="1"/>
    <xf numFmtId="0" fontId="33" fillId="8" borderId="0" xfId="0" applyFont="1" applyFill="1" applyBorder="1"/>
    <xf numFmtId="0" fontId="30" fillId="6" borderId="3" xfId="0" applyFont="1" applyFill="1" applyBorder="1" applyAlignment="1">
      <alignment horizontal="center" vertical="center" wrapText="1"/>
    </xf>
    <xf numFmtId="4" fontId="31" fillId="4" borderId="0" xfId="0" applyNumberFormat="1" applyFont="1" applyFill="1" applyBorder="1"/>
    <xf numFmtId="1" fontId="33" fillId="4" borderId="0" xfId="11" applyNumberFormat="1" applyFont="1" applyFill="1" applyAlignment="1">
      <alignment horizontal="left" vertical="center"/>
    </xf>
    <xf numFmtId="175" fontId="31" fillId="8" borderId="0" xfId="4" applyNumberFormat="1" applyFont="1" applyFill="1"/>
    <xf numFmtId="0" fontId="38" fillId="8" borderId="0" xfId="0" applyFont="1" applyFill="1"/>
    <xf numFmtId="175" fontId="38" fillId="8" borderId="0" xfId="4" applyNumberFormat="1" applyFont="1" applyFill="1"/>
    <xf numFmtId="175" fontId="30" fillId="6" borderId="0" xfId="4" applyNumberFormat="1" applyFont="1" applyFill="1"/>
    <xf numFmtId="0" fontId="38" fillId="8" borderId="0" xfId="0" applyFont="1" applyFill="1" applyAlignment="1">
      <alignment horizontal="right"/>
    </xf>
    <xf numFmtId="169" fontId="34" fillId="4" borderId="0" xfId="11" applyNumberFormat="1" applyFont="1" applyFill="1" applyAlignment="1">
      <alignment vertical="center"/>
    </xf>
    <xf numFmtId="169" fontId="34" fillId="4" borderId="0" xfId="11" applyNumberFormat="1" applyFont="1" applyFill="1" applyBorder="1" applyAlignment="1">
      <alignment vertical="center"/>
    </xf>
    <xf numFmtId="176" fontId="31" fillId="4" borderId="0" xfId="14" applyNumberFormat="1" applyFont="1" applyFill="1" applyBorder="1" applyAlignment="1">
      <alignment vertical="center"/>
    </xf>
    <xf numFmtId="0" fontId="32" fillId="4" borderId="0" xfId="11" applyFont="1" applyFill="1" applyBorder="1"/>
    <xf numFmtId="176" fontId="32" fillId="4" borderId="0" xfId="14" applyNumberFormat="1" applyFont="1" applyFill="1" applyBorder="1"/>
    <xf numFmtId="0" fontId="31" fillId="4" borderId="0" xfId="15" applyFont="1" applyFill="1"/>
    <xf numFmtId="0" fontId="31" fillId="4" borderId="0" xfId="15" applyFont="1" applyFill="1" applyBorder="1"/>
    <xf numFmtId="176" fontId="31" fillId="4" borderId="0" xfId="14" applyNumberFormat="1" applyFont="1" applyFill="1" applyBorder="1"/>
    <xf numFmtId="3" fontId="19" fillId="4" borderId="5" xfId="15" applyNumberFormat="1" applyFont="1" applyFill="1" applyBorder="1" applyAlignment="1">
      <alignment horizontal="right"/>
    </xf>
    <xf numFmtId="165" fontId="31" fillId="4" borderId="5" xfId="14" applyFont="1" applyFill="1" applyBorder="1"/>
    <xf numFmtId="176" fontId="19" fillId="4" borderId="0" xfId="14" applyNumberFormat="1" applyFont="1" applyFill="1" applyBorder="1" applyAlignment="1">
      <alignment horizontal="left"/>
    </xf>
    <xf numFmtId="3" fontId="19" fillId="4" borderId="0" xfId="15" applyNumberFormat="1" applyFont="1" applyFill="1" applyBorder="1" applyAlignment="1">
      <alignment horizontal="right"/>
    </xf>
    <xf numFmtId="176" fontId="31" fillId="4" borderId="0" xfId="15" applyNumberFormat="1" applyFont="1" applyFill="1" applyBorder="1"/>
    <xf numFmtId="3" fontId="31" fillId="4" borderId="0" xfId="15" applyNumberFormat="1" applyFont="1" applyFill="1"/>
    <xf numFmtId="0" fontId="30" fillId="4" borderId="0" xfId="15" applyFont="1" applyFill="1" applyBorder="1" applyAlignment="1">
      <alignment vertical="center"/>
    </xf>
    <xf numFmtId="176" fontId="30" fillId="4" borderId="0" xfId="14" applyNumberFormat="1" applyFont="1" applyFill="1" applyBorder="1" applyAlignment="1">
      <alignment horizontal="center" vertical="center" wrapText="1"/>
    </xf>
    <xf numFmtId="176" fontId="30" fillId="4" borderId="0" xfId="14" applyNumberFormat="1" applyFont="1" applyFill="1" applyBorder="1" applyAlignment="1">
      <alignment vertical="center"/>
    </xf>
    <xf numFmtId="0" fontId="30" fillId="4" borderId="0" xfId="15" applyFont="1" applyFill="1" applyAlignment="1">
      <alignment vertical="center"/>
    </xf>
    <xf numFmtId="0" fontId="31" fillId="4" borderId="4" xfId="15" applyFont="1" applyFill="1" applyBorder="1"/>
    <xf numFmtId="0" fontId="31" fillId="4" borderId="5" xfId="15" applyFont="1" applyFill="1" applyBorder="1"/>
    <xf numFmtId="0" fontId="30" fillId="6" borderId="4" xfId="15" applyFont="1" applyFill="1" applyBorder="1" applyAlignment="1">
      <alignment horizontal="center" vertical="center" wrapText="1"/>
    </xf>
    <xf numFmtId="175" fontId="31" fillId="4" borderId="14" xfId="4" applyNumberFormat="1" applyFont="1" applyFill="1" applyBorder="1" applyAlignment="1">
      <alignment horizontal="center"/>
    </xf>
    <xf numFmtId="0" fontId="31" fillId="7" borderId="14" xfId="0" applyFont="1" applyFill="1" applyBorder="1"/>
    <xf numFmtId="175" fontId="31" fillId="4" borderId="7" xfId="4" applyNumberFormat="1" applyFont="1" applyFill="1" applyBorder="1" applyAlignment="1">
      <alignment horizontal="center"/>
    </xf>
    <xf numFmtId="175" fontId="31" fillId="5" borderId="14" xfId="4" applyNumberFormat="1" applyFont="1" applyFill="1" applyBorder="1" applyAlignment="1">
      <alignment horizontal="center"/>
    </xf>
    <xf numFmtId="172" fontId="36" fillId="5" borderId="4" xfId="0" applyNumberFormat="1" applyFont="1" applyFill="1" applyBorder="1"/>
    <xf numFmtId="172" fontId="36" fillId="5" borderId="5" xfId="0" applyNumberFormat="1" applyFont="1" applyFill="1" applyBorder="1"/>
    <xf numFmtId="172" fontId="31" fillId="5" borderId="14" xfId="0" applyNumberFormat="1" applyFont="1" applyFill="1" applyBorder="1"/>
    <xf numFmtId="172" fontId="36" fillId="5" borderId="3" xfId="0" applyNumberFormat="1" applyFont="1" applyFill="1" applyBorder="1"/>
    <xf numFmtId="0" fontId="31" fillId="7" borderId="14" xfId="15" applyFont="1" applyFill="1" applyBorder="1" applyAlignment="1">
      <alignment horizontal="center"/>
    </xf>
    <xf numFmtId="175" fontId="31" fillId="7" borderId="3" xfId="4" applyNumberFormat="1" applyFont="1" applyFill="1" applyBorder="1" applyAlignment="1">
      <alignment horizontal="center"/>
    </xf>
    <xf numFmtId="175" fontId="31" fillId="7" borderId="14" xfId="4" applyNumberFormat="1" applyFont="1" applyFill="1" applyBorder="1"/>
    <xf numFmtId="0" fontId="31" fillId="7" borderId="14" xfId="4" applyNumberFormat="1" applyFont="1" applyFill="1" applyBorder="1" applyAlignment="1">
      <alignment horizontal="center"/>
    </xf>
    <xf numFmtId="0" fontId="42" fillId="6" borderId="0" xfId="0" applyFont="1" applyFill="1"/>
    <xf numFmtId="0" fontId="31" fillId="7" borderId="4" xfId="15" applyFont="1" applyFill="1" applyBorder="1" applyAlignment="1">
      <alignment horizontal="center"/>
    </xf>
    <xf numFmtId="0" fontId="31" fillId="7" borderId="5" xfId="15" applyFont="1" applyFill="1" applyBorder="1" applyAlignment="1">
      <alignment horizontal="center"/>
    </xf>
    <xf numFmtId="175" fontId="31" fillId="4" borderId="0" xfId="15" applyNumberFormat="1" applyFont="1" applyFill="1"/>
    <xf numFmtId="175" fontId="31" fillId="4" borderId="3" xfId="4" applyNumberFormat="1" applyFont="1" applyFill="1" applyBorder="1" applyAlignment="1">
      <alignment horizontal="center"/>
    </xf>
    <xf numFmtId="175" fontId="31" fillId="8" borderId="0" xfId="4" applyNumberFormat="1" applyFont="1" applyFill="1" applyBorder="1"/>
    <xf numFmtId="43" fontId="31" fillId="7" borderId="14" xfId="4" applyFont="1" applyFill="1" applyBorder="1" applyAlignment="1">
      <alignment horizontal="center"/>
    </xf>
    <xf numFmtId="0" fontId="41" fillId="4" borderId="0" xfId="0" applyFont="1" applyFill="1"/>
    <xf numFmtId="175" fontId="41" fillId="4" borderId="0" xfId="4" applyNumberFormat="1" applyFont="1" applyFill="1"/>
    <xf numFmtId="0" fontId="41" fillId="8" borderId="0" xfId="0" applyFont="1" applyFill="1"/>
    <xf numFmtId="175" fontId="41" fillId="3" borderId="0" xfId="4" applyNumberFormat="1" applyFont="1" applyFill="1"/>
    <xf numFmtId="43" fontId="41" fillId="4" borderId="0" xfId="4" applyFont="1" applyFill="1"/>
    <xf numFmtId="175" fontId="41" fillId="4" borderId="16" xfId="4" applyNumberFormat="1" applyFont="1" applyFill="1" applyBorder="1"/>
    <xf numFmtId="175" fontId="43" fillId="4" borderId="0" xfId="4" applyNumberFormat="1" applyFont="1" applyFill="1"/>
    <xf numFmtId="0" fontId="43" fillId="4" borderId="0" xfId="0" applyFont="1" applyFill="1"/>
    <xf numFmtId="0" fontId="41" fillId="4" borderId="0" xfId="0" applyFont="1" applyFill="1" applyAlignment="1">
      <alignment horizontal="right"/>
    </xf>
    <xf numFmtId="0" fontId="41" fillId="4" borderId="0" xfId="0" applyFont="1" applyFill="1" applyAlignment="1">
      <alignment horizontal="left"/>
    </xf>
    <xf numFmtId="43" fontId="36" fillId="4" borderId="14" xfId="4" applyFont="1" applyFill="1" applyBorder="1"/>
    <xf numFmtId="0" fontId="20" fillId="0" borderId="0" xfId="0" applyFont="1" applyFill="1" applyAlignment="1">
      <alignment horizontal="left"/>
    </xf>
    <xf numFmtId="0" fontId="31" fillId="0" borderId="0" xfId="0" applyFont="1" applyFill="1"/>
    <xf numFmtId="10" fontId="31" fillId="8" borderId="3" xfId="12" applyNumberFormat="1" applyFont="1" applyFill="1" applyBorder="1"/>
    <xf numFmtId="2" fontId="31" fillId="8" borderId="14" xfId="0" applyNumberFormat="1" applyFont="1" applyFill="1" applyBorder="1" applyAlignment="1"/>
    <xf numFmtId="2" fontId="31" fillId="7" borderId="4" xfId="0" applyNumberFormat="1" applyFont="1" applyFill="1" applyBorder="1" applyAlignment="1"/>
    <xf numFmtId="2" fontId="31" fillId="8" borderId="14" xfId="4" applyNumberFormat="1" applyFont="1" applyFill="1" applyBorder="1"/>
    <xf numFmtId="4" fontId="31" fillId="4" borderId="5" xfId="0" applyNumberFormat="1" applyFont="1" applyFill="1" applyBorder="1"/>
    <xf numFmtId="43" fontId="31" fillId="4" borderId="5" xfId="4" applyNumberFormat="1" applyFont="1" applyFill="1" applyBorder="1"/>
    <xf numFmtId="176" fontId="31" fillId="5" borderId="14" xfId="4" applyNumberFormat="1" applyFont="1" applyFill="1" applyBorder="1"/>
    <xf numFmtId="175" fontId="31" fillId="7" borderId="14" xfId="4" applyNumberFormat="1" applyFont="1" applyFill="1" applyBorder="1" applyAlignment="1">
      <alignment horizontal="center" vertical="center" wrapText="1"/>
    </xf>
    <xf numFmtId="171" fontId="31" fillId="8" borderId="14" xfId="0" applyNumberFormat="1" applyFont="1" applyFill="1" applyBorder="1"/>
    <xf numFmtId="10" fontId="31" fillId="7" borderId="17" xfId="0" applyNumberFormat="1" applyFont="1" applyFill="1" applyBorder="1" applyAlignment="1">
      <alignment horizontal="center"/>
    </xf>
    <xf numFmtId="0" fontId="31" fillId="8" borderId="14" xfId="0" applyFont="1" applyFill="1" applyBorder="1" applyAlignment="1">
      <alignment horizontal="right"/>
    </xf>
    <xf numFmtId="3" fontId="31" fillId="4" borderId="14" xfId="0" applyNumberFormat="1" applyFont="1" applyFill="1" applyBorder="1"/>
    <xf numFmtId="43" fontId="30" fillId="6" borderId="14" xfId="4" applyNumberFormat="1" applyFont="1" applyFill="1" applyBorder="1"/>
    <xf numFmtId="1" fontId="31" fillId="4" borderId="14" xfId="0" applyNumberFormat="1" applyFont="1" applyFill="1" applyBorder="1"/>
    <xf numFmtId="10" fontId="31" fillId="4" borderId="14" xfId="0" applyNumberFormat="1" applyFont="1" applyFill="1" applyBorder="1"/>
    <xf numFmtId="175" fontId="31" fillId="4" borderId="0" xfId="4" quotePrefix="1" applyNumberFormat="1" applyFont="1" applyFill="1" applyBorder="1"/>
    <xf numFmtId="10" fontId="31" fillId="4" borderId="0" xfId="0" applyNumberFormat="1" applyFont="1" applyFill="1" applyBorder="1"/>
    <xf numFmtId="43" fontId="31" fillId="7" borderId="14" xfId="4" applyNumberFormat="1" applyFont="1" applyFill="1" applyBorder="1"/>
    <xf numFmtId="43" fontId="31" fillId="4" borderId="0" xfId="4" applyNumberFormat="1" applyFont="1" applyFill="1"/>
    <xf numFmtId="0" fontId="31" fillId="4" borderId="0" xfId="0" applyFont="1" applyFill="1" applyAlignment="1">
      <alignment horizontal="left" vertical="center"/>
    </xf>
    <xf numFmtId="0" fontId="31" fillId="4" borderId="0" xfId="0" applyFont="1" applyFill="1" applyAlignment="1">
      <alignment vertical="center"/>
    </xf>
    <xf numFmtId="175" fontId="30" fillId="6" borderId="4" xfId="4" applyNumberFormat="1" applyFont="1" applyFill="1" applyBorder="1" applyAlignment="1">
      <alignment horizontal="center" vertical="center" wrapText="1"/>
    </xf>
    <xf numFmtId="175" fontId="31" fillId="4" borderId="0" xfId="4" applyNumberFormat="1" applyFont="1" applyFill="1" applyBorder="1" applyAlignment="1">
      <alignment horizontal="center"/>
    </xf>
    <xf numFmtId="175" fontId="30" fillId="6" borderId="5" xfId="4" applyNumberFormat="1" applyFont="1" applyFill="1" applyBorder="1" applyAlignment="1">
      <alignment horizontal="center" vertical="center" wrapText="1"/>
    </xf>
    <xf numFmtId="0" fontId="30" fillId="6" borderId="4" xfId="0" applyFont="1" applyFill="1" applyBorder="1" applyAlignment="1">
      <alignment horizontal="center" vertical="center" wrapText="1"/>
    </xf>
    <xf numFmtId="175" fontId="31" fillId="4" borderId="0" xfId="4" applyNumberFormat="1" applyFont="1" applyFill="1" applyBorder="1" applyAlignment="1">
      <alignment vertical="center"/>
    </xf>
    <xf numFmtId="175" fontId="30" fillId="6" borderId="15" xfId="4" applyNumberFormat="1" applyFont="1" applyFill="1" applyBorder="1" applyAlignment="1">
      <alignment horizontal="center" vertical="center" wrapText="1"/>
    </xf>
    <xf numFmtId="175" fontId="30" fillId="6" borderId="16" xfId="4" applyNumberFormat="1" applyFont="1" applyFill="1" applyBorder="1" applyAlignment="1">
      <alignment horizontal="center" vertical="top" wrapText="1"/>
    </xf>
    <xf numFmtId="9" fontId="31" fillId="7" borderId="14" xfId="12" applyFont="1" applyFill="1" applyBorder="1"/>
    <xf numFmtId="165" fontId="31" fillId="8" borderId="0" xfId="0" applyNumberFormat="1" applyFont="1" applyFill="1"/>
    <xf numFmtId="0" fontId="31" fillId="4" borderId="0" xfId="0" applyFont="1" applyFill="1" applyBorder="1" applyAlignment="1">
      <alignment horizontal="left"/>
    </xf>
    <xf numFmtId="175" fontId="30" fillId="6" borderId="14" xfId="4" applyNumberFormat="1" applyFont="1" applyFill="1" applyBorder="1" applyAlignment="1">
      <alignment horizontal="center" vertical="center" wrapText="1"/>
    </xf>
    <xf numFmtId="3" fontId="31" fillId="4" borderId="0" xfId="0" applyNumberFormat="1" applyFont="1" applyFill="1" applyBorder="1"/>
    <xf numFmtId="3" fontId="31" fillId="4" borderId="7" xfId="0" applyNumberFormat="1" applyFont="1" applyFill="1" applyBorder="1"/>
    <xf numFmtId="0" fontId="31" fillId="4" borderId="9" xfId="0" applyFont="1" applyFill="1" applyBorder="1" applyAlignment="1">
      <alignment horizontal="center"/>
    </xf>
    <xf numFmtId="3" fontId="31" fillId="4" borderId="4" xfId="0" applyNumberFormat="1" applyFont="1" applyFill="1" applyBorder="1"/>
    <xf numFmtId="166" fontId="31" fillId="4" borderId="6" xfId="0" applyNumberFormat="1" applyFont="1" applyFill="1" applyBorder="1" applyAlignment="1">
      <alignment horizontal="center"/>
    </xf>
    <xf numFmtId="175" fontId="31" fillId="4" borderId="6" xfId="4" applyNumberFormat="1" applyFont="1" applyFill="1" applyBorder="1"/>
    <xf numFmtId="43" fontId="30" fillId="6" borderId="3" xfId="4" applyFont="1" applyFill="1" applyBorder="1" applyAlignment="1">
      <alignment horizontal="center" vertical="center"/>
    </xf>
    <xf numFmtId="175" fontId="31" fillId="3" borderId="7" xfId="4" applyNumberFormat="1" applyFont="1" applyFill="1" applyBorder="1"/>
    <xf numFmtId="175" fontId="31" fillId="4" borderId="4" xfId="4" applyNumberFormat="1" applyFont="1" applyFill="1" applyBorder="1" applyAlignment="1">
      <alignment horizontal="center"/>
    </xf>
    <xf numFmtId="175" fontId="31" fillId="4" borderId="5" xfId="4" applyNumberFormat="1" applyFont="1" applyFill="1" applyBorder="1" applyAlignment="1">
      <alignment horizontal="center"/>
    </xf>
    <xf numFmtId="4" fontId="31" fillId="4" borderId="6" xfId="12" applyNumberFormat="1" applyFont="1" applyFill="1" applyBorder="1"/>
    <xf numFmtId="177" fontId="31" fillId="4" borderId="6" xfId="4" applyNumberFormat="1" applyFont="1" applyFill="1" applyBorder="1"/>
    <xf numFmtId="0" fontId="31" fillId="4" borderId="4" xfId="15" applyFont="1" applyFill="1" applyBorder="1" applyAlignment="1">
      <alignment horizontal="center"/>
    </xf>
    <xf numFmtId="0" fontId="31" fillId="4" borderId="5" xfId="15" applyFont="1" applyFill="1" applyBorder="1" applyAlignment="1">
      <alignment horizontal="center"/>
    </xf>
    <xf numFmtId="0" fontId="31" fillId="4" borderId="3" xfId="15" applyFont="1" applyFill="1" applyBorder="1" applyAlignment="1">
      <alignment horizontal="center"/>
    </xf>
    <xf numFmtId="0" fontId="36" fillId="4" borderId="4" xfId="0" applyFont="1" applyFill="1" applyBorder="1" applyAlignment="1">
      <alignment horizontal="center"/>
    </xf>
    <xf numFmtId="172" fontId="36" fillId="5" borderId="12" xfId="0" applyNumberFormat="1" applyFont="1" applyFill="1" applyBorder="1"/>
    <xf numFmtId="172" fontId="36" fillId="5" borderId="11" xfId="0" applyNumberFormat="1" applyFont="1" applyFill="1" applyBorder="1"/>
    <xf numFmtId="3" fontId="36" fillId="4" borderId="0" xfId="12" applyNumberFormat="1" applyFont="1" applyFill="1" applyBorder="1"/>
    <xf numFmtId="172" fontId="36" fillId="4" borderId="0" xfId="0" applyNumberFormat="1" applyFont="1" applyFill="1" applyBorder="1"/>
    <xf numFmtId="43" fontId="36" fillId="4" borderId="9" xfId="4" applyFont="1" applyFill="1" applyBorder="1"/>
    <xf numFmtId="3" fontId="36" fillId="4" borderId="4" xfId="12" applyNumberFormat="1" applyFont="1" applyFill="1" applyBorder="1" applyAlignment="1">
      <alignment horizontal="right"/>
    </xf>
    <xf numFmtId="172" fontId="36" fillId="4" borderId="5" xfId="0" applyNumberFormat="1" applyFont="1" applyFill="1" applyBorder="1"/>
    <xf numFmtId="0" fontId="31" fillId="8" borderId="0" xfId="0" applyFont="1" applyFill="1" applyBorder="1" applyAlignment="1">
      <alignment horizontal="right"/>
    </xf>
    <xf numFmtId="3" fontId="36" fillId="4" borderId="0" xfId="0" applyNumberFormat="1" applyFont="1" applyFill="1"/>
    <xf numFmtId="43" fontId="31" fillId="7" borderId="17" xfId="4" applyFont="1" applyFill="1" applyBorder="1"/>
    <xf numFmtId="167" fontId="31" fillId="7" borderId="14" xfId="0" applyNumberFormat="1" applyFont="1" applyFill="1" applyBorder="1" applyAlignment="1">
      <alignment horizontal="center"/>
    </xf>
    <xf numFmtId="43" fontId="30" fillId="6" borderId="4" xfId="4" applyFont="1" applyFill="1" applyBorder="1" applyAlignment="1">
      <alignment horizontal="center" vertical="center" wrapText="1"/>
    </xf>
    <xf numFmtId="175" fontId="41" fillId="4" borderId="0" xfId="4" applyNumberFormat="1" applyFont="1" applyFill="1" applyAlignment="1">
      <alignment horizontal="right"/>
    </xf>
    <xf numFmtId="43" fontId="30" fillId="6" borderId="5" xfId="4" applyFont="1" applyFill="1" applyBorder="1" applyAlignment="1">
      <alignment horizontal="center" vertical="top" wrapText="1"/>
    </xf>
    <xf numFmtId="43" fontId="31" fillId="4" borderId="0" xfId="4" applyFont="1" applyFill="1" applyAlignment="1">
      <alignment horizontal="center"/>
    </xf>
    <xf numFmtId="43" fontId="31" fillId="4" borderId="0" xfId="4" applyFont="1" applyFill="1" applyBorder="1" applyAlignment="1">
      <alignment horizontal="center"/>
    </xf>
    <xf numFmtId="43" fontId="31" fillId="4" borderId="0" xfId="4" applyFont="1" applyFill="1" applyBorder="1" applyAlignment="1">
      <alignment horizontal="left"/>
    </xf>
    <xf numFmtId="43" fontId="31" fillId="4" borderId="0" xfId="4" applyFont="1" applyFill="1" applyAlignment="1">
      <alignment horizontal="left"/>
    </xf>
    <xf numFmtId="43" fontId="32" fillId="4" borderId="0" xfId="4" applyFont="1" applyFill="1"/>
    <xf numFmtId="43" fontId="31" fillId="4" borderId="0" xfId="4" applyFont="1" applyFill="1" applyAlignment="1">
      <alignment horizontal="center" vertical="top" wrapText="1"/>
    </xf>
    <xf numFmtId="43" fontId="30" fillId="6" borderId="14" xfId="4" applyFont="1" applyFill="1" applyBorder="1" applyAlignment="1">
      <alignment horizontal="center"/>
    </xf>
    <xf numFmtId="43" fontId="31" fillId="4" borderId="9" xfId="4" applyFont="1" applyFill="1" applyBorder="1"/>
    <xf numFmtId="43" fontId="31" fillId="2" borderId="5" xfId="4" applyFont="1" applyFill="1" applyBorder="1"/>
    <xf numFmtId="43" fontId="31" fillId="2" borderId="0" xfId="4" applyFont="1" applyFill="1" applyBorder="1"/>
    <xf numFmtId="43" fontId="31" fillId="0" borderId="9" xfId="4" applyFont="1" applyFill="1" applyBorder="1"/>
    <xf numFmtId="43" fontId="31" fillId="0" borderId="0" xfId="4" applyFont="1" applyFill="1"/>
    <xf numFmtId="43" fontId="31" fillId="4" borderId="0" xfId="4" applyFont="1" applyFill="1" applyBorder="1"/>
    <xf numFmtId="179" fontId="33" fillId="4" borderId="0" xfId="4" applyNumberFormat="1" applyFont="1" applyFill="1" applyAlignment="1">
      <alignment horizontal="left"/>
    </xf>
    <xf numFmtId="179" fontId="31" fillId="4" borderId="0" xfId="4" applyNumberFormat="1" applyFont="1" applyFill="1" applyAlignment="1">
      <alignment horizontal="left"/>
    </xf>
    <xf numFmtId="179" fontId="31" fillId="4" borderId="5" xfId="4" applyNumberFormat="1" applyFont="1" applyFill="1" applyBorder="1" applyAlignment="1">
      <alignment horizontal="center"/>
    </xf>
    <xf numFmtId="179" fontId="31" fillId="0" borderId="5" xfId="4" applyNumberFormat="1" applyFont="1" applyFill="1" applyBorder="1" applyAlignment="1">
      <alignment horizontal="center"/>
    </xf>
    <xf numFmtId="179" fontId="31" fillId="4" borderId="14" xfId="4" applyNumberFormat="1" applyFont="1" applyFill="1" applyBorder="1" applyAlignment="1">
      <alignment horizontal="center"/>
    </xf>
    <xf numFmtId="179" fontId="31" fillId="4" borderId="0" xfId="4" applyNumberFormat="1" applyFont="1" applyFill="1" applyAlignment="1">
      <alignment horizontal="center"/>
    </xf>
    <xf numFmtId="175" fontId="46" fillId="4" borderId="0" xfId="4" applyNumberFormat="1" applyFont="1" applyFill="1"/>
    <xf numFmtId="43" fontId="31" fillId="3" borderId="14" xfId="4" applyFont="1" applyFill="1" applyBorder="1"/>
    <xf numFmtId="43" fontId="45" fillId="6" borderId="4" xfId="4" applyFont="1" applyFill="1" applyBorder="1" applyAlignment="1">
      <alignment horizontal="center"/>
    </xf>
    <xf numFmtId="43" fontId="30" fillId="6" borderId="12" xfId="4" applyFont="1" applyFill="1" applyBorder="1" applyAlignment="1">
      <alignment horizontal="center"/>
    </xf>
    <xf numFmtId="14" fontId="45" fillId="6" borderId="4" xfId="0" applyNumberFormat="1" applyFont="1" applyFill="1" applyBorder="1" applyAlignment="1">
      <alignment horizontal="center"/>
    </xf>
    <xf numFmtId="0" fontId="31" fillId="7" borderId="14" xfId="0" applyFont="1" applyFill="1" applyBorder="1" applyAlignment="1">
      <alignment horizontal="center"/>
    </xf>
    <xf numFmtId="175" fontId="41" fillId="8" borderId="0" xfId="0" applyNumberFormat="1" applyFont="1" applyFill="1"/>
    <xf numFmtId="175" fontId="43" fillId="4" borderId="0" xfId="4" applyNumberFormat="1" applyFont="1" applyFill="1" applyAlignment="1">
      <alignment horizontal="center"/>
    </xf>
    <xf numFmtId="0" fontId="45" fillId="6" borderId="4" xfId="4" quotePrefix="1" applyNumberFormat="1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left"/>
    </xf>
    <xf numFmtId="0" fontId="31" fillId="4" borderId="10" xfId="0" applyFont="1" applyFill="1" applyBorder="1" applyAlignment="1">
      <alignment horizontal="left"/>
    </xf>
    <xf numFmtId="0" fontId="31" fillId="4" borderId="8" xfId="0" applyFont="1" applyFill="1" applyBorder="1" applyAlignment="1">
      <alignment horizontal="left"/>
    </xf>
    <xf numFmtId="3" fontId="31" fillId="4" borderId="12" xfId="12" applyNumberFormat="1" applyFont="1" applyFill="1" applyBorder="1"/>
    <xf numFmtId="3" fontId="31" fillId="4" borderId="11" xfId="12" applyNumberFormat="1" applyFont="1" applyFill="1" applyBorder="1"/>
    <xf numFmtId="3" fontId="31" fillId="4" borderId="13" xfId="12" applyNumberFormat="1" applyFont="1" applyFill="1" applyBorder="1"/>
    <xf numFmtId="0" fontId="30" fillId="6" borderId="5" xfId="0" applyFont="1" applyFill="1" applyBorder="1" applyAlignment="1">
      <alignment horizontal="center" vertical="center"/>
    </xf>
    <xf numFmtId="171" fontId="31" fillId="8" borderId="0" xfId="0" applyNumberFormat="1" applyFont="1" applyFill="1"/>
    <xf numFmtId="175" fontId="31" fillId="4" borderId="17" xfId="4" applyNumberFormat="1" applyFont="1" applyFill="1" applyBorder="1" applyAlignment="1">
      <alignment horizontal="center"/>
    </xf>
    <xf numFmtId="172" fontId="31" fillId="4" borderId="3" xfId="0" applyNumberFormat="1" applyFont="1" applyFill="1" applyBorder="1"/>
    <xf numFmtId="172" fontId="36" fillId="4" borderId="3" xfId="0" applyNumberFormat="1" applyFont="1" applyFill="1" applyBorder="1"/>
    <xf numFmtId="176" fontId="31" fillId="4" borderId="0" xfId="4" applyNumberFormat="1" applyFont="1" applyFill="1"/>
    <xf numFmtId="175" fontId="31" fillId="7" borderId="14" xfId="4" applyNumberFormat="1" applyFont="1" applyFill="1" applyBorder="1" applyAlignment="1">
      <alignment horizontal="center"/>
    </xf>
    <xf numFmtId="0" fontId="31" fillId="8" borderId="0" xfId="0" quotePrefix="1" applyFont="1" applyFill="1" applyBorder="1" applyAlignment="1"/>
    <xf numFmtId="10" fontId="31" fillId="4" borderId="9" xfId="12" applyNumberFormat="1" applyFont="1" applyFill="1" applyBorder="1"/>
    <xf numFmtId="2" fontId="31" fillId="4" borderId="8" xfId="13" applyNumberFormat="1" applyFont="1" applyFill="1" applyBorder="1"/>
    <xf numFmtId="2" fontId="31" fillId="4" borderId="0" xfId="13" applyNumberFormat="1" applyFont="1" applyFill="1" applyBorder="1"/>
    <xf numFmtId="2" fontId="31" fillId="4" borderId="9" xfId="13" applyNumberFormat="1" applyFont="1" applyFill="1" applyBorder="1"/>
    <xf numFmtId="2" fontId="31" fillId="4" borderId="10" xfId="13" applyNumberFormat="1" applyFont="1" applyFill="1" applyBorder="1"/>
    <xf numFmtId="43" fontId="31" fillId="4" borderId="0" xfId="4" applyFont="1" applyFill="1"/>
    <xf numFmtId="0" fontId="31" fillId="4" borderId="3" xfId="0" applyFont="1" applyFill="1" applyBorder="1"/>
    <xf numFmtId="43" fontId="31" fillId="4" borderId="5" xfId="4" applyNumberFormat="1" applyFont="1" applyFill="1" applyBorder="1"/>
    <xf numFmtId="2" fontId="31" fillId="4" borderId="0" xfId="13" applyNumberFormat="1" applyFont="1" applyFill="1" applyBorder="1"/>
    <xf numFmtId="43" fontId="31" fillId="4" borderId="4" xfId="4" applyNumberFormat="1" applyFont="1" applyFill="1" applyBorder="1"/>
    <xf numFmtId="2" fontId="31" fillId="4" borderId="4" xfId="13" applyNumberFormat="1" applyFont="1" applyFill="1" applyBorder="1"/>
    <xf numFmtId="2" fontId="31" fillId="4" borderId="5" xfId="13" applyNumberFormat="1" applyFont="1" applyFill="1" applyBorder="1"/>
    <xf numFmtId="2" fontId="31" fillId="4" borderId="3" xfId="13" applyNumberFormat="1" applyFont="1" applyFill="1" applyBorder="1"/>
    <xf numFmtId="43" fontId="31" fillId="4" borderId="3" xfId="4" applyNumberFormat="1" applyFont="1" applyFill="1" applyBorder="1"/>
    <xf numFmtId="43" fontId="46" fillId="10" borderId="5" xfId="4" applyFont="1" applyFill="1" applyBorder="1"/>
    <xf numFmtId="178" fontId="31" fillId="8" borderId="0" xfId="0" quotePrefix="1" applyNumberFormat="1" applyFont="1" applyFill="1" applyAlignment="1">
      <alignment horizontal="right"/>
    </xf>
    <xf numFmtId="164" fontId="31" fillId="8" borderId="0" xfId="0" applyNumberFormat="1" applyFont="1" applyFill="1"/>
    <xf numFmtId="43" fontId="30" fillId="6" borderId="14" xfId="4" applyNumberFormat="1" applyFont="1" applyFill="1" applyBorder="1" applyAlignment="1">
      <alignment horizontal="center" vertical="top" wrapText="1"/>
    </xf>
    <xf numFmtId="2" fontId="30" fillId="6" borderId="14" xfId="0" applyNumberFormat="1" applyFont="1" applyFill="1" applyBorder="1" applyAlignment="1">
      <alignment horizontal="center" vertical="top" wrapText="1"/>
    </xf>
    <xf numFmtId="43" fontId="30" fillId="10" borderId="14" xfId="4" applyFont="1" applyFill="1" applyBorder="1" applyAlignment="1">
      <alignment horizontal="center"/>
    </xf>
    <xf numFmtId="0" fontId="31" fillId="8" borderId="0" xfId="0" applyFont="1" applyFill="1" applyBorder="1"/>
    <xf numFmtId="0" fontId="31" fillId="8" borderId="0" xfId="0" applyFont="1" applyFill="1" applyBorder="1" applyAlignment="1">
      <alignment horizontal="left"/>
    </xf>
    <xf numFmtId="43" fontId="31" fillId="4" borderId="14" xfId="4" applyFont="1" applyFill="1" applyBorder="1"/>
    <xf numFmtId="43" fontId="46" fillId="4" borderId="5" xfId="4" applyFont="1" applyFill="1" applyBorder="1"/>
    <xf numFmtId="43" fontId="31" fillId="3" borderId="5" xfId="4" applyFont="1" applyFill="1" applyBorder="1"/>
    <xf numFmtId="43" fontId="31" fillId="4" borderId="14" xfId="4" applyFont="1" applyFill="1" applyBorder="1"/>
    <xf numFmtId="43" fontId="46" fillId="4" borderId="5" xfId="4" applyFont="1" applyFill="1" applyBorder="1"/>
    <xf numFmtId="43" fontId="31" fillId="2" borderId="14" xfId="4" applyFont="1" applyFill="1" applyBorder="1"/>
    <xf numFmtId="43" fontId="31" fillId="4" borderId="9" xfId="4" applyNumberFormat="1" applyFont="1" applyFill="1" applyBorder="1"/>
    <xf numFmtId="43" fontId="31" fillId="4" borderId="9" xfId="4" applyNumberFormat="1" applyFont="1" applyFill="1" applyBorder="1"/>
    <xf numFmtId="43" fontId="31" fillId="4" borderId="9" xfId="4" applyNumberFormat="1" applyFont="1" applyFill="1" applyBorder="1"/>
    <xf numFmtId="175" fontId="31" fillId="4" borderId="11" xfId="4" applyNumberFormat="1" applyFont="1" applyFill="1" applyBorder="1"/>
    <xf numFmtId="175" fontId="31" fillId="4" borderId="12" xfId="4" applyNumberFormat="1" applyFont="1" applyFill="1" applyBorder="1"/>
    <xf numFmtId="175" fontId="31" fillId="4" borderId="13" xfId="4" applyNumberFormat="1" applyFont="1" applyFill="1" applyBorder="1"/>
    <xf numFmtId="43" fontId="31" fillId="4" borderId="0" xfId="4" applyFont="1" applyFill="1"/>
    <xf numFmtId="43" fontId="31" fillId="4" borderId="5" xfId="4" applyFont="1" applyFill="1" applyBorder="1"/>
    <xf numFmtId="43" fontId="31" fillId="4" borderId="9" xfId="4" applyFont="1" applyFill="1" applyBorder="1"/>
    <xf numFmtId="3" fontId="31" fillId="3" borderId="14" xfId="12" applyNumberFormat="1" applyFont="1" applyFill="1" applyBorder="1"/>
    <xf numFmtId="3" fontId="31" fillId="3" borderId="5" xfId="12" applyNumberFormat="1" applyFont="1" applyFill="1" applyBorder="1"/>
    <xf numFmtId="175" fontId="31" fillId="3" borderId="5" xfId="4" applyNumberFormat="1" applyFont="1" applyFill="1" applyBorder="1"/>
    <xf numFmtId="171" fontId="13" fillId="8" borderId="14" xfId="0" applyNumberFormat="1" applyFont="1" applyFill="1" applyBorder="1"/>
    <xf numFmtId="167" fontId="13" fillId="7" borderId="14" xfId="0" applyNumberFormat="1" applyFont="1" applyFill="1" applyBorder="1"/>
    <xf numFmtId="164" fontId="31" fillId="4" borderId="0" xfId="0" applyNumberFormat="1" applyFont="1" applyFill="1"/>
    <xf numFmtId="43" fontId="31" fillId="4" borderId="14" xfId="4" applyNumberFormat="1" applyFont="1" applyFill="1" applyBorder="1" applyAlignment="1">
      <alignment horizontal="right"/>
    </xf>
    <xf numFmtId="9" fontId="30" fillId="6" borderId="14" xfId="12" applyFont="1" applyFill="1" applyBorder="1" applyAlignment="1">
      <alignment horizontal="center"/>
    </xf>
    <xf numFmtId="0" fontId="31" fillId="4" borderId="0" xfId="0" applyFont="1" applyFill="1"/>
    <xf numFmtId="4" fontId="31" fillId="4" borderId="0" xfId="0" applyNumberFormat="1" applyFont="1" applyFill="1"/>
    <xf numFmtId="2" fontId="31" fillId="4" borderId="5" xfId="0" applyNumberFormat="1" applyFont="1" applyFill="1" applyBorder="1"/>
    <xf numFmtId="2" fontId="31" fillId="4" borderId="14" xfId="0" applyNumberFormat="1" applyFont="1" applyFill="1" applyBorder="1"/>
    <xf numFmtId="169" fontId="31" fillId="4" borderId="0" xfId="11" applyNumberFormat="1" applyFont="1" applyFill="1" applyAlignment="1">
      <alignment vertical="center"/>
    </xf>
    <xf numFmtId="4" fontId="31" fillId="4" borderId="0" xfId="12" applyNumberFormat="1" applyFont="1" applyFill="1" applyBorder="1"/>
    <xf numFmtId="4" fontId="31" fillId="4" borderId="5" xfId="12" applyNumberFormat="1" applyFont="1" applyFill="1" applyBorder="1"/>
    <xf numFmtId="0" fontId="31" fillId="8" borderId="0" xfId="0" applyFont="1" applyFill="1"/>
    <xf numFmtId="0" fontId="31" fillId="8" borderId="0" xfId="0" applyFont="1" applyFill="1" applyBorder="1"/>
    <xf numFmtId="10" fontId="31" fillId="7" borderId="14" xfId="0" applyNumberFormat="1" applyFont="1" applyFill="1" applyBorder="1" applyAlignment="1">
      <alignment horizontal="center"/>
    </xf>
    <xf numFmtId="177" fontId="31" fillId="4" borderId="0" xfId="4" applyNumberFormat="1" applyFont="1" applyFill="1" applyBorder="1"/>
    <xf numFmtId="175" fontId="31" fillId="4" borderId="0" xfId="4" applyNumberFormat="1" applyFont="1" applyFill="1" applyBorder="1"/>
    <xf numFmtId="175" fontId="31" fillId="4" borderId="3" xfId="4" applyNumberFormat="1" applyFont="1" applyFill="1" applyBorder="1"/>
    <xf numFmtId="175" fontId="31" fillId="4" borderId="0" xfId="0" applyNumberFormat="1" applyFont="1" applyFill="1"/>
    <xf numFmtId="175" fontId="31" fillId="8" borderId="0" xfId="0" applyNumberFormat="1" applyFont="1" applyFill="1"/>
    <xf numFmtId="175" fontId="41" fillId="8" borderId="0" xfId="0" applyNumberFormat="1" applyFont="1" applyFill="1"/>
    <xf numFmtId="43" fontId="41" fillId="8" borderId="0" xfId="4" applyFont="1" applyFill="1"/>
    <xf numFmtId="43" fontId="31" fillId="4" borderId="0" xfId="15" applyNumberFormat="1" applyFont="1" applyFill="1"/>
    <xf numFmtId="176" fontId="8" fillId="4" borderId="0" xfId="14" applyNumberFormat="1" applyFont="1" applyFill="1" applyBorder="1" applyAlignment="1">
      <alignment horizontal="left"/>
    </xf>
    <xf numFmtId="164" fontId="19" fillId="4" borderId="0" xfId="14" applyNumberFormat="1" applyFont="1" applyFill="1" applyBorder="1" applyAlignment="1">
      <alignment horizontal="left"/>
    </xf>
    <xf numFmtId="0" fontId="30" fillId="6" borderId="4" xfId="0" applyFont="1" applyFill="1" applyBorder="1" applyAlignment="1">
      <alignment horizontal="center" vertical="center" wrapText="1"/>
    </xf>
    <xf numFmtId="166" fontId="31" fillId="4" borderId="13" xfId="0" applyNumberFormat="1" applyFont="1" applyFill="1" applyBorder="1" applyAlignment="1">
      <alignment horizontal="center"/>
    </xf>
    <xf numFmtId="9" fontId="30" fillId="6" borderId="5" xfId="12" applyFont="1" applyFill="1" applyBorder="1" applyAlignment="1">
      <alignment horizontal="center"/>
    </xf>
    <xf numFmtId="10" fontId="30" fillId="6" borderId="14" xfId="12" applyNumberFormat="1" applyFont="1" applyFill="1" applyBorder="1" applyAlignment="1">
      <alignment vertical="center"/>
    </xf>
    <xf numFmtId="43" fontId="30" fillId="6" borderId="14" xfId="4" applyNumberFormat="1" applyFont="1" applyFill="1" applyBorder="1" applyAlignment="1">
      <alignment horizontal="center" vertical="center" wrapText="1"/>
    </xf>
    <xf numFmtId="43" fontId="30" fillId="6" borderId="14" xfId="4" quotePrefix="1" applyFont="1" applyFill="1" applyBorder="1" applyAlignment="1">
      <alignment horizontal="center" vertical="center" wrapText="1"/>
    </xf>
    <xf numFmtId="0" fontId="30" fillId="6" borderId="14" xfId="15" quotePrefix="1" applyFont="1" applyFill="1" applyBorder="1" applyAlignment="1">
      <alignment horizontal="center" vertical="center" wrapText="1"/>
    </xf>
    <xf numFmtId="43" fontId="31" fillId="4" borderId="5" xfId="4" applyFont="1" applyFill="1" applyBorder="1"/>
    <xf numFmtId="175" fontId="31" fillId="4" borderId="0" xfId="4" applyNumberFormat="1" applyFont="1" applyFill="1" applyBorder="1" applyAlignment="1">
      <alignment horizontal="center"/>
    </xf>
    <xf numFmtId="175" fontId="31" fillId="4" borderId="5" xfId="4" applyNumberFormat="1" applyFont="1" applyFill="1" applyBorder="1" applyAlignment="1">
      <alignment horizontal="center"/>
    </xf>
    <xf numFmtId="170" fontId="31" fillId="7" borderId="4" xfId="0" applyNumberFormat="1" applyFont="1" applyFill="1" applyBorder="1" applyAlignment="1"/>
    <xf numFmtId="175" fontId="31" fillId="8" borderId="0" xfId="4" applyNumberFormat="1" applyFont="1" applyFill="1"/>
    <xf numFmtId="164" fontId="31" fillId="8" borderId="0" xfId="0" applyNumberFormat="1" applyFont="1" applyFill="1"/>
    <xf numFmtId="43" fontId="46" fillId="4" borderId="0" xfId="4" applyFont="1" applyFill="1" applyBorder="1"/>
    <xf numFmtId="43" fontId="46" fillId="4" borderId="15" xfId="4" applyFont="1" applyFill="1" applyBorder="1"/>
    <xf numFmtId="43" fontId="31" fillId="4" borderId="9" xfId="4" applyFont="1" applyFill="1" applyBorder="1" applyAlignment="1">
      <alignment horizontal="center"/>
    </xf>
    <xf numFmtId="175" fontId="31" fillId="3" borderId="0" xfId="4" applyNumberFormat="1" applyFont="1" applyFill="1" applyBorder="1"/>
    <xf numFmtId="175" fontId="31" fillId="0" borderId="11" xfId="4" applyNumberFormat="1" applyFont="1" applyFill="1" applyBorder="1"/>
    <xf numFmtId="43" fontId="31" fillId="4" borderId="0" xfId="4" applyFont="1" applyFill="1" applyBorder="1"/>
    <xf numFmtId="164" fontId="31" fillId="4" borderId="0" xfId="0" applyNumberFormat="1" applyFont="1" applyFill="1"/>
    <xf numFmtId="180" fontId="31" fillId="4" borderId="0" xfId="4" applyNumberFormat="1" applyFont="1" applyFill="1"/>
    <xf numFmtId="43" fontId="46" fillId="10" borderId="14" xfId="4" applyFont="1" applyFill="1" applyBorder="1"/>
    <xf numFmtId="9" fontId="30" fillId="6" borderId="14" xfId="0" applyNumberFormat="1" applyFont="1" applyFill="1" applyBorder="1" applyAlignment="1">
      <alignment horizontal="center"/>
    </xf>
    <xf numFmtId="172" fontId="31" fillId="5" borderId="7" xfId="0" applyNumberFormat="1" applyFont="1" applyFill="1" applyBorder="1"/>
    <xf numFmtId="43" fontId="31" fillId="0" borderId="9" xfId="4" applyFont="1" applyFill="1" applyBorder="1" applyAlignment="1">
      <alignment horizontal="center"/>
    </xf>
    <xf numFmtId="0" fontId="44" fillId="4" borderId="0" xfId="0" applyFont="1" applyFill="1" applyAlignment="1">
      <alignment horizontal="center"/>
    </xf>
    <xf numFmtId="15" fontId="39" fillId="9" borderId="0" xfId="0" applyNumberFormat="1" applyFont="1" applyFill="1" applyAlignment="1">
      <alignment horizontal="center"/>
    </xf>
    <xf numFmtId="43" fontId="30" fillId="6" borderId="4" xfId="4" applyFont="1" applyFill="1" applyBorder="1" applyAlignment="1">
      <alignment horizontal="center" vertical="center" textRotation="90" wrapText="1"/>
    </xf>
    <xf numFmtId="43" fontId="30" fillId="6" borderId="3" xfId="4" applyFont="1" applyFill="1" applyBorder="1" applyAlignment="1">
      <alignment horizontal="center" vertical="center" textRotation="90" wrapText="1"/>
    </xf>
    <xf numFmtId="43" fontId="30" fillId="10" borderId="4" xfId="4" applyFont="1" applyFill="1" applyBorder="1" applyAlignment="1">
      <alignment horizontal="center" vertical="center" textRotation="90" wrapText="1"/>
    </xf>
    <xf numFmtId="43" fontId="30" fillId="10" borderId="3" xfId="4" applyFont="1" applyFill="1" applyBorder="1" applyAlignment="1">
      <alignment horizontal="center" vertical="center" textRotation="90" wrapText="1"/>
    </xf>
    <xf numFmtId="43" fontId="45" fillId="6" borderId="4" xfId="4" applyFont="1" applyFill="1" applyBorder="1" applyAlignment="1">
      <alignment horizontal="center" vertical="center" textRotation="90" wrapText="1"/>
    </xf>
    <xf numFmtId="43" fontId="45" fillId="6" borderId="3" xfId="4" applyFont="1" applyFill="1" applyBorder="1" applyAlignment="1">
      <alignment horizontal="center" vertical="center" textRotation="90" wrapText="1"/>
    </xf>
    <xf numFmtId="179" fontId="30" fillId="6" borderId="4" xfId="4" applyNumberFormat="1" applyFont="1" applyFill="1" applyBorder="1" applyAlignment="1">
      <alignment horizontal="center" vertical="center" wrapText="1"/>
    </xf>
    <xf numFmtId="179" fontId="30" fillId="6" borderId="5" xfId="4" applyNumberFormat="1" applyFont="1" applyFill="1" applyBorder="1" applyAlignment="1">
      <alignment horizontal="center" vertical="center" wrapText="1"/>
    </xf>
    <xf numFmtId="179" fontId="30" fillId="6" borderId="3" xfId="4" applyNumberFormat="1" applyFont="1" applyFill="1" applyBorder="1" applyAlignment="1">
      <alignment horizontal="center" vertical="center" wrapText="1"/>
    </xf>
    <xf numFmtId="43" fontId="30" fillId="6" borderId="8" xfId="4" applyFont="1" applyFill="1" applyBorder="1" applyAlignment="1">
      <alignment horizontal="center" vertical="center" wrapText="1"/>
    </xf>
    <xf numFmtId="43" fontId="31" fillId="6" borderId="9" xfId="4" applyFont="1" applyFill="1" applyBorder="1" applyAlignment="1">
      <alignment horizontal="center" vertical="center" wrapText="1"/>
    </xf>
    <xf numFmtId="43" fontId="31" fillId="6" borderId="10" xfId="4" applyFont="1" applyFill="1" applyBorder="1" applyAlignment="1">
      <alignment horizontal="center" vertical="center" wrapText="1"/>
    </xf>
    <xf numFmtId="43" fontId="30" fillId="6" borderId="5" xfId="4" applyFont="1" applyFill="1" applyBorder="1" applyAlignment="1">
      <alignment horizontal="center" vertical="center" textRotation="90" wrapText="1"/>
    </xf>
    <xf numFmtId="43" fontId="30" fillId="6" borderId="12" xfId="4" applyFont="1" applyFill="1" applyBorder="1" applyAlignment="1">
      <alignment horizontal="center" vertical="center" textRotation="90" wrapText="1"/>
    </xf>
    <xf numFmtId="43" fontId="30" fillId="6" borderId="13" xfId="4" applyFont="1" applyFill="1" applyBorder="1" applyAlignment="1">
      <alignment horizontal="center" vertical="center" textRotation="90" wrapText="1"/>
    </xf>
    <xf numFmtId="3" fontId="45" fillId="6" borderId="4" xfId="0" applyNumberFormat="1" applyFont="1" applyFill="1" applyBorder="1" applyAlignment="1">
      <alignment horizontal="center" vertical="center" textRotation="90" wrapText="1"/>
    </xf>
    <xf numFmtId="0" fontId="45" fillId="6" borderId="3" xfId="0" applyFont="1" applyFill="1" applyBorder="1" applyAlignment="1">
      <alignment horizontal="center" vertical="center" textRotation="90" wrapText="1"/>
    </xf>
    <xf numFmtId="0" fontId="30" fillId="6" borderId="4" xfId="0" applyNumberFormat="1" applyFont="1" applyFill="1" applyBorder="1" applyAlignment="1">
      <alignment horizontal="center" vertical="center" wrapText="1"/>
    </xf>
    <xf numFmtId="0" fontId="30" fillId="6" borderId="5" xfId="0" applyNumberFormat="1" applyFont="1" applyFill="1" applyBorder="1" applyAlignment="1">
      <alignment horizontal="center" vertical="center" wrapText="1"/>
    </xf>
    <xf numFmtId="0" fontId="30" fillId="6" borderId="3" xfId="0" applyNumberFormat="1" applyFont="1" applyFill="1" applyBorder="1" applyAlignment="1">
      <alignment horizontal="center" vertical="center" wrapText="1"/>
    </xf>
    <xf numFmtId="3" fontId="30" fillId="6" borderId="4" xfId="0" applyNumberFormat="1" applyFont="1" applyFill="1" applyBorder="1" applyAlignment="1">
      <alignment horizontal="center" vertical="center" wrapText="1"/>
    </xf>
    <xf numFmtId="3" fontId="30" fillId="6" borderId="5" xfId="0" applyNumberFormat="1" applyFont="1" applyFill="1" applyBorder="1" applyAlignment="1">
      <alignment horizontal="center" vertical="center" wrapText="1"/>
    </xf>
    <xf numFmtId="3" fontId="30" fillId="6" borderId="3" xfId="0" applyNumberFormat="1" applyFont="1" applyFill="1" applyBorder="1" applyAlignment="1">
      <alignment horizontal="center" vertical="center" wrapText="1"/>
    </xf>
    <xf numFmtId="175" fontId="30" fillId="6" borderId="4" xfId="4" applyNumberFormat="1" applyFont="1" applyFill="1" applyBorder="1" applyAlignment="1">
      <alignment horizontal="center" vertical="center" textRotation="90" wrapText="1"/>
    </xf>
    <xf numFmtId="175" fontId="30" fillId="6" borderId="5" xfId="4" applyNumberFormat="1" applyFont="1" applyFill="1" applyBorder="1" applyAlignment="1">
      <alignment horizontal="center" vertical="center" textRotation="90" wrapText="1"/>
    </xf>
    <xf numFmtId="175" fontId="30" fillId="6" borderId="3" xfId="4" applyNumberFormat="1" applyFont="1" applyFill="1" applyBorder="1" applyAlignment="1">
      <alignment horizontal="center" vertical="center" textRotation="90" wrapText="1"/>
    </xf>
    <xf numFmtId="3" fontId="30" fillId="6" borderId="4" xfId="0" applyNumberFormat="1" applyFont="1" applyFill="1" applyBorder="1" applyAlignment="1">
      <alignment horizontal="center" vertical="center" textRotation="90" wrapText="1"/>
    </xf>
    <xf numFmtId="3" fontId="30" fillId="6" borderId="3" xfId="0" applyNumberFormat="1" applyFont="1" applyFill="1" applyBorder="1" applyAlignment="1">
      <alignment horizontal="center" vertical="center" textRotation="90" wrapText="1"/>
    </xf>
    <xf numFmtId="4" fontId="30" fillId="6" borderId="4" xfId="0" applyNumberFormat="1" applyFont="1" applyFill="1" applyBorder="1" applyAlignment="1">
      <alignment horizontal="center" vertical="center" textRotation="90" wrapText="1"/>
    </xf>
    <xf numFmtId="4" fontId="30" fillId="6" borderId="5" xfId="0" applyNumberFormat="1" applyFont="1" applyFill="1" applyBorder="1" applyAlignment="1">
      <alignment horizontal="center" vertical="center" textRotation="90" wrapText="1"/>
    </xf>
    <xf numFmtId="4" fontId="30" fillId="6" borderId="3" xfId="0" applyNumberFormat="1" applyFont="1" applyFill="1" applyBorder="1" applyAlignment="1">
      <alignment horizontal="center" vertical="center" textRotation="90" wrapText="1"/>
    </xf>
    <xf numFmtId="175" fontId="30" fillId="6" borderId="4" xfId="4" applyNumberFormat="1" applyFont="1" applyFill="1" applyBorder="1" applyAlignment="1">
      <alignment horizontal="center" vertical="center" wrapText="1"/>
    </xf>
    <xf numFmtId="175" fontId="30" fillId="6" borderId="5" xfId="4" applyNumberFormat="1" applyFont="1" applyFill="1" applyBorder="1" applyAlignment="1">
      <alignment horizontal="center" vertical="center" wrapText="1"/>
    </xf>
    <xf numFmtId="175" fontId="30" fillId="6" borderId="3" xfId="4" applyNumberFormat="1" applyFont="1" applyFill="1" applyBorder="1" applyAlignment="1">
      <alignment horizontal="center" vertical="center" wrapText="1"/>
    </xf>
    <xf numFmtId="0" fontId="30" fillId="6" borderId="4" xfId="0" applyFont="1" applyFill="1" applyBorder="1" applyAlignment="1">
      <alignment horizontal="center" vertical="center" wrapText="1"/>
    </xf>
    <xf numFmtId="0" fontId="30" fillId="6" borderId="5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center" vertical="center" wrapText="1"/>
    </xf>
    <xf numFmtId="3" fontId="30" fillId="6" borderId="5" xfId="0" applyNumberFormat="1" applyFont="1" applyFill="1" applyBorder="1" applyAlignment="1">
      <alignment horizontal="center" vertical="center" textRotation="90" wrapText="1"/>
    </xf>
    <xf numFmtId="175" fontId="30" fillId="6" borderId="14" xfId="4" applyNumberFormat="1" applyFont="1" applyFill="1" applyBorder="1" applyAlignment="1">
      <alignment horizontal="center" vertical="center" wrapText="1"/>
    </xf>
    <xf numFmtId="4" fontId="30" fillId="6" borderId="4" xfId="0" applyNumberFormat="1" applyFont="1" applyFill="1" applyBorder="1" applyAlignment="1">
      <alignment horizontal="center" vertical="center" wrapText="1"/>
    </xf>
    <xf numFmtId="4" fontId="30" fillId="6" borderId="3" xfId="0" applyNumberFormat="1" applyFont="1" applyFill="1" applyBorder="1" applyAlignment="1">
      <alignment horizontal="center" vertical="center" wrapText="1"/>
    </xf>
    <xf numFmtId="10" fontId="30" fillId="6" borderId="14" xfId="12" applyNumberFormat="1" applyFont="1" applyFill="1" applyBorder="1" applyAlignment="1">
      <alignment horizontal="center" vertical="center" wrapText="1"/>
    </xf>
    <xf numFmtId="0" fontId="30" fillId="6" borderId="17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/>
    </xf>
    <xf numFmtId="0" fontId="30" fillId="6" borderId="7" xfId="0" applyFont="1" applyFill="1" applyBorder="1" applyAlignment="1">
      <alignment horizontal="center" vertical="center"/>
    </xf>
    <xf numFmtId="10" fontId="30" fillId="6" borderId="4" xfId="12" applyNumberFormat="1" applyFont="1" applyFill="1" applyBorder="1" applyAlignment="1">
      <alignment horizontal="center" vertical="center" wrapText="1"/>
    </xf>
    <xf numFmtId="0" fontId="30" fillId="6" borderId="17" xfId="0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 wrapText="1"/>
    </xf>
    <xf numFmtId="0" fontId="30" fillId="6" borderId="13" xfId="0" applyFont="1" applyFill="1" applyBorder="1" applyAlignment="1">
      <alignment horizontal="center" vertical="center" wrapText="1"/>
    </xf>
    <xf numFmtId="0" fontId="30" fillId="6" borderId="8" xfId="0" applyFont="1" applyFill="1" applyBorder="1" applyAlignment="1">
      <alignment horizontal="center" vertical="center" wrapText="1"/>
    </xf>
    <xf numFmtId="0" fontId="30" fillId="6" borderId="10" xfId="0" applyFont="1" applyFill="1" applyBorder="1" applyAlignment="1">
      <alignment horizontal="center" vertical="center" wrapText="1"/>
    </xf>
    <xf numFmtId="0" fontId="30" fillId="6" borderId="17" xfId="0" applyFont="1" applyFill="1" applyBorder="1" applyAlignment="1">
      <alignment horizontal="center"/>
    </xf>
    <xf numFmtId="0" fontId="30" fillId="6" borderId="6" xfId="0" applyFont="1" applyFill="1" applyBorder="1" applyAlignment="1">
      <alignment horizontal="center"/>
    </xf>
    <xf numFmtId="0" fontId="30" fillId="6" borderId="7" xfId="0" applyFont="1" applyFill="1" applyBorder="1" applyAlignment="1">
      <alignment horizontal="center"/>
    </xf>
    <xf numFmtId="43" fontId="30" fillId="6" borderId="4" xfId="4" applyFont="1" applyFill="1" applyBorder="1" applyAlignment="1">
      <alignment horizontal="center" vertical="center" wrapText="1"/>
    </xf>
    <xf numFmtId="43" fontId="30" fillId="6" borderId="3" xfId="4" applyFont="1" applyFill="1" applyBorder="1" applyAlignment="1">
      <alignment horizontal="center" vertical="center" wrapText="1"/>
    </xf>
    <xf numFmtId="0" fontId="30" fillId="6" borderId="14" xfId="0" applyFont="1" applyFill="1" applyBorder="1" applyAlignment="1">
      <alignment horizontal="center" vertical="center" wrapText="1"/>
    </xf>
    <xf numFmtId="175" fontId="30" fillId="6" borderId="12" xfId="4" applyNumberFormat="1" applyFont="1" applyFill="1" applyBorder="1" applyAlignment="1">
      <alignment horizontal="center" vertical="center" wrapText="1"/>
    </xf>
    <xf numFmtId="175" fontId="30" fillId="6" borderId="11" xfId="4" applyNumberFormat="1" applyFont="1" applyFill="1" applyBorder="1" applyAlignment="1">
      <alignment horizontal="center" vertical="center" wrapText="1"/>
    </xf>
    <xf numFmtId="43" fontId="30" fillId="6" borderId="5" xfId="4" applyFont="1" applyFill="1" applyBorder="1" applyAlignment="1">
      <alignment horizontal="center" vertical="center" wrapText="1"/>
    </xf>
    <xf numFmtId="0" fontId="30" fillId="6" borderId="11" xfId="0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 wrapText="1"/>
    </xf>
    <xf numFmtId="0" fontId="20" fillId="3" borderId="17" xfId="11" applyFont="1" applyFill="1" applyBorder="1" applyAlignment="1">
      <alignment horizontal="center"/>
    </xf>
    <xf numFmtId="0" fontId="20" fillId="3" borderId="6" xfId="11" applyFont="1" applyFill="1" applyBorder="1" applyAlignment="1">
      <alignment horizontal="center"/>
    </xf>
    <xf numFmtId="0" fontId="20" fillId="3" borderId="7" xfId="11" applyFont="1" applyFill="1" applyBorder="1" applyAlignment="1">
      <alignment horizontal="center"/>
    </xf>
    <xf numFmtId="0" fontId="30" fillId="6" borderId="4" xfId="15" applyFont="1" applyFill="1" applyBorder="1" applyAlignment="1">
      <alignment horizontal="center" vertical="center" wrapText="1"/>
    </xf>
    <xf numFmtId="0" fontId="30" fillId="6" borderId="3" xfId="15" applyFont="1" applyFill="1" applyBorder="1" applyAlignment="1">
      <alignment horizontal="center" vertical="center" wrapText="1"/>
    </xf>
    <xf numFmtId="0" fontId="30" fillId="6" borderId="8" xfId="15" applyFont="1" applyFill="1" applyBorder="1" applyAlignment="1">
      <alignment horizontal="center" vertical="center" wrapText="1"/>
    </xf>
    <xf numFmtId="0" fontId="30" fillId="6" borderId="10" xfId="15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/>
    </xf>
    <xf numFmtId="167" fontId="30" fillId="6" borderId="4" xfId="12" applyNumberFormat="1" applyFont="1" applyFill="1" applyBorder="1" applyAlignment="1">
      <alignment horizontal="center" vertical="center" wrapText="1"/>
    </xf>
    <xf numFmtId="167" fontId="30" fillId="6" borderId="3" xfId="12" applyNumberFormat="1" applyFont="1" applyFill="1" applyBorder="1" applyAlignment="1">
      <alignment horizontal="center" vertical="center" wrapText="1"/>
    </xf>
    <xf numFmtId="167" fontId="30" fillId="6" borderId="12" xfId="12" applyNumberFormat="1" applyFont="1" applyFill="1" applyBorder="1" applyAlignment="1">
      <alignment horizontal="center" vertical="center" wrapText="1"/>
    </xf>
    <xf numFmtId="167" fontId="30" fillId="6" borderId="13" xfId="12" applyNumberFormat="1" applyFont="1" applyFill="1" applyBorder="1" applyAlignment="1">
      <alignment horizontal="center" vertical="center" wrapText="1"/>
    </xf>
    <xf numFmtId="1" fontId="31" fillId="4" borderId="0" xfId="11" applyNumberFormat="1" applyFont="1" applyFill="1" applyAlignment="1">
      <alignment horizontal="left" vertical="center"/>
    </xf>
    <xf numFmtId="0" fontId="31" fillId="4" borderId="0" xfId="0" applyFont="1" applyFill="1" applyAlignment="1">
      <alignment vertical="center"/>
    </xf>
    <xf numFmtId="167" fontId="30" fillId="6" borderId="5" xfId="12" applyNumberFormat="1" applyFont="1" applyFill="1" applyBorder="1" applyAlignment="1">
      <alignment horizontal="center" vertical="center" wrapText="1"/>
    </xf>
  </cellXfs>
  <cellStyles count="2572">
    <cellStyle name="20 % - Accent1 2" xfId="657" xr:uid="{00000000-0005-0000-0000-000000000000}"/>
    <cellStyle name="20 % - Accent2 2" xfId="658" xr:uid="{00000000-0005-0000-0000-000001000000}"/>
    <cellStyle name="20 % - Accent3 2" xfId="659" xr:uid="{00000000-0005-0000-0000-000002000000}"/>
    <cellStyle name="20 % - Accent4 2" xfId="660" xr:uid="{00000000-0005-0000-0000-000003000000}"/>
    <cellStyle name="20 % - Accent5 2" xfId="661" xr:uid="{00000000-0005-0000-0000-000004000000}"/>
    <cellStyle name="20 % - Accent6 2" xfId="662" xr:uid="{00000000-0005-0000-0000-000005000000}"/>
    <cellStyle name="40 % - Accent1 2" xfId="663" xr:uid="{00000000-0005-0000-0000-000006000000}"/>
    <cellStyle name="40 % - Accent2 2" xfId="664" xr:uid="{00000000-0005-0000-0000-000007000000}"/>
    <cellStyle name="40 % - Accent3 2" xfId="665" xr:uid="{00000000-0005-0000-0000-000008000000}"/>
    <cellStyle name="40 % - Accent4 2" xfId="666" xr:uid="{00000000-0005-0000-0000-000009000000}"/>
    <cellStyle name="40 % - Accent5 2" xfId="667" xr:uid="{00000000-0005-0000-0000-00000A000000}"/>
    <cellStyle name="40 % - Accent6 2" xfId="668" xr:uid="{00000000-0005-0000-0000-00000B000000}"/>
    <cellStyle name="60 % - Accent1 2" xfId="669" xr:uid="{00000000-0005-0000-0000-00000C000000}"/>
    <cellStyle name="60 % - Accent2 2" xfId="670" xr:uid="{00000000-0005-0000-0000-00000D000000}"/>
    <cellStyle name="60 % - Accent3 2" xfId="671" xr:uid="{00000000-0005-0000-0000-00000E000000}"/>
    <cellStyle name="60 % - Accent4 2" xfId="672" xr:uid="{00000000-0005-0000-0000-00000F000000}"/>
    <cellStyle name="60 % - Accent5 2" xfId="673" xr:uid="{00000000-0005-0000-0000-000010000000}"/>
    <cellStyle name="60 % - Accent6 2" xfId="674" xr:uid="{00000000-0005-0000-0000-000011000000}"/>
    <cellStyle name="Accent1 2" xfId="675" xr:uid="{00000000-0005-0000-0000-000012000000}"/>
    <cellStyle name="Accent2 2" xfId="676" xr:uid="{00000000-0005-0000-0000-000013000000}"/>
    <cellStyle name="Accent3 2" xfId="677" xr:uid="{00000000-0005-0000-0000-000014000000}"/>
    <cellStyle name="Accent4 2" xfId="678" xr:uid="{00000000-0005-0000-0000-000015000000}"/>
    <cellStyle name="Accent5 2" xfId="679" xr:uid="{00000000-0005-0000-0000-000016000000}"/>
    <cellStyle name="Accent6 2" xfId="680" xr:uid="{00000000-0005-0000-0000-000017000000}"/>
    <cellStyle name="Avertissement 2" xfId="681" xr:uid="{00000000-0005-0000-0000-000018000000}"/>
    <cellStyle name="Calcul 2" xfId="682" xr:uid="{00000000-0005-0000-0000-000019000000}"/>
    <cellStyle name="Cellule liée 2" xfId="683" xr:uid="{00000000-0005-0000-0000-00001A000000}"/>
    <cellStyle name="cexColumnHeadings" xfId="1" xr:uid="{00000000-0005-0000-0000-00001B000000}"/>
    <cellStyle name="cexColumnHeadings 2" xfId="701" xr:uid="{00000000-0005-0000-0000-00001C000000}"/>
    <cellStyle name="cexReportTitle" xfId="2" xr:uid="{00000000-0005-0000-0000-00001D000000}"/>
    <cellStyle name="cexTableEntry" xfId="3" xr:uid="{00000000-0005-0000-0000-00001E000000}"/>
    <cellStyle name="cexTableEntry 2" xfId="702" xr:uid="{00000000-0005-0000-0000-00001F000000}"/>
    <cellStyle name="Entrée 2" xfId="684" xr:uid="{00000000-0005-0000-0000-000020000000}"/>
    <cellStyle name="Insatisfaisant 2" xfId="685" xr:uid="{00000000-0005-0000-0000-000021000000}"/>
    <cellStyle name="Milliers" xfId="4" builtinId="3"/>
    <cellStyle name="Milliers 2" xfId="5" xr:uid="{00000000-0005-0000-0000-000023000000}"/>
    <cellStyle name="Milliers 3" xfId="6" xr:uid="{00000000-0005-0000-0000-000024000000}"/>
    <cellStyle name="Milliers 3 10" xfId="139" xr:uid="{00000000-0005-0000-0000-000025000000}"/>
    <cellStyle name="Milliers 3 10 2" xfId="293" xr:uid="{00000000-0005-0000-0000-000026000000}"/>
    <cellStyle name="Milliers 3 10 2 2" xfId="605" xr:uid="{00000000-0005-0000-0000-000027000000}"/>
    <cellStyle name="Milliers 3 10 2 2 2" xfId="2072" xr:uid="{00000000-0005-0000-0000-000028000000}"/>
    <cellStyle name="Milliers 3 10 2 3" xfId="1431" xr:uid="{00000000-0005-0000-0000-000029000000}"/>
    <cellStyle name="Milliers 3 10 2 4" xfId="1763" xr:uid="{00000000-0005-0000-0000-00002A000000}"/>
    <cellStyle name="Milliers 3 10 3" xfId="451" xr:uid="{00000000-0005-0000-0000-00002B000000}"/>
    <cellStyle name="Milliers 3 10 3 2" xfId="1918" xr:uid="{00000000-0005-0000-0000-00002C000000}"/>
    <cellStyle name="Milliers 3 10 4" xfId="884" xr:uid="{00000000-0005-0000-0000-00002D000000}"/>
    <cellStyle name="Milliers 3 10 4 2" xfId="2299" xr:uid="{00000000-0005-0000-0000-00002E000000}"/>
    <cellStyle name="Milliers 3 10 5" xfId="1104" xr:uid="{00000000-0005-0000-0000-00002F000000}"/>
    <cellStyle name="Milliers 3 10 5 2" xfId="2519" xr:uid="{00000000-0005-0000-0000-000030000000}"/>
    <cellStyle name="Milliers 3 10 6" xfId="1277" xr:uid="{00000000-0005-0000-0000-000031000000}"/>
    <cellStyle name="Milliers 3 10 7" xfId="1609" xr:uid="{00000000-0005-0000-0000-000032000000}"/>
    <cellStyle name="Milliers 3 11" xfId="156" xr:uid="{00000000-0005-0000-0000-000033000000}"/>
    <cellStyle name="Milliers 3 11 2" xfId="310" xr:uid="{00000000-0005-0000-0000-000034000000}"/>
    <cellStyle name="Milliers 3 11 2 2" xfId="622" xr:uid="{00000000-0005-0000-0000-000035000000}"/>
    <cellStyle name="Milliers 3 11 2 2 2" xfId="2089" xr:uid="{00000000-0005-0000-0000-000036000000}"/>
    <cellStyle name="Milliers 3 11 2 3" xfId="1448" xr:uid="{00000000-0005-0000-0000-000037000000}"/>
    <cellStyle name="Milliers 3 11 2 4" xfId="1780" xr:uid="{00000000-0005-0000-0000-000038000000}"/>
    <cellStyle name="Milliers 3 11 3" xfId="468" xr:uid="{00000000-0005-0000-0000-000039000000}"/>
    <cellStyle name="Milliers 3 11 3 2" xfId="1935" xr:uid="{00000000-0005-0000-0000-00003A000000}"/>
    <cellStyle name="Milliers 3 11 4" xfId="913" xr:uid="{00000000-0005-0000-0000-00003B000000}"/>
    <cellStyle name="Milliers 3 11 4 2" xfId="2328" xr:uid="{00000000-0005-0000-0000-00003C000000}"/>
    <cellStyle name="Milliers 3 11 5" xfId="1133" xr:uid="{00000000-0005-0000-0000-00003D000000}"/>
    <cellStyle name="Milliers 3 11 5 2" xfId="2548" xr:uid="{00000000-0005-0000-0000-00003E000000}"/>
    <cellStyle name="Milliers 3 11 6" xfId="1294" xr:uid="{00000000-0005-0000-0000-00003F000000}"/>
    <cellStyle name="Milliers 3 11 7" xfId="1626" xr:uid="{00000000-0005-0000-0000-000040000000}"/>
    <cellStyle name="Milliers 3 12" xfId="173" xr:uid="{00000000-0005-0000-0000-000041000000}"/>
    <cellStyle name="Milliers 3 12 2" xfId="485" xr:uid="{00000000-0005-0000-0000-000042000000}"/>
    <cellStyle name="Milliers 3 12 2 2" xfId="1952" xr:uid="{00000000-0005-0000-0000-000043000000}"/>
    <cellStyle name="Milliers 3 12 3" xfId="1311" xr:uid="{00000000-0005-0000-0000-000044000000}"/>
    <cellStyle name="Milliers 3 12 4" xfId="1643" xr:uid="{00000000-0005-0000-0000-000045000000}"/>
    <cellStyle name="Milliers 3 13" xfId="330" xr:uid="{00000000-0005-0000-0000-000046000000}"/>
    <cellStyle name="Milliers 3 13 2" xfId="1798" xr:uid="{00000000-0005-0000-0000-000047000000}"/>
    <cellStyle name="Milliers 3 14" xfId="717" xr:uid="{00000000-0005-0000-0000-000048000000}"/>
    <cellStyle name="Milliers 3 14 2" xfId="2132" xr:uid="{00000000-0005-0000-0000-000049000000}"/>
    <cellStyle name="Milliers 3 15" xfId="937" xr:uid="{00000000-0005-0000-0000-00004A000000}"/>
    <cellStyle name="Milliers 3 15 2" xfId="2352" xr:uid="{00000000-0005-0000-0000-00004B000000}"/>
    <cellStyle name="Milliers 3 16" xfId="1157" xr:uid="{00000000-0005-0000-0000-00004C000000}"/>
    <cellStyle name="Milliers 3 17" xfId="1489" xr:uid="{00000000-0005-0000-0000-00004D000000}"/>
    <cellStyle name="Milliers 3 2" xfId="16" xr:uid="{00000000-0005-0000-0000-00004E000000}"/>
    <cellStyle name="Milliers 3 2 10" xfId="158" xr:uid="{00000000-0005-0000-0000-00004F000000}"/>
    <cellStyle name="Milliers 3 2 10 2" xfId="312" xr:uid="{00000000-0005-0000-0000-000050000000}"/>
    <cellStyle name="Milliers 3 2 10 2 2" xfId="624" xr:uid="{00000000-0005-0000-0000-000051000000}"/>
    <cellStyle name="Milliers 3 2 10 2 2 2" xfId="2091" xr:uid="{00000000-0005-0000-0000-000052000000}"/>
    <cellStyle name="Milliers 3 2 10 2 3" xfId="1450" xr:uid="{00000000-0005-0000-0000-000053000000}"/>
    <cellStyle name="Milliers 3 2 10 2 4" xfId="1782" xr:uid="{00000000-0005-0000-0000-000054000000}"/>
    <cellStyle name="Milliers 3 2 10 3" xfId="470" xr:uid="{00000000-0005-0000-0000-000055000000}"/>
    <cellStyle name="Milliers 3 2 10 3 2" xfId="1937" xr:uid="{00000000-0005-0000-0000-000056000000}"/>
    <cellStyle name="Milliers 3 2 10 4" xfId="915" xr:uid="{00000000-0005-0000-0000-000057000000}"/>
    <cellStyle name="Milliers 3 2 10 4 2" xfId="2330" xr:uid="{00000000-0005-0000-0000-000058000000}"/>
    <cellStyle name="Milliers 3 2 10 5" xfId="1135" xr:uid="{00000000-0005-0000-0000-000059000000}"/>
    <cellStyle name="Milliers 3 2 10 5 2" xfId="2550" xr:uid="{00000000-0005-0000-0000-00005A000000}"/>
    <cellStyle name="Milliers 3 2 10 6" xfId="1296" xr:uid="{00000000-0005-0000-0000-00005B000000}"/>
    <cellStyle name="Milliers 3 2 10 7" xfId="1628" xr:uid="{00000000-0005-0000-0000-00005C000000}"/>
    <cellStyle name="Milliers 3 2 11" xfId="175" xr:uid="{00000000-0005-0000-0000-00005D000000}"/>
    <cellStyle name="Milliers 3 2 11 2" xfId="487" xr:uid="{00000000-0005-0000-0000-00005E000000}"/>
    <cellStyle name="Milliers 3 2 11 2 2" xfId="1954" xr:uid="{00000000-0005-0000-0000-00005F000000}"/>
    <cellStyle name="Milliers 3 2 11 3" xfId="1313" xr:uid="{00000000-0005-0000-0000-000060000000}"/>
    <cellStyle name="Milliers 3 2 11 4" xfId="1645" xr:uid="{00000000-0005-0000-0000-000061000000}"/>
    <cellStyle name="Milliers 3 2 12" xfId="333" xr:uid="{00000000-0005-0000-0000-000062000000}"/>
    <cellStyle name="Milliers 3 2 12 2" xfId="1800" xr:uid="{00000000-0005-0000-0000-000063000000}"/>
    <cellStyle name="Milliers 3 2 13" xfId="719" xr:uid="{00000000-0005-0000-0000-000064000000}"/>
    <cellStyle name="Milliers 3 2 13 2" xfId="2134" xr:uid="{00000000-0005-0000-0000-000065000000}"/>
    <cellStyle name="Milliers 3 2 14" xfId="939" xr:uid="{00000000-0005-0000-0000-000066000000}"/>
    <cellStyle name="Milliers 3 2 14 2" xfId="2354" xr:uid="{00000000-0005-0000-0000-000067000000}"/>
    <cellStyle name="Milliers 3 2 15" xfId="1159" xr:uid="{00000000-0005-0000-0000-000068000000}"/>
    <cellStyle name="Milliers 3 2 16" xfId="1491" xr:uid="{00000000-0005-0000-0000-000069000000}"/>
    <cellStyle name="Milliers 3 2 2" xfId="19" xr:uid="{00000000-0005-0000-0000-00006A000000}"/>
    <cellStyle name="Milliers 3 2 2 10" xfId="335" xr:uid="{00000000-0005-0000-0000-00006B000000}"/>
    <cellStyle name="Milliers 3 2 2 10 2" xfId="1802" xr:uid="{00000000-0005-0000-0000-00006C000000}"/>
    <cellStyle name="Milliers 3 2 2 11" xfId="721" xr:uid="{00000000-0005-0000-0000-00006D000000}"/>
    <cellStyle name="Milliers 3 2 2 11 2" xfId="2136" xr:uid="{00000000-0005-0000-0000-00006E000000}"/>
    <cellStyle name="Milliers 3 2 2 12" xfId="941" xr:uid="{00000000-0005-0000-0000-00006F000000}"/>
    <cellStyle name="Milliers 3 2 2 12 2" xfId="2356" xr:uid="{00000000-0005-0000-0000-000070000000}"/>
    <cellStyle name="Milliers 3 2 2 13" xfId="1161" xr:uid="{00000000-0005-0000-0000-000071000000}"/>
    <cellStyle name="Milliers 3 2 2 14" xfId="1493" xr:uid="{00000000-0005-0000-0000-000072000000}"/>
    <cellStyle name="Milliers 3 2 2 2" xfId="35" xr:uid="{00000000-0005-0000-0000-000073000000}"/>
    <cellStyle name="Milliers 3 2 2 2 10" xfId="1175" xr:uid="{00000000-0005-0000-0000-000074000000}"/>
    <cellStyle name="Milliers 3 2 2 2 11" xfId="1507" xr:uid="{00000000-0005-0000-0000-000075000000}"/>
    <cellStyle name="Milliers 3 2 2 2 2" xfId="59" xr:uid="{00000000-0005-0000-0000-000076000000}"/>
    <cellStyle name="Milliers 3 2 2 2 2 2" xfId="215" xr:uid="{00000000-0005-0000-0000-000077000000}"/>
    <cellStyle name="Milliers 3 2 2 2 2 2 2" xfId="527" xr:uid="{00000000-0005-0000-0000-000078000000}"/>
    <cellStyle name="Milliers 3 2 2 2 2 2 2 2" xfId="1994" xr:uid="{00000000-0005-0000-0000-000079000000}"/>
    <cellStyle name="Milliers 3 2 2 2 2 2 3" xfId="845" xr:uid="{00000000-0005-0000-0000-00007A000000}"/>
    <cellStyle name="Milliers 3 2 2 2 2 2 3 2" xfId="2260" xr:uid="{00000000-0005-0000-0000-00007B000000}"/>
    <cellStyle name="Milliers 3 2 2 2 2 2 4" xfId="1065" xr:uid="{00000000-0005-0000-0000-00007C000000}"/>
    <cellStyle name="Milliers 3 2 2 2 2 2 4 2" xfId="2480" xr:uid="{00000000-0005-0000-0000-00007D000000}"/>
    <cellStyle name="Milliers 3 2 2 2 2 2 5" xfId="1353" xr:uid="{00000000-0005-0000-0000-00007E000000}"/>
    <cellStyle name="Milliers 3 2 2 2 2 2 6" xfId="1685" xr:uid="{00000000-0005-0000-0000-00007F000000}"/>
    <cellStyle name="Milliers 3 2 2 2 2 3" xfId="373" xr:uid="{00000000-0005-0000-0000-000080000000}"/>
    <cellStyle name="Milliers 3 2 2 2 2 3 2" xfId="1840" xr:uid="{00000000-0005-0000-0000-000081000000}"/>
    <cellStyle name="Milliers 3 2 2 2 2 4" xfId="762" xr:uid="{00000000-0005-0000-0000-000082000000}"/>
    <cellStyle name="Milliers 3 2 2 2 2 4 2" xfId="2177" xr:uid="{00000000-0005-0000-0000-000083000000}"/>
    <cellStyle name="Milliers 3 2 2 2 2 5" xfId="982" xr:uid="{00000000-0005-0000-0000-000084000000}"/>
    <cellStyle name="Milliers 3 2 2 2 2 5 2" xfId="2397" xr:uid="{00000000-0005-0000-0000-000085000000}"/>
    <cellStyle name="Milliers 3 2 2 2 2 6" xfId="1199" xr:uid="{00000000-0005-0000-0000-000086000000}"/>
    <cellStyle name="Milliers 3 2 2 2 2 7" xfId="1531" xr:uid="{00000000-0005-0000-0000-000087000000}"/>
    <cellStyle name="Milliers 3 2 2 2 3" xfId="88" xr:uid="{00000000-0005-0000-0000-000088000000}"/>
    <cellStyle name="Milliers 3 2 2 2 3 2" xfId="242" xr:uid="{00000000-0005-0000-0000-000089000000}"/>
    <cellStyle name="Milliers 3 2 2 2 3 2 2" xfId="554" xr:uid="{00000000-0005-0000-0000-00008A000000}"/>
    <cellStyle name="Milliers 3 2 2 2 3 2 2 2" xfId="2021" xr:uid="{00000000-0005-0000-0000-00008B000000}"/>
    <cellStyle name="Milliers 3 2 2 2 3 2 3" xfId="874" xr:uid="{00000000-0005-0000-0000-00008C000000}"/>
    <cellStyle name="Milliers 3 2 2 2 3 2 3 2" xfId="2289" xr:uid="{00000000-0005-0000-0000-00008D000000}"/>
    <cellStyle name="Milliers 3 2 2 2 3 2 4" xfId="1094" xr:uid="{00000000-0005-0000-0000-00008E000000}"/>
    <cellStyle name="Milliers 3 2 2 2 3 2 4 2" xfId="2509" xr:uid="{00000000-0005-0000-0000-00008F000000}"/>
    <cellStyle name="Milliers 3 2 2 2 3 2 5" xfId="1380" xr:uid="{00000000-0005-0000-0000-000090000000}"/>
    <cellStyle name="Milliers 3 2 2 2 3 2 6" xfId="1712" xr:uid="{00000000-0005-0000-0000-000091000000}"/>
    <cellStyle name="Milliers 3 2 2 2 3 3" xfId="400" xr:uid="{00000000-0005-0000-0000-000092000000}"/>
    <cellStyle name="Milliers 3 2 2 2 3 3 2" xfId="1867" xr:uid="{00000000-0005-0000-0000-000093000000}"/>
    <cellStyle name="Milliers 3 2 2 2 3 4" xfId="791" xr:uid="{00000000-0005-0000-0000-000094000000}"/>
    <cellStyle name="Milliers 3 2 2 2 3 4 2" xfId="2206" xr:uid="{00000000-0005-0000-0000-000095000000}"/>
    <cellStyle name="Milliers 3 2 2 2 3 5" xfId="1011" xr:uid="{00000000-0005-0000-0000-000096000000}"/>
    <cellStyle name="Milliers 3 2 2 2 3 5 2" xfId="2426" xr:uid="{00000000-0005-0000-0000-000097000000}"/>
    <cellStyle name="Milliers 3 2 2 2 3 6" xfId="1226" xr:uid="{00000000-0005-0000-0000-000098000000}"/>
    <cellStyle name="Milliers 3 2 2 2 3 7" xfId="1558" xr:uid="{00000000-0005-0000-0000-000099000000}"/>
    <cellStyle name="Milliers 3 2 2 2 4" xfId="111" xr:uid="{00000000-0005-0000-0000-00009A000000}"/>
    <cellStyle name="Milliers 3 2 2 2 4 2" xfId="265" xr:uid="{00000000-0005-0000-0000-00009B000000}"/>
    <cellStyle name="Milliers 3 2 2 2 4 2 2" xfId="577" xr:uid="{00000000-0005-0000-0000-00009C000000}"/>
    <cellStyle name="Milliers 3 2 2 2 4 2 2 2" xfId="2044" xr:uid="{00000000-0005-0000-0000-00009D000000}"/>
    <cellStyle name="Milliers 3 2 2 2 4 2 3" xfId="1403" xr:uid="{00000000-0005-0000-0000-00009E000000}"/>
    <cellStyle name="Milliers 3 2 2 2 4 2 4" xfId="1735" xr:uid="{00000000-0005-0000-0000-00009F000000}"/>
    <cellStyle name="Milliers 3 2 2 2 4 3" xfId="423" xr:uid="{00000000-0005-0000-0000-0000A0000000}"/>
    <cellStyle name="Milliers 3 2 2 2 4 3 2" xfId="1890" xr:uid="{00000000-0005-0000-0000-0000A1000000}"/>
    <cellStyle name="Milliers 3 2 2 2 4 4" xfId="818" xr:uid="{00000000-0005-0000-0000-0000A2000000}"/>
    <cellStyle name="Milliers 3 2 2 2 4 4 2" xfId="2233" xr:uid="{00000000-0005-0000-0000-0000A3000000}"/>
    <cellStyle name="Milliers 3 2 2 2 4 5" xfId="1038" xr:uid="{00000000-0005-0000-0000-0000A4000000}"/>
    <cellStyle name="Milliers 3 2 2 2 4 5 2" xfId="2453" xr:uid="{00000000-0005-0000-0000-0000A5000000}"/>
    <cellStyle name="Milliers 3 2 2 2 4 6" xfId="1249" xr:uid="{00000000-0005-0000-0000-0000A6000000}"/>
    <cellStyle name="Milliers 3 2 2 2 4 7" xfId="1581" xr:uid="{00000000-0005-0000-0000-0000A7000000}"/>
    <cellStyle name="Milliers 3 2 2 2 5" xfId="191" xr:uid="{00000000-0005-0000-0000-0000A8000000}"/>
    <cellStyle name="Milliers 3 2 2 2 5 2" xfId="503" xr:uid="{00000000-0005-0000-0000-0000A9000000}"/>
    <cellStyle name="Milliers 3 2 2 2 5 2 2" xfId="1970" xr:uid="{00000000-0005-0000-0000-0000AA000000}"/>
    <cellStyle name="Milliers 3 2 2 2 5 3" xfId="905" xr:uid="{00000000-0005-0000-0000-0000AB000000}"/>
    <cellStyle name="Milliers 3 2 2 2 5 3 2" xfId="2320" xr:uid="{00000000-0005-0000-0000-0000AC000000}"/>
    <cellStyle name="Milliers 3 2 2 2 5 4" xfId="1125" xr:uid="{00000000-0005-0000-0000-0000AD000000}"/>
    <cellStyle name="Milliers 3 2 2 2 5 4 2" xfId="2540" xr:uid="{00000000-0005-0000-0000-0000AE000000}"/>
    <cellStyle name="Milliers 3 2 2 2 5 5" xfId="1329" xr:uid="{00000000-0005-0000-0000-0000AF000000}"/>
    <cellStyle name="Milliers 3 2 2 2 5 6" xfId="1661" xr:uid="{00000000-0005-0000-0000-0000B0000000}"/>
    <cellStyle name="Milliers 3 2 2 2 6" xfId="710" xr:uid="{00000000-0005-0000-0000-0000B1000000}"/>
    <cellStyle name="Milliers 3 2 2 2 6 2" xfId="931" xr:uid="{00000000-0005-0000-0000-0000B2000000}"/>
    <cellStyle name="Milliers 3 2 2 2 6 2 2" xfId="2346" xr:uid="{00000000-0005-0000-0000-0000B3000000}"/>
    <cellStyle name="Milliers 3 2 2 2 6 3" xfId="1151" xr:uid="{00000000-0005-0000-0000-0000B4000000}"/>
    <cellStyle name="Milliers 3 2 2 2 6 3 2" xfId="2566" xr:uid="{00000000-0005-0000-0000-0000B5000000}"/>
    <cellStyle name="Milliers 3 2 2 2 6 4" xfId="1483" xr:uid="{00000000-0005-0000-0000-0000B6000000}"/>
    <cellStyle name="Milliers 3 2 2 2 6 5" xfId="2126" xr:uid="{00000000-0005-0000-0000-0000B7000000}"/>
    <cellStyle name="Milliers 3 2 2 2 7" xfId="349" xr:uid="{00000000-0005-0000-0000-0000B8000000}"/>
    <cellStyle name="Milliers 3 2 2 2 7 2" xfId="1816" xr:uid="{00000000-0005-0000-0000-0000B9000000}"/>
    <cellStyle name="Milliers 3 2 2 2 8" xfId="735" xr:uid="{00000000-0005-0000-0000-0000BA000000}"/>
    <cellStyle name="Milliers 3 2 2 2 8 2" xfId="2150" xr:uid="{00000000-0005-0000-0000-0000BB000000}"/>
    <cellStyle name="Milliers 3 2 2 2 9" xfId="955" xr:uid="{00000000-0005-0000-0000-0000BC000000}"/>
    <cellStyle name="Milliers 3 2 2 2 9 2" xfId="2370" xr:uid="{00000000-0005-0000-0000-0000BD000000}"/>
    <cellStyle name="Milliers 3 2 2 3" xfId="45" xr:uid="{00000000-0005-0000-0000-0000BE000000}"/>
    <cellStyle name="Milliers 3 2 2 3 2" xfId="201" xr:uid="{00000000-0005-0000-0000-0000BF000000}"/>
    <cellStyle name="Milliers 3 2 2 3 2 2" xfId="513" xr:uid="{00000000-0005-0000-0000-0000C0000000}"/>
    <cellStyle name="Milliers 3 2 2 3 2 2 2" xfId="1980" xr:uid="{00000000-0005-0000-0000-0000C1000000}"/>
    <cellStyle name="Milliers 3 2 2 3 2 3" xfId="828" xr:uid="{00000000-0005-0000-0000-0000C2000000}"/>
    <cellStyle name="Milliers 3 2 2 3 2 3 2" xfId="2243" xr:uid="{00000000-0005-0000-0000-0000C3000000}"/>
    <cellStyle name="Milliers 3 2 2 3 2 4" xfId="1048" xr:uid="{00000000-0005-0000-0000-0000C4000000}"/>
    <cellStyle name="Milliers 3 2 2 3 2 4 2" xfId="2463" xr:uid="{00000000-0005-0000-0000-0000C5000000}"/>
    <cellStyle name="Milliers 3 2 2 3 2 5" xfId="1339" xr:uid="{00000000-0005-0000-0000-0000C6000000}"/>
    <cellStyle name="Milliers 3 2 2 3 2 6" xfId="1671" xr:uid="{00000000-0005-0000-0000-0000C7000000}"/>
    <cellStyle name="Milliers 3 2 2 3 3" xfId="359" xr:uid="{00000000-0005-0000-0000-0000C8000000}"/>
    <cellStyle name="Milliers 3 2 2 3 3 2" xfId="1826" xr:uid="{00000000-0005-0000-0000-0000C9000000}"/>
    <cellStyle name="Milliers 3 2 2 3 4" xfId="745" xr:uid="{00000000-0005-0000-0000-0000CA000000}"/>
    <cellStyle name="Milliers 3 2 2 3 4 2" xfId="2160" xr:uid="{00000000-0005-0000-0000-0000CB000000}"/>
    <cellStyle name="Milliers 3 2 2 3 5" xfId="965" xr:uid="{00000000-0005-0000-0000-0000CC000000}"/>
    <cellStyle name="Milliers 3 2 2 3 5 2" xfId="2380" xr:uid="{00000000-0005-0000-0000-0000CD000000}"/>
    <cellStyle name="Milliers 3 2 2 3 6" xfId="1185" xr:uid="{00000000-0005-0000-0000-0000CE000000}"/>
    <cellStyle name="Milliers 3 2 2 3 7" xfId="1517" xr:uid="{00000000-0005-0000-0000-0000CF000000}"/>
    <cellStyle name="Milliers 3 2 2 4" xfId="71" xr:uid="{00000000-0005-0000-0000-0000D0000000}"/>
    <cellStyle name="Milliers 3 2 2 4 2" xfId="227" xr:uid="{00000000-0005-0000-0000-0000D1000000}"/>
    <cellStyle name="Milliers 3 2 2 4 2 2" xfId="539" xr:uid="{00000000-0005-0000-0000-0000D2000000}"/>
    <cellStyle name="Milliers 3 2 2 4 2 2 2" xfId="2006" xr:uid="{00000000-0005-0000-0000-0000D3000000}"/>
    <cellStyle name="Milliers 3 2 2 4 2 3" xfId="857" xr:uid="{00000000-0005-0000-0000-0000D4000000}"/>
    <cellStyle name="Milliers 3 2 2 4 2 3 2" xfId="2272" xr:uid="{00000000-0005-0000-0000-0000D5000000}"/>
    <cellStyle name="Milliers 3 2 2 4 2 4" xfId="1077" xr:uid="{00000000-0005-0000-0000-0000D6000000}"/>
    <cellStyle name="Milliers 3 2 2 4 2 4 2" xfId="2492" xr:uid="{00000000-0005-0000-0000-0000D7000000}"/>
    <cellStyle name="Milliers 3 2 2 4 2 5" xfId="1365" xr:uid="{00000000-0005-0000-0000-0000D8000000}"/>
    <cellStyle name="Milliers 3 2 2 4 2 6" xfId="1697" xr:uid="{00000000-0005-0000-0000-0000D9000000}"/>
    <cellStyle name="Milliers 3 2 2 4 3" xfId="385" xr:uid="{00000000-0005-0000-0000-0000DA000000}"/>
    <cellStyle name="Milliers 3 2 2 4 3 2" xfId="1852" xr:uid="{00000000-0005-0000-0000-0000DB000000}"/>
    <cellStyle name="Milliers 3 2 2 4 4" xfId="774" xr:uid="{00000000-0005-0000-0000-0000DC000000}"/>
    <cellStyle name="Milliers 3 2 2 4 4 2" xfId="2189" xr:uid="{00000000-0005-0000-0000-0000DD000000}"/>
    <cellStyle name="Milliers 3 2 2 4 5" xfId="994" xr:uid="{00000000-0005-0000-0000-0000DE000000}"/>
    <cellStyle name="Milliers 3 2 2 4 5 2" xfId="2409" xr:uid="{00000000-0005-0000-0000-0000DF000000}"/>
    <cellStyle name="Milliers 3 2 2 4 6" xfId="1211" xr:uid="{00000000-0005-0000-0000-0000E0000000}"/>
    <cellStyle name="Milliers 3 2 2 4 7" xfId="1543" xr:uid="{00000000-0005-0000-0000-0000E1000000}"/>
    <cellStyle name="Milliers 3 2 2 5" xfId="97" xr:uid="{00000000-0005-0000-0000-0000E2000000}"/>
    <cellStyle name="Milliers 3 2 2 5 2" xfId="251" xr:uid="{00000000-0005-0000-0000-0000E3000000}"/>
    <cellStyle name="Milliers 3 2 2 5 2 2" xfId="563" xr:uid="{00000000-0005-0000-0000-0000E4000000}"/>
    <cellStyle name="Milliers 3 2 2 5 2 2 2" xfId="2030" xr:uid="{00000000-0005-0000-0000-0000E5000000}"/>
    <cellStyle name="Milliers 3 2 2 5 2 3" xfId="1389" xr:uid="{00000000-0005-0000-0000-0000E6000000}"/>
    <cellStyle name="Milliers 3 2 2 5 2 4" xfId="1721" xr:uid="{00000000-0005-0000-0000-0000E7000000}"/>
    <cellStyle name="Milliers 3 2 2 5 3" xfId="409" xr:uid="{00000000-0005-0000-0000-0000E8000000}"/>
    <cellStyle name="Milliers 3 2 2 5 3 2" xfId="1876" xr:uid="{00000000-0005-0000-0000-0000E9000000}"/>
    <cellStyle name="Milliers 3 2 2 5 4" xfId="804" xr:uid="{00000000-0005-0000-0000-0000EA000000}"/>
    <cellStyle name="Milliers 3 2 2 5 4 2" xfId="2219" xr:uid="{00000000-0005-0000-0000-0000EB000000}"/>
    <cellStyle name="Milliers 3 2 2 5 5" xfId="1024" xr:uid="{00000000-0005-0000-0000-0000EC000000}"/>
    <cellStyle name="Milliers 3 2 2 5 5 2" xfId="2439" xr:uid="{00000000-0005-0000-0000-0000ED000000}"/>
    <cellStyle name="Milliers 3 2 2 5 6" xfId="1235" xr:uid="{00000000-0005-0000-0000-0000EE000000}"/>
    <cellStyle name="Milliers 3 2 2 5 7" xfId="1567" xr:uid="{00000000-0005-0000-0000-0000EF000000}"/>
    <cellStyle name="Milliers 3 2 2 6" xfId="124" xr:uid="{00000000-0005-0000-0000-0000F0000000}"/>
    <cellStyle name="Milliers 3 2 2 6 2" xfId="278" xr:uid="{00000000-0005-0000-0000-0000F1000000}"/>
    <cellStyle name="Milliers 3 2 2 6 2 2" xfId="590" xr:uid="{00000000-0005-0000-0000-0000F2000000}"/>
    <cellStyle name="Milliers 3 2 2 6 2 2 2" xfId="2057" xr:uid="{00000000-0005-0000-0000-0000F3000000}"/>
    <cellStyle name="Milliers 3 2 2 6 2 3" xfId="1416" xr:uid="{00000000-0005-0000-0000-0000F4000000}"/>
    <cellStyle name="Milliers 3 2 2 6 2 4" xfId="1748" xr:uid="{00000000-0005-0000-0000-0000F5000000}"/>
    <cellStyle name="Milliers 3 2 2 6 3" xfId="436" xr:uid="{00000000-0005-0000-0000-0000F6000000}"/>
    <cellStyle name="Milliers 3 2 2 6 3 2" xfId="1903" xr:uid="{00000000-0005-0000-0000-0000F7000000}"/>
    <cellStyle name="Milliers 3 2 2 6 4" xfId="888" xr:uid="{00000000-0005-0000-0000-0000F8000000}"/>
    <cellStyle name="Milliers 3 2 2 6 4 2" xfId="2303" xr:uid="{00000000-0005-0000-0000-0000F9000000}"/>
    <cellStyle name="Milliers 3 2 2 6 5" xfId="1108" xr:uid="{00000000-0005-0000-0000-0000FA000000}"/>
    <cellStyle name="Milliers 3 2 2 6 5 2" xfId="2523" xr:uid="{00000000-0005-0000-0000-0000FB000000}"/>
    <cellStyle name="Milliers 3 2 2 6 6" xfId="1262" xr:uid="{00000000-0005-0000-0000-0000FC000000}"/>
    <cellStyle name="Milliers 3 2 2 6 7" xfId="1594" xr:uid="{00000000-0005-0000-0000-0000FD000000}"/>
    <cellStyle name="Milliers 3 2 2 7" xfId="143" xr:uid="{00000000-0005-0000-0000-0000FE000000}"/>
    <cellStyle name="Milliers 3 2 2 7 2" xfId="297" xr:uid="{00000000-0005-0000-0000-0000FF000000}"/>
    <cellStyle name="Milliers 3 2 2 7 2 2" xfId="609" xr:uid="{00000000-0005-0000-0000-000000010000}"/>
    <cellStyle name="Milliers 3 2 2 7 2 2 2" xfId="2076" xr:uid="{00000000-0005-0000-0000-000001010000}"/>
    <cellStyle name="Milliers 3 2 2 7 2 3" xfId="1435" xr:uid="{00000000-0005-0000-0000-000002010000}"/>
    <cellStyle name="Milliers 3 2 2 7 2 4" xfId="1767" xr:uid="{00000000-0005-0000-0000-000003010000}"/>
    <cellStyle name="Milliers 3 2 2 7 3" xfId="455" xr:uid="{00000000-0005-0000-0000-000004010000}"/>
    <cellStyle name="Milliers 3 2 2 7 3 2" xfId="1922" xr:uid="{00000000-0005-0000-0000-000005010000}"/>
    <cellStyle name="Milliers 3 2 2 7 4" xfId="917" xr:uid="{00000000-0005-0000-0000-000006010000}"/>
    <cellStyle name="Milliers 3 2 2 7 4 2" xfId="2332" xr:uid="{00000000-0005-0000-0000-000007010000}"/>
    <cellStyle name="Milliers 3 2 2 7 5" xfId="1137" xr:uid="{00000000-0005-0000-0000-000008010000}"/>
    <cellStyle name="Milliers 3 2 2 7 5 2" xfId="2552" xr:uid="{00000000-0005-0000-0000-000009010000}"/>
    <cellStyle name="Milliers 3 2 2 7 6" xfId="1281" xr:uid="{00000000-0005-0000-0000-00000A010000}"/>
    <cellStyle name="Milliers 3 2 2 7 7" xfId="1613" xr:uid="{00000000-0005-0000-0000-00000B010000}"/>
    <cellStyle name="Milliers 3 2 2 8" xfId="160" xr:uid="{00000000-0005-0000-0000-00000C010000}"/>
    <cellStyle name="Milliers 3 2 2 8 2" xfId="314" xr:uid="{00000000-0005-0000-0000-00000D010000}"/>
    <cellStyle name="Milliers 3 2 2 8 2 2" xfId="626" xr:uid="{00000000-0005-0000-0000-00000E010000}"/>
    <cellStyle name="Milliers 3 2 2 8 2 2 2" xfId="2093" xr:uid="{00000000-0005-0000-0000-00000F010000}"/>
    <cellStyle name="Milliers 3 2 2 8 2 3" xfId="1452" xr:uid="{00000000-0005-0000-0000-000010010000}"/>
    <cellStyle name="Milliers 3 2 2 8 2 4" xfId="1784" xr:uid="{00000000-0005-0000-0000-000011010000}"/>
    <cellStyle name="Milliers 3 2 2 8 3" xfId="472" xr:uid="{00000000-0005-0000-0000-000012010000}"/>
    <cellStyle name="Milliers 3 2 2 8 3 2" xfId="1939" xr:uid="{00000000-0005-0000-0000-000013010000}"/>
    <cellStyle name="Milliers 3 2 2 8 4" xfId="1298" xr:uid="{00000000-0005-0000-0000-000014010000}"/>
    <cellStyle name="Milliers 3 2 2 8 5" xfId="1630" xr:uid="{00000000-0005-0000-0000-000015010000}"/>
    <cellStyle name="Milliers 3 2 2 9" xfId="177" xr:uid="{00000000-0005-0000-0000-000016010000}"/>
    <cellStyle name="Milliers 3 2 2 9 2" xfId="489" xr:uid="{00000000-0005-0000-0000-000017010000}"/>
    <cellStyle name="Milliers 3 2 2 9 2 2" xfId="1956" xr:uid="{00000000-0005-0000-0000-000018010000}"/>
    <cellStyle name="Milliers 3 2 2 9 3" xfId="1315" xr:uid="{00000000-0005-0000-0000-000019010000}"/>
    <cellStyle name="Milliers 3 2 2 9 4" xfId="1647" xr:uid="{00000000-0005-0000-0000-00001A010000}"/>
    <cellStyle name="Milliers 3 2 3" xfId="20" xr:uid="{00000000-0005-0000-0000-00001B010000}"/>
    <cellStyle name="Milliers 3 2 3 10" xfId="336" xr:uid="{00000000-0005-0000-0000-00001C010000}"/>
    <cellStyle name="Milliers 3 2 3 10 2" xfId="1803" xr:uid="{00000000-0005-0000-0000-00001D010000}"/>
    <cellStyle name="Milliers 3 2 3 11" xfId="722" xr:uid="{00000000-0005-0000-0000-00001E010000}"/>
    <cellStyle name="Milliers 3 2 3 11 2" xfId="2137" xr:uid="{00000000-0005-0000-0000-00001F010000}"/>
    <cellStyle name="Milliers 3 2 3 12" xfId="942" xr:uid="{00000000-0005-0000-0000-000020010000}"/>
    <cellStyle name="Milliers 3 2 3 12 2" xfId="2357" xr:uid="{00000000-0005-0000-0000-000021010000}"/>
    <cellStyle name="Milliers 3 2 3 13" xfId="1162" xr:uid="{00000000-0005-0000-0000-000022010000}"/>
    <cellStyle name="Milliers 3 2 3 14" xfId="1494" xr:uid="{00000000-0005-0000-0000-000023010000}"/>
    <cellStyle name="Milliers 3 2 3 2" xfId="39" xr:uid="{00000000-0005-0000-0000-000024010000}"/>
    <cellStyle name="Milliers 3 2 3 2 10" xfId="1179" xr:uid="{00000000-0005-0000-0000-000025010000}"/>
    <cellStyle name="Milliers 3 2 3 2 11" xfId="1511" xr:uid="{00000000-0005-0000-0000-000026010000}"/>
    <cellStyle name="Milliers 3 2 3 2 2" xfId="63" xr:uid="{00000000-0005-0000-0000-000027010000}"/>
    <cellStyle name="Milliers 3 2 3 2 2 2" xfId="219" xr:uid="{00000000-0005-0000-0000-000028010000}"/>
    <cellStyle name="Milliers 3 2 3 2 2 2 2" xfId="531" xr:uid="{00000000-0005-0000-0000-000029010000}"/>
    <cellStyle name="Milliers 3 2 3 2 2 2 2 2" xfId="1998" xr:uid="{00000000-0005-0000-0000-00002A010000}"/>
    <cellStyle name="Milliers 3 2 3 2 2 2 3" xfId="846" xr:uid="{00000000-0005-0000-0000-00002B010000}"/>
    <cellStyle name="Milliers 3 2 3 2 2 2 3 2" xfId="2261" xr:uid="{00000000-0005-0000-0000-00002C010000}"/>
    <cellStyle name="Milliers 3 2 3 2 2 2 4" xfId="1066" xr:uid="{00000000-0005-0000-0000-00002D010000}"/>
    <cellStyle name="Milliers 3 2 3 2 2 2 4 2" xfId="2481" xr:uid="{00000000-0005-0000-0000-00002E010000}"/>
    <cellStyle name="Milliers 3 2 3 2 2 2 5" xfId="1357" xr:uid="{00000000-0005-0000-0000-00002F010000}"/>
    <cellStyle name="Milliers 3 2 3 2 2 2 6" xfId="1689" xr:uid="{00000000-0005-0000-0000-000030010000}"/>
    <cellStyle name="Milliers 3 2 3 2 2 3" xfId="377" xr:uid="{00000000-0005-0000-0000-000031010000}"/>
    <cellStyle name="Milliers 3 2 3 2 2 3 2" xfId="1844" xr:uid="{00000000-0005-0000-0000-000032010000}"/>
    <cellStyle name="Milliers 3 2 3 2 2 4" xfId="763" xr:uid="{00000000-0005-0000-0000-000033010000}"/>
    <cellStyle name="Milliers 3 2 3 2 2 4 2" xfId="2178" xr:uid="{00000000-0005-0000-0000-000034010000}"/>
    <cellStyle name="Milliers 3 2 3 2 2 5" xfId="983" xr:uid="{00000000-0005-0000-0000-000035010000}"/>
    <cellStyle name="Milliers 3 2 3 2 2 5 2" xfId="2398" xr:uid="{00000000-0005-0000-0000-000036010000}"/>
    <cellStyle name="Milliers 3 2 3 2 2 6" xfId="1203" xr:uid="{00000000-0005-0000-0000-000037010000}"/>
    <cellStyle name="Milliers 3 2 3 2 2 7" xfId="1535" xr:uid="{00000000-0005-0000-0000-000038010000}"/>
    <cellStyle name="Milliers 3 2 3 2 3" xfId="91" xr:uid="{00000000-0005-0000-0000-000039010000}"/>
    <cellStyle name="Milliers 3 2 3 2 3 2" xfId="245" xr:uid="{00000000-0005-0000-0000-00003A010000}"/>
    <cellStyle name="Milliers 3 2 3 2 3 2 2" xfId="557" xr:uid="{00000000-0005-0000-0000-00003B010000}"/>
    <cellStyle name="Milliers 3 2 3 2 3 2 2 2" xfId="2024" xr:uid="{00000000-0005-0000-0000-00003C010000}"/>
    <cellStyle name="Milliers 3 2 3 2 3 2 3" xfId="875" xr:uid="{00000000-0005-0000-0000-00003D010000}"/>
    <cellStyle name="Milliers 3 2 3 2 3 2 3 2" xfId="2290" xr:uid="{00000000-0005-0000-0000-00003E010000}"/>
    <cellStyle name="Milliers 3 2 3 2 3 2 4" xfId="1095" xr:uid="{00000000-0005-0000-0000-00003F010000}"/>
    <cellStyle name="Milliers 3 2 3 2 3 2 4 2" xfId="2510" xr:uid="{00000000-0005-0000-0000-000040010000}"/>
    <cellStyle name="Milliers 3 2 3 2 3 2 5" xfId="1383" xr:uid="{00000000-0005-0000-0000-000041010000}"/>
    <cellStyle name="Milliers 3 2 3 2 3 2 6" xfId="1715" xr:uid="{00000000-0005-0000-0000-000042010000}"/>
    <cellStyle name="Milliers 3 2 3 2 3 3" xfId="403" xr:uid="{00000000-0005-0000-0000-000043010000}"/>
    <cellStyle name="Milliers 3 2 3 2 3 3 2" xfId="1870" xr:uid="{00000000-0005-0000-0000-000044010000}"/>
    <cellStyle name="Milliers 3 2 3 2 3 4" xfId="792" xr:uid="{00000000-0005-0000-0000-000045010000}"/>
    <cellStyle name="Milliers 3 2 3 2 3 4 2" xfId="2207" xr:uid="{00000000-0005-0000-0000-000046010000}"/>
    <cellStyle name="Milliers 3 2 3 2 3 5" xfId="1012" xr:uid="{00000000-0005-0000-0000-000047010000}"/>
    <cellStyle name="Milliers 3 2 3 2 3 5 2" xfId="2427" xr:uid="{00000000-0005-0000-0000-000048010000}"/>
    <cellStyle name="Milliers 3 2 3 2 3 6" xfId="1229" xr:uid="{00000000-0005-0000-0000-000049010000}"/>
    <cellStyle name="Milliers 3 2 3 2 3 7" xfId="1561" xr:uid="{00000000-0005-0000-0000-00004A010000}"/>
    <cellStyle name="Milliers 3 2 3 2 4" xfId="115" xr:uid="{00000000-0005-0000-0000-00004B010000}"/>
    <cellStyle name="Milliers 3 2 3 2 4 2" xfId="269" xr:uid="{00000000-0005-0000-0000-00004C010000}"/>
    <cellStyle name="Milliers 3 2 3 2 4 2 2" xfId="581" xr:uid="{00000000-0005-0000-0000-00004D010000}"/>
    <cellStyle name="Milliers 3 2 3 2 4 2 2 2" xfId="2048" xr:uid="{00000000-0005-0000-0000-00004E010000}"/>
    <cellStyle name="Milliers 3 2 3 2 4 2 3" xfId="1407" xr:uid="{00000000-0005-0000-0000-00004F010000}"/>
    <cellStyle name="Milliers 3 2 3 2 4 2 4" xfId="1739" xr:uid="{00000000-0005-0000-0000-000050010000}"/>
    <cellStyle name="Milliers 3 2 3 2 4 3" xfId="427" xr:uid="{00000000-0005-0000-0000-000051010000}"/>
    <cellStyle name="Milliers 3 2 3 2 4 3 2" xfId="1894" xr:uid="{00000000-0005-0000-0000-000052010000}"/>
    <cellStyle name="Milliers 3 2 3 2 4 4" xfId="822" xr:uid="{00000000-0005-0000-0000-000053010000}"/>
    <cellStyle name="Milliers 3 2 3 2 4 4 2" xfId="2237" xr:uid="{00000000-0005-0000-0000-000054010000}"/>
    <cellStyle name="Milliers 3 2 3 2 4 5" xfId="1042" xr:uid="{00000000-0005-0000-0000-000055010000}"/>
    <cellStyle name="Milliers 3 2 3 2 4 5 2" xfId="2457" xr:uid="{00000000-0005-0000-0000-000056010000}"/>
    <cellStyle name="Milliers 3 2 3 2 4 6" xfId="1253" xr:uid="{00000000-0005-0000-0000-000057010000}"/>
    <cellStyle name="Milliers 3 2 3 2 4 7" xfId="1585" xr:uid="{00000000-0005-0000-0000-000058010000}"/>
    <cellStyle name="Milliers 3 2 3 2 5" xfId="195" xr:uid="{00000000-0005-0000-0000-000059010000}"/>
    <cellStyle name="Milliers 3 2 3 2 5 2" xfId="507" xr:uid="{00000000-0005-0000-0000-00005A010000}"/>
    <cellStyle name="Milliers 3 2 3 2 5 2 2" xfId="1974" xr:uid="{00000000-0005-0000-0000-00005B010000}"/>
    <cellStyle name="Milliers 3 2 3 2 5 3" xfId="906" xr:uid="{00000000-0005-0000-0000-00005C010000}"/>
    <cellStyle name="Milliers 3 2 3 2 5 3 2" xfId="2321" xr:uid="{00000000-0005-0000-0000-00005D010000}"/>
    <cellStyle name="Milliers 3 2 3 2 5 4" xfId="1126" xr:uid="{00000000-0005-0000-0000-00005E010000}"/>
    <cellStyle name="Milliers 3 2 3 2 5 4 2" xfId="2541" xr:uid="{00000000-0005-0000-0000-00005F010000}"/>
    <cellStyle name="Milliers 3 2 3 2 5 5" xfId="1333" xr:uid="{00000000-0005-0000-0000-000060010000}"/>
    <cellStyle name="Milliers 3 2 3 2 5 6" xfId="1665" xr:uid="{00000000-0005-0000-0000-000061010000}"/>
    <cellStyle name="Milliers 3 2 3 2 6" xfId="714" xr:uid="{00000000-0005-0000-0000-000062010000}"/>
    <cellStyle name="Milliers 3 2 3 2 6 2" xfId="935" xr:uid="{00000000-0005-0000-0000-000063010000}"/>
    <cellStyle name="Milliers 3 2 3 2 6 2 2" xfId="2350" xr:uid="{00000000-0005-0000-0000-000064010000}"/>
    <cellStyle name="Milliers 3 2 3 2 6 3" xfId="1155" xr:uid="{00000000-0005-0000-0000-000065010000}"/>
    <cellStyle name="Milliers 3 2 3 2 6 3 2" xfId="2570" xr:uid="{00000000-0005-0000-0000-000066010000}"/>
    <cellStyle name="Milliers 3 2 3 2 6 4" xfId="1487" xr:uid="{00000000-0005-0000-0000-000067010000}"/>
    <cellStyle name="Milliers 3 2 3 2 6 5" xfId="2130" xr:uid="{00000000-0005-0000-0000-000068010000}"/>
    <cellStyle name="Milliers 3 2 3 2 7" xfId="353" xr:uid="{00000000-0005-0000-0000-000069010000}"/>
    <cellStyle name="Milliers 3 2 3 2 7 2" xfId="1820" xr:uid="{00000000-0005-0000-0000-00006A010000}"/>
    <cellStyle name="Milliers 3 2 3 2 8" xfId="739" xr:uid="{00000000-0005-0000-0000-00006B010000}"/>
    <cellStyle name="Milliers 3 2 3 2 8 2" xfId="2154" xr:uid="{00000000-0005-0000-0000-00006C010000}"/>
    <cellStyle name="Milliers 3 2 3 2 9" xfId="959" xr:uid="{00000000-0005-0000-0000-00006D010000}"/>
    <cellStyle name="Milliers 3 2 3 2 9 2" xfId="2374" xr:uid="{00000000-0005-0000-0000-00006E010000}"/>
    <cellStyle name="Milliers 3 2 3 3" xfId="46" xr:uid="{00000000-0005-0000-0000-00006F010000}"/>
    <cellStyle name="Milliers 3 2 3 3 2" xfId="202" xr:uid="{00000000-0005-0000-0000-000070010000}"/>
    <cellStyle name="Milliers 3 2 3 3 2 2" xfId="514" xr:uid="{00000000-0005-0000-0000-000071010000}"/>
    <cellStyle name="Milliers 3 2 3 3 2 2 2" xfId="1981" xr:uid="{00000000-0005-0000-0000-000072010000}"/>
    <cellStyle name="Milliers 3 2 3 3 2 3" xfId="829" xr:uid="{00000000-0005-0000-0000-000073010000}"/>
    <cellStyle name="Milliers 3 2 3 3 2 3 2" xfId="2244" xr:uid="{00000000-0005-0000-0000-000074010000}"/>
    <cellStyle name="Milliers 3 2 3 3 2 4" xfId="1049" xr:uid="{00000000-0005-0000-0000-000075010000}"/>
    <cellStyle name="Milliers 3 2 3 3 2 4 2" xfId="2464" xr:uid="{00000000-0005-0000-0000-000076010000}"/>
    <cellStyle name="Milliers 3 2 3 3 2 5" xfId="1340" xr:uid="{00000000-0005-0000-0000-000077010000}"/>
    <cellStyle name="Milliers 3 2 3 3 2 6" xfId="1672" xr:uid="{00000000-0005-0000-0000-000078010000}"/>
    <cellStyle name="Milliers 3 2 3 3 3" xfId="360" xr:uid="{00000000-0005-0000-0000-000079010000}"/>
    <cellStyle name="Milliers 3 2 3 3 3 2" xfId="1827" xr:uid="{00000000-0005-0000-0000-00007A010000}"/>
    <cellStyle name="Milliers 3 2 3 3 4" xfId="746" xr:uid="{00000000-0005-0000-0000-00007B010000}"/>
    <cellStyle name="Milliers 3 2 3 3 4 2" xfId="2161" xr:uid="{00000000-0005-0000-0000-00007C010000}"/>
    <cellStyle name="Milliers 3 2 3 3 5" xfId="966" xr:uid="{00000000-0005-0000-0000-00007D010000}"/>
    <cellStyle name="Milliers 3 2 3 3 5 2" xfId="2381" xr:uid="{00000000-0005-0000-0000-00007E010000}"/>
    <cellStyle name="Milliers 3 2 3 3 6" xfId="1186" xr:uid="{00000000-0005-0000-0000-00007F010000}"/>
    <cellStyle name="Milliers 3 2 3 3 7" xfId="1518" xr:uid="{00000000-0005-0000-0000-000080010000}"/>
    <cellStyle name="Milliers 3 2 3 4" xfId="72" xr:uid="{00000000-0005-0000-0000-000081010000}"/>
    <cellStyle name="Milliers 3 2 3 4 2" xfId="228" xr:uid="{00000000-0005-0000-0000-000082010000}"/>
    <cellStyle name="Milliers 3 2 3 4 2 2" xfId="540" xr:uid="{00000000-0005-0000-0000-000083010000}"/>
    <cellStyle name="Milliers 3 2 3 4 2 2 2" xfId="2007" xr:uid="{00000000-0005-0000-0000-000084010000}"/>
    <cellStyle name="Milliers 3 2 3 4 2 3" xfId="858" xr:uid="{00000000-0005-0000-0000-000085010000}"/>
    <cellStyle name="Milliers 3 2 3 4 2 3 2" xfId="2273" xr:uid="{00000000-0005-0000-0000-000086010000}"/>
    <cellStyle name="Milliers 3 2 3 4 2 4" xfId="1078" xr:uid="{00000000-0005-0000-0000-000087010000}"/>
    <cellStyle name="Milliers 3 2 3 4 2 4 2" xfId="2493" xr:uid="{00000000-0005-0000-0000-000088010000}"/>
    <cellStyle name="Milliers 3 2 3 4 2 5" xfId="1366" xr:uid="{00000000-0005-0000-0000-000089010000}"/>
    <cellStyle name="Milliers 3 2 3 4 2 6" xfId="1698" xr:uid="{00000000-0005-0000-0000-00008A010000}"/>
    <cellStyle name="Milliers 3 2 3 4 3" xfId="386" xr:uid="{00000000-0005-0000-0000-00008B010000}"/>
    <cellStyle name="Milliers 3 2 3 4 3 2" xfId="1853" xr:uid="{00000000-0005-0000-0000-00008C010000}"/>
    <cellStyle name="Milliers 3 2 3 4 4" xfId="775" xr:uid="{00000000-0005-0000-0000-00008D010000}"/>
    <cellStyle name="Milliers 3 2 3 4 4 2" xfId="2190" xr:uid="{00000000-0005-0000-0000-00008E010000}"/>
    <cellStyle name="Milliers 3 2 3 4 5" xfId="995" xr:uid="{00000000-0005-0000-0000-00008F010000}"/>
    <cellStyle name="Milliers 3 2 3 4 5 2" xfId="2410" xr:uid="{00000000-0005-0000-0000-000090010000}"/>
    <cellStyle name="Milliers 3 2 3 4 6" xfId="1212" xr:uid="{00000000-0005-0000-0000-000091010000}"/>
    <cellStyle name="Milliers 3 2 3 4 7" xfId="1544" xr:uid="{00000000-0005-0000-0000-000092010000}"/>
    <cellStyle name="Milliers 3 2 3 5" xfId="98" xr:uid="{00000000-0005-0000-0000-000093010000}"/>
    <cellStyle name="Milliers 3 2 3 5 2" xfId="252" xr:uid="{00000000-0005-0000-0000-000094010000}"/>
    <cellStyle name="Milliers 3 2 3 5 2 2" xfId="564" xr:uid="{00000000-0005-0000-0000-000095010000}"/>
    <cellStyle name="Milliers 3 2 3 5 2 2 2" xfId="2031" xr:uid="{00000000-0005-0000-0000-000096010000}"/>
    <cellStyle name="Milliers 3 2 3 5 2 3" xfId="1390" xr:uid="{00000000-0005-0000-0000-000097010000}"/>
    <cellStyle name="Milliers 3 2 3 5 2 4" xfId="1722" xr:uid="{00000000-0005-0000-0000-000098010000}"/>
    <cellStyle name="Milliers 3 2 3 5 3" xfId="410" xr:uid="{00000000-0005-0000-0000-000099010000}"/>
    <cellStyle name="Milliers 3 2 3 5 3 2" xfId="1877" xr:uid="{00000000-0005-0000-0000-00009A010000}"/>
    <cellStyle name="Milliers 3 2 3 5 4" xfId="805" xr:uid="{00000000-0005-0000-0000-00009B010000}"/>
    <cellStyle name="Milliers 3 2 3 5 4 2" xfId="2220" xr:uid="{00000000-0005-0000-0000-00009C010000}"/>
    <cellStyle name="Milliers 3 2 3 5 5" xfId="1025" xr:uid="{00000000-0005-0000-0000-00009D010000}"/>
    <cellStyle name="Milliers 3 2 3 5 5 2" xfId="2440" xr:uid="{00000000-0005-0000-0000-00009E010000}"/>
    <cellStyle name="Milliers 3 2 3 5 6" xfId="1236" xr:uid="{00000000-0005-0000-0000-00009F010000}"/>
    <cellStyle name="Milliers 3 2 3 5 7" xfId="1568" xr:uid="{00000000-0005-0000-0000-0000A0010000}"/>
    <cellStyle name="Milliers 3 2 3 6" xfId="125" xr:uid="{00000000-0005-0000-0000-0000A1010000}"/>
    <cellStyle name="Milliers 3 2 3 6 2" xfId="279" xr:uid="{00000000-0005-0000-0000-0000A2010000}"/>
    <cellStyle name="Milliers 3 2 3 6 2 2" xfId="591" xr:uid="{00000000-0005-0000-0000-0000A3010000}"/>
    <cellStyle name="Milliers 3 2 3 6 2 2 2" xfId="2058" xr:uid="{00000000-0005-0000-0000-0000A4010000}"/>
    <cellStyle name="Milliers 3 2 3 6 2 3" xfId="1417" xr:uid="{00000000-0005-0000-0000-0000A5010000}"/>
    <cellStyle name="Milliers 3 2 3 6 2 4" xfId="1749" xr:uid="{00000000-0005-0000-0000-0000A6010000}"/>
    <cellStyle name="Milliers 3 2 3 6 3" xfId="437" xr:uid="{00000000-0005-0000-0000-0000A7010000}"/>
    <cellStyle name="Milliers 3 2 3 6 3 2" xfId="1904" xr:uid="{00000000-0005-0000-0000-0000A8010000}"/>
    <cellStyle name="Milliers 3 2 3 6 4" xfId="889" xr:uid="{00000000-0005-0000-0000-0000A9010000}"/>
    <cellStyle name="Milliers 3 2 3 6 4 2" xfId="2304" xr:uid="{00000000-0005-0000-0000-0000AA010000}"/>
    <cellStyle name="Milliers 3 2 3 6 5" xfId="1109" xr:uid="{00000000-0005-0000-0000-0000AB010000}"/>
    <cellStyle name="Milliers 3 2 3 6 5 2" xfId="2524" xr:uid="{00000000-0005-0000-0000-0000AC010000}"/>
    <cellStyle name="Milliers 3 2 3 6 6" xfId="1263" xr:uid="{00000000-0005-0000-0000-0000AD010000}"/>
    <cellStyle name="Milliers 3 2 3 6 7" xfId="1595" xr:uid="{00000000-0005-0000-0000-0000AE010000}"/>
    <cellStyle name="Milliers 3 2 3 7" xfId="144" xr:uid="{00000000-0005-0000-0000-0000AF010000}"/>
    <cellStyle name="Milliers 3 2 3 7 2" xfId="298" xr:uid="{00000000-0005-0000-0000-0000B0010000}"/>
    <cellStyle name="Milliers 3 2 3 7 2 2" xfId="610" xr:uid="{00000000-0005-0000-0000-0000B1010000}"/>
    <cellStyle name="Milliers 3 2 3 7 2 2 2" xfId="2077" xr:uid="{00000000-0005-0000-0000-0000B2010000}"/>
    <cellStyle name="Milliers 3 2 3 7 2 3" xfId="1436" xr:uid="{00000000-0005-0000-0000-0000B3010000}"/>
    <cellStyle name="Milliers 3 2 3 7 2 4" xfId="1768" xr:uid="{00000000-0005-0000-0000-0000B4010000}"/>
    <cellStyle name="Milliers 3 2 3 7 3" xfId="456" xr:uid="{00000000-0005-0000-0000-0000B5010000}"/>
    <cellStyle name="Milliers 3 2 3 7 3 2" xfId="1923" xr:uid="{00000000-0005-0000-0000-0000B6010000}"/>
    <cellStyle name="Milliers 3 2 3 7 4" xfId="918" xr:uid="{00000000-0005-0000-0000-0000B7010000}"/>
    <cellStyle name="Milliers 3 2 3 7 4 2" xfId="2333" xr:uid="{00000000-0005-0000-0000-0000B8010000}"/>
    <cellStyle name="Milliers 3 2 3 7 5" xfId="1138" xr:uid="{00000000-0005-0000-0000-0000B9010000}"/>
    <cellStyle name="Milliers 3 2 3 7 5 2" xfId="2553" xr:uid="{00000000-0005-0000-0000-0000BA010000}"/>
    <cellStyle name="Milliers 3 2 3 7 6" xfId="1282" xr:uid="{00000000-0005-0000-0000-0000BB010000}"/>
    <cellStyle name="Milliers 3 2 3 7 7" xfId="1614" xr:uid="{00000000-0005-0000-0000-0000BC010000}"/>
    <cellStyle name="Milliers 3 2 3 8" xfId="161" xr:uid="{00000000-0005-0000-0000-0000BD010000}"/>
    <cellStyle name="Milliers 3 2 3 8 2" xfId="315" xr:uid="{00000000-0005-0000-0000-0000BE010000}"/>
    <cellStyle name="Milliers 3 2 3 8 2 2" xfId="627" xr:uid="{00000000-0005-0000-0000-0000BF010000}"/>
    <cellStyle name="Milliers 3 2 3 8 2 2 2" xfId="2094" xr:uid="{00000000-0005-0000-0000-0000C0010000}"/>
    <cellStyle name="Milliers 3 2 3 8 2 3" xfId="1453" xr:uid="{00000000-0005-0000-0000-0000C1010000}"/>
    <cellStyle name="Milliers 3 2 3 8 2 4" xfId="1785" xr:uid="{00000000-0005-0000-0000-0000C2010000}"/>
    <cellStyle name="Milliers 3 2 3 8 3" xfId="473" xr:uid="{00000000-0005-0000-0000-0000C3010000}"/>
    <cellStyle name="Milliers 3 2 3 8 3 2" xfId="1940" xr:uid="{00000000-0005-0000-0000-0000C4010000}"/>
    <cellStyle name="Milliers 3 2 3 8 4" xfId="1299" xr:uid="{00000000-0005-0000-0000-0000C5010000}"/>
    <cellStyle name="Milliers 3 2 3 8 5" xfId="1631" xr:uid="{00000000-0005-0000-0000-0000C6010000}"/>
    <cellStyle name="Milliers 3 2 3 9" xfId="178" xr:uid="{00000000-0005-0000-0000-0000C7010000}"/>
    <cellStyle name="Milliers 3 2 3 9 2" xfId="490" xr:uid="{00000000-0005-0000-0000-0000C8010000}"/>
    <cellStyle name="Milliers 3 2 3 9 2 2" xfId="1957" xr:uid="{00000000-0005-0000-0000-0000C9010000}"/>
    <cellStyle name="Milliers 3 2 3 9 3" xfId="1316" xr:uid="{00000000-0005-0000-0000-0000CA010000}"/>
    <cellStyle name="Milliers 3 2 3 9 4" xfId="1648" xr:uid="{00000000-0005-0000-0000-0000CB010000}"/>
    <cellStyle name="Milliers 3 2 4" xfId="31" xr:uid="{00000000-0005-0000-0000-0000CC010000}"/>
    <cellStyle name="Milliers 3 2 4 10" xfId="731" xr:uid="{00000000-0005-0000-0000-0000CD010000}"/>
    <cellStyle name="Milliers 3 2 4 10 2" xfId="2146" xr:uid="{00000000-0005-0000-0000-0000CE010000}"/>
    <cellStyle name="Milliers 3 2 4 11" xfId="951" xr:uid="{00000000-0005-0000-0000-0000CF010000}"/>
    <cellStyle name="Milliers 3 2 4 11 2" xfId="2366" xr:uid="{00000000-0005-0000-0000-0000D0010000}"/>
    <cellStyle name="Milliers 3 2 4 12" xfId="1171" xr:uid="{00000000-0005-0000-0000-0000D1010000}"/>
    <cellStyle name="Milliers 3 2 4 13" xfId="1503" xr:uid="{00000000-0005-0000-0000-0000D2010000}"/>
    <cellStyle name="Milliers 3 2 4 2" xfId="55" xr:uid="{00000000-0005-0000-0000-0000D3010000}"/>
    <cellStyle name="Milliers 3 2 4 2 2" xfId="211" xr:uid="{00000000-0005-0000-0000-0000D4010000}"/>
    <cellStyle name="Milliers 3 2 4 2 2 2" xfId="523" xr:uid="{00000000-0005-0000-0000-0000D5010000}"/>
    <cellStyle name="Milliers 3 2 4 2 2 2 2" xfId="1990" xr:uid="{00000000-0005-0000-0000-0000D6010000}"/>
    <cellStyle name="Milliers 3 2 4 2 2 3" xfId="839" xr:uid="{00000000-0005-0000-0000-0000D7010000}"/>
    <cellStyle name="Milliers 3 2 4 2 2 3 2" xfId="2254" xr:uid="{00000000-0005-0000-0000-0000D8010000}"/>
    <cellStyle name="Milliers 3 2 4 2 2 4" xfId="1059" xr:uid="{00000000-0005-0000-0000-0000D9010000}"/>
    <cellStyle name="Milliers 3 2 4 2 2 4 2" xfId="2474" xr:uid="{00000000-0005-0000-0000-0000DA010000}"/>
    <cellStyle name="Milliers 3 2 4 2 2 5" xfId="1349" xr:uid="{00000000-0005-0000-0000-0000DB010000}"/>
    <cellStyle name="Milliers 3 2 4 2 2 6" xfId="1681" xr:uid="{00000000-0005-0000-0000-0000DC010000}"/>
    <cellStyle name="Milliers 3 2 4 2 3" xfId="369" xr:uid="{00000000-0005-0000-0000-0000DD010000}"/>
    <cellStyle name="Milliers 3 2 4 2 3 2" xfId="1836" xr:uid="{00000000-0005-0000-0000-0000DE010000}"/>
    <cellStyle name="Milliers 3 2 4 2 4" xfId="756" xr:uid="{00000000-0005-0000-0000-0000DF010000}"/>
    <cellStyle name="Milliers 3 2 4 2 4 2" xfId="2171" xr:uid="{00000000-0005-0000-0000-0000E0010000}"/>
    <cellStyle name="Milliers 3 2 4 2 5" xfId="976" xr:uid="{00000000-0005-0000-0000-0000E1010000}"/>
    <cellStyle name="Milliers 3 2 4 2 5 2" xfId="2391" xr:uid="{00000000-0005-0000-0000-0000E2010000}"/>
    <cellStyle name="Milliers 3 2 4 2 6" xfId="1195" xr:uid="{00000000-0005-0000-0000-0000E3010000}"/>
    <cellStyle name="Milliers 3 2 4 2 7" xfId="1527" xr:uid="{00000000-0005-0000-0000-0000E4010000}"/>
    <cellStyle name="Milliers 3 2 4 3" xfId="86" xr:uid="{00000000-0005-0000-0000-0000E5010000}"/>
    <cellStyle name="Milliers 3 2 4 3 2" xfId="240" xr:uid="{00000000-0005-0000-0000-0000E6010000}"/>
    <cellStyle name="Milliers 3 2 4 3 2 2" xfId="552" xr:uid="{00000000-0005-0000-0000-0000E7010000}"/>
    <cellStyle name="Milliers 3 2 4 3 2 2 2" xfId="2019" xr:uid="{00000000-0005-0000-0000-0000E8010000}"/>
    <cellStyle name="Milliers 3 2 4 3 2 3" xfId="868" xr:uid="{00000000-0005-0000-0000-0000E9010000}"/>
    <cellStyle name="Milliers 3 2 4 3 2 3 2" xfId="2283" xr:uid="{00000000-0005-0000-0000-0000EA010000}"/>
    <cellStyle name="Milliers 3 2 4 3 2 4" xfId="1088" xr:uid="{00000000-0005-0000-0000-0000EB010000}"/>
    <cellStyle name="Milliers 3 2 4 3 2 4 2" xfId="2503" xr:uid="{00000000-0005-0000-0000-0000EC010000}"/>
    <cellStyle name="Milliers 3 2 4 3 2 5" xfId="1378" xr:uid="{00000000-0005-0000-0000-0000ED010000}"/>
    <cellStyle name="Milliers 3 2 4 3 2 6" xfId="1710" xr:uid="{00000000-0005-0000-0000-0000EE010000}"/>
    <cellStyle name="Milliers 3 2 4 3 3" xfId="398" xr:uid="{00000000-0005-0000-0000-0000EF010000}"/>
    <cellStyle name="Milliers 3 2 4 3 3 2" xfId="1865" xr:uid="{00000000-0005-0000-0000-0000F0010000}"/>
    <cellStyle name="Milliers 3 2 4 3 4" xfId="785" xr:uid="{00000000-0005-0000-0000-0000F1010000}"/>
    <cellStyle name="Milliers 3 2 4 3 4 2" xfId="2200" xr:uid="{00000000-0005-0000-0000-0000F2010000}"/>
    <cellStyle name="Milliers 3 2 4 3 5" xfId="1005" xr:uid="{00000000-0005-0000-0000-0000F3010000}"/>
    <cellStyle name="Milliers 3 2 4 3 5 2" xfId="2420" xr:uid="{00000000-0005-0000-0000-0000F4010000}"/>
    <cellStyle name="Milliers 3 2 4 3 6" xfId="1224" xr:uid="{00000000-0005-0000-0000-0000F5010000}"/>
    <cellStyle name="Milliers 3 2 4 3 7" xfId="1556" xr:uid="{00000000-0005-0000-0000-0000F6010000}"/>
    <cellStyle name="Milliers 3 2 4 4" xfId="107" xr:uid="{00000000-0005-0000-0000-0000F7010000}"/>
    <cellStyle name="Milliers 3 2 4 4 2" xfId="261" xr:uid="{00000000-0005-0000-0000-0000F8010000}"/>
    <cellStyle name="Milliers 3 2 4 4 2 2" xfId="573" xr:uid="{00000000-0005-0000-0000-0000F9010000}"/>
    <cellStyle name="Milliers 3 2 4 4 2 2 2" xfId="2040" xr:uid="{00000000-0005-0000-0000-0000FA010000}"/>
    <cellStyle name="Milliers 3 2 4 4 2 3" xfId="1399" xr:uid="{00000000-0005-0000-0000-0000FB010000}"/>
    <cellStyle name="Milliers 3 2 4 4 2 4" xfId="1731" xr:uid="{00000000-0005-0000-0000-0000FC010000}"/>
    <cellStyle name="Milliers 3 2 4 4 3" xfId="419" xr:uid="{00000000-0005-0000-0000-0000FD010000}"/>
    <cellStyle name="Milliers 3 2 4 4 3 2" xfId="1886" xr:uid="{00000000-0005-0000-0000-0000FE010000}"/>
    <cellStyle name="Milliers 3 2 4 4 4" xfId="814" xr:uid="{00000000-0005-0000-0000-0000FF010000}"/>
    <cellStyle name="Milliers 3 2 4 4 4 2" xfId="2229" xr:uid="{00000000-0005-0000-0000-000000020000}"/>
    <cellStyle name="Milliers 3 2 4 4 5" xfId="1034" xr:uid="{00000000-0005-0000-0000-000001020000}"/>
    <cellStyle name="Milliers 3 2 4 4 5 2" xfId="2449" xr:uid="{00000000-0005-0000-0000-000002020000}"/>
    <cellStyle name="Milliers 3 2 4 4 6" xfId="1245" xr:uid="{00000000-0005-0000-0000-000003020000}"/>
    <cellStyle name="Milliers 3 2 4 4 7" xfId="1577" xr:uid="{00000000-0005-0000-0000-000004020000}"/>
    <cellStyle name="Milliers 3 2 4 5" xfId="135" xr:uid="{00000000-0005-0000-0000-000005020000}"/>
    <cellStyle name="Milliers 3 2 4 5 2" xfId="289" xr:uid="{00000000-0005-0000-0000-000006020000}"/>
    <cellStyle name="Milliers 3 2 4 5 2 2" xfId="601" xr:uid="{00000000-0005-0000-0000-000007020000}"/>
    <cellStyle name="Milliers 3 2 4 5 2 2 2" xfId="2068" xr:uid="{00000000-0005-0000-0000-000008020000}"/>
    <cellStyle name="Milliers 3 2 4 5 2 3" xfId="1427" xr:uid="{00000000-0005-0000-0000-000009020000}"/>
    <cellStyle name="Milliers 3 2 4 5 2 4" xfId="1759" xr:uid="{00000000-0005-0000-0000-00000A020000}"/>
    <cellStyle name="Milliers 3 2 4 5 3" xfId="447" xr:uid="{00000000-0005-0000-0000-00000B020000}"/>
    <cellStyle name="Milliers 3 2 4 5 3 2" xfId="1914" xr:uid="{00000000-0005-0000-0000-00000C020000}"/>
    <cellStyle name="Milliers 3 2 4 5 4" xfId="899" xr:uid="{00000000-0005-0000-0000-00000D020000}"/>
    <cellStyle name="Milliers 3 2 4 5 4 2" xfId="2314" xr:uid="{00000000-0005-0000-0000-00000E020000}"/>
    <cellStyle name="Milliers 3 2 4 5 5" xfId="1119" xr:uid="{00000000-0005-0000-0000-00000F020000}"/>
    <cellStyle name="Milliers 3 2 4 5 5 2" xfId="2534" xr:uid="{00000000-0005-0000-0000-000010020000}"/>
    <cellStyle name="Milliers 3 2 4 5 6" xfId="1273" xr:uid="{00000000-0005-0000-0000-000011020000}"/>
    <cellStyle name="Milliers 3 2 4 5 7" xfId="1605" xr:uid="{00000000-0005-0000-0000-000012020000}"/>
    <cellStyle name="Milliers 3 2 4 6" xfId="154" xr:uid="{00000000-0005-0000-0000-000013020000}"/>
    <cellStyle name="Milliers 3 2 4 6 2" xfId="308" xr:uid="{00000000-0005-0000-0000-000014020000}"/>
    <cellStyle name="Milliers 3 2 4 6 2 2" xfId="620" xr:uid="{00000000-0005-0000-0000-000015020000}"/>
    <cellStyle name="Milliers 3 2 4 6 2 2 2" xfId="2087" xr:uid="{00000000-0005-0000-0000-000016020000}"/>
    <cellStyle name="Milliers 3 2 4 6 2 3" xfId="1446" xr:uid="{00000000-0005-0000-0000-000017020000}"/>
    <cellStyle name="Milliers 3 2 4 6 2 4" xfId="1778" xr:uid="{00000000-0005-0000-0000-000018020000}"/>
    <cellStyle name="Milliers 3 2 4 6 3" xfId="466" xr:uid="{00000000-0005-0000-0000-000019020000}"/>
    <cellStyle name="Milliers 3 2 4 6 3 2" xfId="1933" xr:uid="{00000000-0005-0000-0000-00001A020000}"/>
    <cellStyle name="Milliers 3 2 4 6 4" xfId="927" xr:uid="{00000000-0005-0000-0000-00001B020000}"/>
    <cellStyle name="Milliers 3 2 4 6 4 2" xfId="2342" xr:uid="{00000000-0005-0000-0000-00001C020000}"/>
    <cellStyle name="Milliers 3 2 4 6 5" xfId="1147" xr:uid="{00000000-0005-0000-0000-00001D020000}"/>
    <cellStyle name="Milliers 3 2 4 6 5 2" xfId="2562" xr:uid="{00000000-0005-0000-0000-00001E020000}"/>
    <cellStyle name="Milliers 3 2 4 6 6" xfId="1292" xr:uid="{00000000-0005-0000-0000-00001F020000}"/>
    <cellStyle name="Milliers 3 2 4 6 7" xfId="1624" xr:uid="{00000000-0005-0000-0000-000020020000}"/>
    <cellStyle name="Milliers 3 2 4 7" xfId="171" xr:uid="{00000000-0005-0000-0000-000021020000}"/>
    <cellStyle name="Milliers 3 2 4 7 2" xfId="325" xr:uid="{00000000-0005-0000-0000-000022020000}"/>
    <cellStyle name="Milliers 3 2 4 7 2 2" xfId="637" xr:uid="{00000000-0005-0000-0000-000023020000}"/>
    <cellStyle name="Milliers 3 2 4 7 2 2 2" xfId="2104" xr:uid="{00000000-0005-0000-0000-000024020000}"/>
    <cellStyle name="Milliers 3 2 4 7 2 3" xfId="1463" xr:uid="{00000000-0005-0000-0000-000025020000}"/>
    <cellStyle name="Milliers 3 2 4 7 2 4" xfId="1795" xr:uid="{00000000-0005-0000-0000-000026020000}"/>
    <cellStyle name="Milliers 3 2 4 7 3" xfId="483" xr:uid="{00000000-0005-0000-0000-000027020000}"/>
    <cellStyle name="Milliers 3 2 4 7 3 2" xfId="1950" xr:uid="{00000000-0005-0000-0000-000028020000}"/>
    <cellStyle name="Milliers 3 2 4 7 4" xfId="1309" xr:uid="{00000000-0005-0000-0000-000029020000}"/>
    <cellStyle name="Milliers 3 2 4 7 5" xfId="1641" xr:uid="{00000000-0005-0000-0000-00002A020000}"/>
    <cellStyle name="Milliers 3 2 4 8" xfId="187" xr:uid="{00000000-0005-0000-0000-00002B020000}"/>
    <cellStyle name="Milliers 3 2 4 8 2" xfId="499" xr:uid="{00000000-0005-0000-0000-00002C020000}"/>
    <cellStyle name="Milliers 3 2 4 8 2 2" xfId="1966" xr:uid="{00000000-0005-0000-0000-00002D020000}"/>
    <cellStyle name="Milliers 3 2 4 8 3" xfId="1325" xr:uid="{00000000-0005-0000-0000-00002E020000}"/>
    <cellStyle name="Milliers 3 2 4 8 4" xfId="1657" xr:uid="{00000000-0005-0000-0000-00002F020000}"/>
    <cellStyle name="Milliers 3 2 4 9" xfId="345" xr:uid="{00000000-0005-0000-0000-000030020000}"/>
    <cellStyle name="Milliers 3 2 4 9 2" xfId="1812" xr:uid="{00000000-0005-0000-0000-000031020000}"/>
    <cellStyle name="Milliers 3 2 5" xfId="43" xr:uid="{00000000-0005-0000-0000-000032020000}"/>
    <cellStyle name="Milliers 3 2 5 2" xfId="199" xr:uid="{00000000-0005-0000-0000-000033020000}"/>
    <cellStyle name="Milliers 3 2 5 2 2" xfId="653" xr:uid="{00000000-0005-0000-0000-000034020000}"/>
    <cellStyle name="Milliers 3 2 5 2 2 2" xfId="872" xr:uid="{00000000-0005-0000-0000-000035020000}"/>
    <cellStyle name="Milliers 3 2 5 2 2 2 2" xfId="2287" xr:uid="{00000000-0005-0000-0000-000036020000}"/>
    <cellStyle name="Milliers 3 2 5 2 2 3" xfId="1092" xr:uid="{00000000-0005-0000-0000-000037020000}"/>
    <cellStyle name="Milliers 3 2 5 2 2 3 2" xfId="2507" xr:uid="{00000000-0005-0000-0000-000038020000}"/>
    <cellStyle name="Milliers 3 2 5 2 2 4" xfId="1472" xr:uid="{00000000-0005-0000-0000-000039020000}"/>
    <cellStyle name="Milliers 3 2 5 2 2 5" xfId="2114" xr:uid="{00000000-0005-0000-0000-00003A020000}"/>
    <cellStyle name="Milliers 3 2 5 2 3" xfId="511" xr:uid="{00000000-0005-0000-0000-00003B020000}"/>
    <cellStyle name="Milliers 3 2 5 2 3 2" xfId="1978" xr:uid="{00000000-0005-0000-0000-00003C020000}"/>
    <cellStyle name="Milliers 3 2 5 2 4" xfId="789" xr:uid="{00000000-0005-0000-0000-00003D020000}"/>
    <cellStyle name="Milliers 3 2 5 2 4 2" xfId="2204" xr:uid="{00000000-0005-0000-0000-00003E020000}"/>
    <cellStyle name="Milliers 3 2 5 2 5" xfId="1009" xr:uid="{00000000-0005-0000-0000-00003F020000}"/>
    <cellStyle name="Milliers 3 2 5 2 5 2" xfId="2424" xr:uid="{00000000-0005-0000-0000-000040020000}"/>
    <cellStyle name="Milliers 3 2 5 2 6" xfId="1337" xr:uid="{00000000-0005-0000-0000-000041020000}"/>
    <cellStyle name="Milliers 3 2 5 2 7" xfId="1669" xr:uid="{00000000-0005-0000-0000-000042020000}"/>
    <cellStyle name="Milliers 3 2 5 3" xfId="649" xr:uid="{00000000-0005-0000-0000-000043020000}"/>
    <cellStyle name="Milliers 3 2 5 3 2" xfId="843" xr:uid="{00000000-0005-0000-0000-000044020000}"/>
    <cellStyle name="Milliers 3 2 5 3 2 2" xfId="2258" xr:uid="{00000000-0005-0000-0000-000045020000}"/>
    <cellStyle name="Milliers 3 2 5 3 3" xfId="1063" xr:uid="{00000000-0005-0000-0000-000046020000}"/>
    <cellStyle name="Milliers 3 2 5 3 3 2" xfId="2478" xr:uid="{00000000-0005-0000-0000-000047020000}"/>
    <cellStyle name="Milliers 3 2 5 3 4" xfId="1468" xr:uid="{00000000-0005-0000-0000-000048020000}"/>
    <cellStyle name="Milliers 3 2 5 3 5" xfId="2110" xr:uid="{00000000-0005-0000-0000-000049020000}"/>
    <cellStyle name="Milliers 3 2 5 4" xfId="705" xr:uid="{00000000-0005-0000-0000-00004A020000}"/>
    <cellStyle name="Milliers 3 2 5 4 2" xfId="903" xr:uid="{00000000-0005-0000-0000-00004B020000}"/>
    <cellStyle name="Milliers 3 2 5 4 2 2" xfId="2318" xr:uid="{00000000-0005-0000-0000-00004C020000}"/>
    <cellStyle name="Milliers 3 2 5 4 3" xfId="1123" xr:uid="{00000000-0005-0000-0000-00004D020000}"/>
    <cellStyle name="Milliers 3 2 5 4 3 2" xfId="2538" xr:uid="{00000000-0005-0000-0000-00004E020000}"/>
    <cellStyle name="Milliers 3 2 5 4 4" xfId="1478" xr:uid="{00000000-0005-0000-0000-00004F020000}"/>
    <cellStyle name="Milliers 3 2 5 4 5" xfId="2121" xr:uid="{00000000-0005-0000-0000-000050020000}"/>
    <cellStyle name="Milliers 3 2 5 5" xfId="357" xr:uid="{00000000-0005-0000-0000-000051020000}"/>
    <cellStyle name="Milliers 3 2 5 5 2" xfId="1824" xr:uid="{00000000-0005-0000-0000-000052020000}"/>
    <cellStyle name="Milliers 3 2 5 6" xfId="760" xr:uid="{00000000-0005-0000-0000-000053020000}"/>
    <cellStyle name="Milliers 3 2 5 6 2" xfId="2175" xr:uid="{00000000-0005-0000-0000-000054020000}"/>
    <cellStyle name="Milliers 3 2 5 7" xfId="980" xr:uid="{00000000-0005-0000-0000-000055020000}"/>
    <cellStyle name="Milliers 3 2 5 7 2" xfId="2395" xr:uid="{00000000-0005-0000-0000-000056020000}"/>
    <cellStyle name="Milliers 3 2 5 8" xfId="1183" xr:uid="{00000000-0005-0000-0000-000057020000}"/>
    <cellStyle name="Milliers 3 2 5 9" xfId="1515" xr:uid="{00000000-0005-0000-0000-000058020000}"/>
    <cellStyle name="Milliers 3 2 6" xfId="69" xr:uid="{00000000-0005-0000-0000-000059020000}"/>
    <cellStyle name="Milliers 3 2 6 2" xfId="225" xr:uid="{00000000-0005-0000-0000-00005A020000}"/>
    <cellStyle name="Milliers 3 2 6 2 2" xfId="537" xr:uid="{00000000-0005-0000-0000-00005B020000}"/>
    <cellStyle name="Milliers 3 2 6 2 2 2" xfId="2004" xr:uid="{00000000-0005-0000-0000-00005C020000}"/>
    <cellStyle name="Milliers 3 2 6 2 3" xfId="826" xr:uid="{00000000-0005-0000-0000-00005D020000}"/>
    <cellStyle name="Milliers 3 2 6 2 3 2" xfId="2241" xr:uid="{00000000-0005-0000-0000-00005E020000}"/>
    <cellStyle name="Milliers 3 2 6 2 4" xfId="1046" xr:uid="{00000000-0005-0000-0000-00005F020000}"/>
    <cellStyle name="Milliers 3 2 6 2 4 2" xfId="2461" xr:uid="{00000000-0005-0000-0000-000060020000}"/>
    <cellStyle name="Milliers 3 2 6 2 5" xfId="1363" xr:uid="{00000000-0005-0000-0000-000061020000}"/>
    <cellStyle name="Milliers 3 2 6 2 6" xfId="1695" xr:uid="{00000000-0005-0000-0000-000062020000}"/>
    <cellStyle name="Milliers 3 2 6 3" xfId="383" xr:uid="{00000000-0005-0000-0000-000063020000}"/>
    <cellStyle name="Milliers 3 2 6 3 2" xfId="1850" xr:uid="{00000000-0005-0000-0000-000064020000}"/>
    <cellStyle name="Milliers 3 2 6 4" xfId="743" xr:uid="{00000000-0005-0000-0000-000065020000}"/>
    <cellStyle name="Milliers 3 2 6 4 2" xfId="2158" xr:uid="{00000000-0005-0000-0000-000066020000}"/>
    <cellStyle name="Milliers 3 2 6 5" xfId="963" xr:uid="{00000000-0005-0000-0000-000067020000}"/>
    <cellStyle name="Milliers 3 2 6 5 2" xfId="2378" xr:uid="{00000000-0005-0000-0000-000068020000}"/>
    <cellStyle name="Milliers 3 2 6 6" xfId="1209" xr:uid="{00000000-0005-0000-0000-000069020000}"/>
    <cellStyle name="Milliers 3 2 6 7" xfId="1541" xr:uid="{00000000-0005-0000-0000-00006A020000}"/>
    <cellStyle name="Milliers 3 2 7" xfId="95" xr:uid="{00000000-0005-0000-0000-00006B020000}"/>
    <cellStyle name="Milliers 3 2 7 2" xfId="249" xr:uid="{00000000-0005-0000-0000-00006C020000}"/>
    <cellStyle name="Milliers 3 2 7 2 2" xfId="561" xr:uid="{00000000-0005-0000-0000-00006D020000}"/>
    <cellStyle name="Milliers 3 2 7 2 2 2" xfId="2028" xr:uid="{00000000-0005-0000-0000-00006E020000}"/>
    <cellStyle name="Milliers 3 2 7 2 3" xfId="855" xr:uid="{00000000-0005-0000-0000-00006F020000}"/>
    <cellStyle name="Milliers 3 2 7 2 3 2" xfId="2270" xr:uid="{00000000-0005-0000-0000-000070020000}"/>
    <cellStyle name="Milliers 3 2 7 2 4" xfId="1075" xr:uid="{00000000-0005-0000-0000-000071020000}"/>
    <cellStyle name="Milliers 3 2 7 2 4 2" xfId="2490" xr:uid="{00000000-0005-0000-0000-000072020000}"/>
    <cellStyle name="Milliers 3 2 7 2 5" xfId="1387" xr:uid="{00000000-0005-0000-0000-000073020000}"/>
    <cellStyle name="Milliers 3 2 7 2 6" xfId="1719" xr:uid="{00000000-0005-0000-0000-000074020000}"/>
    <cellStyle name="Milliers 3 2 7 3" xfId="407" xr:uid="{00000000-0005-0000-0000-000075020000}"/>
    <cellStyle name="Milliers 3 2 7 3 2" xfId="1874" xr:uid="{00000000-0005-0000-0000-000076020000}"/>
    <cellStyle name="Milliers 3 2 7 4" xfId="772" xr:uid="{00000000-0005-0000-0000-000077020000}"/>
    <cellStyle name="Milliers 3 2 7 4 2" xfId="2187" xr:uid="{00000000-0005-0000-0000-000078020000}"/>
    <cellStyle name="Milliers 3 2 7 5" xfId="992" xr:uid="{00000000-0005-0000-0000-000079020000}"/>
    <cellStyle name="Milliers 3 2 7 5 2" xfId="2407" xr:uid="{00000000-0005-0000-0000-00007A020000}"/>
    <cellStyle name="Milliers 3 2 7 6" xfId="1233" xr:uid="{00000000-0005-0000-0000-00007B020000}"/>
    <cellStyle name="Milliers 3 2 7 7" xfId="1565" xr:uid="{00000000-0005-0000-0000-00007C020000}"/>
    <cellStyle name="Milliers 3 2 8" xfId="122" xr:uid="{00000000-0005-0000-0000-00007D020000}"/>
    <cellStyle name="Milliers 3 2 8 2" xfId="276" xr:uid="{00000000-0005-0000-0000-00007E020000}"/>
    <cellStyle name="Milliers 3 2 8 2 2" xfId="588" xr:uid="{00000000-0005-0000-0000-00007F020000}"/>
    <cellStyle name="Milliers 3 2 8 2 2 2" xfId="2055" xr:uid="{00000000-0005-0000-0000-000080020000}"/>
    <cellStyle name="Milliers 3 2 8 2 3" xfId="1414" xr:uid="{00000000-0005-0000-0000-000081020000}"/>
    <cellStyle name="Milliers 3 2 8 2 4" xfId="1746" xr:uid="{00000000-0005-0000-0000-000082020000}"/>
    <cellStyle name="Milliers 3 2 8 3" xfId="434" xr:uid="{00000000-0005-0000-0000-000083020000}"/>
    <cellStyle name="Milliers 3 2 8 3 2" xfId="1901" xr:uid="{00000000-0005-0000-0000-000084020000}"/>
    <cellStyle name="Milliers 3 2 8 4" xfId="802" xr:uid="{00000000-0005-0000-0000-000085020000}"/>
    <cellStyle name="Milliers 3 2 8 4 2" xfId="2217" xr:uid="{00000000-0005-0000-0000-000086020000}"/>
    <cellStyle name="Milliers 3 2 8 5" xfId="1022" xr:uid="{00000000-0005-0000-0000-000087020000}"/>
    <cellStyle name="Milliers 3 2 8 5 2" xfId="2437" xr:uid="{00000000-0005-0000-0000-000088020000}"/>
    <cellStyle name="Milliers 3 2 8 6" xfId="1260" xr:uid="{00000000-0005-0000-0000-000089020000}"/>
    <cellStyle name="Milliers 3 2 8 7" xfId="1592" xr:uid="{00000000-0005-0000-0000-00008A020000}"/>
    <cellStyle name="Milliers 3 2 9" xfId="141" xr:uid="{00000000-0005-0000-0000-00008B020000}"/>
    <cellStyle name="Milliers 3 2 9 2" xfId="295" xr:uid="{00000000-0005-0000-0000-00008C020000}"/>
    <cellStyle name="Milliers 3 2 9 2 2" xfId="607" xr:uid="{00000000-0005-0000-0000-00008D020000}"/>
    <cellStyle name="Milliers 3 2 9 2 2 2" xfId="2074" xr:uid="{00000000-0005-0000-0000-00008E020000}"/>
    <cellStyle name="Milliers 3 2 9 2 3" xfId="1433" xr:uid="{00000000-0005-0000-0000-00008F020000}"/>
    <cellStyle name="Milliers 3 2 9 2 4" xfId="1765" xr:uid="{00000000-0005-0000-0000-000090020000}"/>
    <cellStyle name="Milliers 3 2 9 3" xfId="453" xr:uid="{00000000-0005-0000-0000-000091020000}"/>
    <cellStyle name="Milliers 3 2 9 3 2" xfId="1920" xr:uid="{00000000-0005-0000-0000-000092020000}"/>
    <cellStyle name="Milliers 3 2 9 4" xfId="886" xr:uid="{00000000-0005-0000-0000-000093020000}"/>
    <cellStyle name="Milliers 3 2 9 4 2" xfId="2301" xr:uid="{00000000-0005-0000-0000-000094020000}"/>
    <cellStyle name="Milliers 3 2 9 5" xfId="1106" xr:uid="{00000000-0005-0000-0000-000095020000}"/>
    <cellStyle name="Milliers 3 2 9 5 2" xfId="2521" xr:uid="{00000000-0005-0000-0000-000096020000}"/>
    <cellStyle name="Milliers 3 2 9 6" xfId="1279" xr:uid="{00000000-0005-0000-0000-000097020000}"/>
    <cellStyle name="Milliers 3 2 9 7" xfId="1611" xr:uid="{00000000-0005-0000-0000-000098020000}"/>
    <cellStyle name="Milliers 3 3" xfId="21" xr:uid="{00000000-0005-0000-0000-000099020000}"/>
    <cellStyle name="Milliers 3 3 10" xfId="337" xr:uid="{00000000-0005-0000-0000-00009A020000}"/>
    <cellStyle name="Milliers 3 3 10 2" xfId="1804" xr:uid="{00000000-0005-0000-0000-00009B020000}"/>
    <cellStyle name="Milliers 3 3 11" xfId="723" xr:uid="{00000000-0005-0000-0000-00009C020000}"/>
    <cellStyle name="Milliers 3 3 11 2" xfId="2138" xr:uid="{00000000-0005-0000-0000-00009D020000}"/>
    <cellStyle name="Milliers 3 3 12" xfId="943" xr:uid="{00000000-0005-0000-0000-00009E020000}"/>
    <cellStyle name="Milliers 3 3 12 2" xfId="2358" xr:uid="{00000000-0005-0000-0000-00009F020000}"/>
    <cellStyle name="Milliers 3 3 13" xfId="1163" xr:uid="{00000000-0005-0000-0000-0000A0020000}"/>
    <cellStyle name="Milliers 3 3 14" xfId="1495" xr:uid="{00000000-0005-0000-0000-0000A1020000}"/>
    <cellStyle name="Milliers 3 3 2" xfId="33" xr:uid="{00000000-0005-0000-0000-0000A2020000}"/>
    <cellStyle name="Milliers 3 3 2 10" xfId="1173" xr:uid="{00000000-0005-0000-0000-0000A3020000}"/>
    <cellStyle name="Milliers 3 3 2 11" xfId="1505" xr:uid="{00000000-0005-0000-0000-0000A4020000}"/>
    <cellStyle name="Milliers 3 3 2 2" xfId="57" xr:uid="{00000000-0005-0000-0000-0000A5020000}"/>
    <cellStyle name="Milliers 3 3 2 2 2" xfId="213" xr:uid="{00000000-0005-0000-0000-0000A6020000}"/>
    <cellStyle name="Milliers 3 3 2 2 2 2" xfId="525" xr:uid="{00000000-0005-0000-0000-0000A7020000}"/>
    <cellStyle name="Milliers 3 3 2 2 2 2 2" xfId="1992" xr:uid="{00000000-0005-0000-0000-0000A8020000}"/>
    <cellStyle name="Milliers 3 3 2 2 2 3" xfId="847" xr:uid="{00000000-0005-0000-0000-0000A9020000}"/>
    <cellStyle name="Milliers 3 3 2 2 2 3 2" xfId="2262" xr:uid="{00000000-0005-0000-0000-0000AA020000}"/>
    <cellStyle name="Milliers 3 3 2 2 2 4" xfId="1067" xr:uid="{00000000-0005-0000-0000-0000AB020000}"/>
    <cellStyle name="Milliers 3 3 2 2 2 4 2" xfId="2482" xr:uid="{00000000-0005-0000-0000-0000AC020000}"/>
    <cellStyle name="Milliers 3 3 2 2 2 5" xfId="1351" xr:uid="{00000000-0005-0000-0000-0000AD020000}"/>
    <cellStyle name="Milliers 3 3 2 2 2 6" xfId="1683" xr:uid="{00000000-0005-0000-0000-0000AE020000}"/>
    <cellStyle name="Milliers 3 3 2 2 3" xfId="371" xr:uid="{00000000-0005-0000-0000-0000AF020000}"/>
    <cellStyle name="Milliers 3 3 2 2 3 2" xfId="1838" xr:uid="{00000000-0005-0000-0000-0000B0020000}"/>
    <cellStyle name="Milliers 3 3 2 2 4" xfId="764" xr:uid="{00000000-0005-0000-0000-0000B1020000}"/>
    <cellStyle name="Milliers 3 3 2 2 4 2" xfId="2179" xr:uid="{00000000-0005-0000-0000-0000B2020000}"/>
    <cellStyle name="Milliers 3 3 2 2 5" xfId="984" xr:uid="{00000000-0005-0000-0000-0000B3020000}"/>
    <cellStyle name="Milliers 3 3 2 2 5 2" xfId="2399" xr:uid="{00000000-0005-0000-0000-0000B4020000}"/>
    <cellStyle name="Milliers 3 3 2 2 6" xfId="1197" xr:uid="{00000000-0005-0000-0000-0000B5020000}"/>
    <cellStyle name="Milliers 3 3 2 2 7" xfId="1529" xr:uid="{00000000-0005-0000-0000-0000B6020000}"/>
    <cellStyle name="Milliers 3 3 2 3" xfId="67" xr:uid="{00000000-0005-0000-0000-0000B7020000}"/>
    <cellStyle name="Milliers 3 3 2 3 2" xfId="223" xr:uid="{00000000-0005-0000-0000-0000B8020000}"/>
    <cellStyle name="Milliers 3 3 2 3 2 2" xfId="535" xr:uid="{00000000-0005-0000-0000-0000B9020000}"/>
    <cellStyle name="Milliers 3 3 2 3 2 2 2" xfId="2002" xr:uid="{00000000-0005-0000-0000-0000BA020000}"/>
    <cellStyle name="Milliers 3 3 2 3 2 3" xfId="876" xr:uid="{00000000-0005-0000-0000-0000BB020000}"/>
    <cellStyle name="Milliers 3 3 2 3 2 3 2" xfId="2291" xr:uid="{00000000-0005-0000-0000-0000BC020000}"/>
    <cellStyle name="Milliers 3 3 2 3 2 4" xfId="1096" xr:uid="{00000000-0005-0000-0000-0000BD020000}"/>
    <cellStyle name="Milliers 3 3 2 3 2 4 2" xfId="2511" xr:uid="{00000000-0005-0000-0000-0000BE020000}"/>
    <cellStyle name="Milliers 3 3 2 3 2 5" xfId="1361" xr:uid="{00000000-0005-0000-0000-0000BF020000}"/>
    <cellStyle name="Milliers 3 3 2 3 2 6" xfId="1693" xr:uid="{00000000-0005-0000-0000-0000C0020000}"/>
    <cellStyle name="Milliers 3 3 2 3 3" xfId="381" xr:uid="{00000000-0005-0000-0000-0000C1020000}"/>
    <cellStyle name="Milliers 3 3 2 3 3 2" xfId="1848" xr:uid="{00000000-0005-0000-0000-0000C2020000}"/>
    <cellStyle name="Milliers 3 3 2 3 4" xfId="793" xr:uid="{00000000-0005-0000-0000-0000C3020000}"/>
    <cellStyle name="Milliers 3 3 2 3 4 2" xfId="2208" xr:uid="{00000000-0005-0000-0000-0000C4020000}"/>
    <cellStyle name="Milliers 3 3 2 3 5" xfId="1013" xr:uid="{00000000-0005-0000-0000-0000C5020000}"/>
    <cellStyle name="Milliers 3 3 2 3 5 2" xfId="2428" xr:uid="{00000000-0005-0000-0000-0000C6020000}"/>
    <cellStyle name="Milliers 3 3 2 3 6" xfId="1207" xr:uid="{00000000-0005-0000-0000-0000C7020000}"/>
    <cellStyle name="Milliers 3 3 2 3 7" xfId="1539" xr:uid="{00000000-0005-0000-0000-0000C8020000}"/>
    <cellStyle name="Milliers 3 3 2 4" xfId="109" xr:uid="{00000000-0005-0000-0000-0000C9020000}"/>
    <cellStyle name="Milliers 3 3 2 4 2" xfId="263" xr:uid="{00000000-0005-0000-0000-0000CA020000}"/>
    <cellStyle name="Milliers 3 3 2 4 2 2" xfId="575" xr:uid="{00000000-0005-0000-0000-0000CB020000}"/>
    <cellStyle name="Milliers 3 3 2 4 2 2 2" xfId="2042" xr:uid="{00000000-0005-0000-0000-0000CC020000}"/>
    <cellStyle name="Milliers 3 3 2 4 2 3" xfId="1401" xr:uid="{00000000-0005-0000-0000-0000CD020000}"/>
    <cellStyle name="Milliers 3 3 2 4 2 4" xfId="1733" xr:uid="{00000000-0005-0000-0000-0000CE020000}"/>
    <cellStyle name="Milliers 3 3 2 4 3" xfId="421" xr:uid="{00000000-0005-0000-0000-0000CF020000}"/>
    <cellStyle name="Milliers 3 3 2 4 3 2" xfId="1888" xr:uid="{00000000-0005-0000-0000-0000D0020000}"/>
    <cellStyle name="Milliers 3 3 2 4 4" xfId="816" xr:uid="{00000000-0005-0000-0000-0000D1020000}"/>
    <cellStyle name="Milliers 3 3 2 4 4 2" xfId="2231" xr:uid="{00000000-0005-0000-0000-0000D2020000}"/>
    <cellStyle name="Milliers 3 3 2 4 5" xfId="1036" xr:uid="{00000000-0005-0000-0000-0000D3020000}"/>
    <cellStyle name="Milliers 3 3 2 4 5 2" xfId="2451" xr:uid="{00000000-0005-0000-0000-0000D4020000}"/>
    <cellStyle name="Milliers 3 3 2 4 6" xfId="1247" xr:uid="{00000000-0005-0000-0000-0000D5020000}"/>
    <cellStyle name="Milliers 3 3 2 4 7" xfId="1579" xr:uid="{00000000-0005-0000-0000-0000D6020000}"/>
    <cellStyle name="Milliers 3 3 2 5" xfId="189" xr:uid="{00000000-0005-0000-0000-0000D7020000}"/>
    <cellStyle name="Milliers 3 3 2 5 2" xfId="501" xr:uid="{00000000-0005-0000-0000-0000D8020000}"/>
    <cellStyle name="Milliers 3 3 2 5 2 2" xfId="1968" xr:uid="{00000000-0005-0000-0000-0000D9020000}"/>
    <cellStyle name="Milliers 3 3 2 5 3" xfId="907" xr:uid="{00000000-0005-0000-0000-0000DA020000}"/>
    <cellStyle name="Milliers 3 3 2 5 3 2" xfId="2322" xr:uid="{00000000-0005-0000-0000-0000DB020000}"/>
    <cellStyle name="Milliers 3 3 2 5 4" xfId="1127" xr:uid="{00000000-0005-0000-0000-0000DC020000}"/>
    <cellStyle name="Milliers 3 3 2 5 4 2" xfId="2542" xr:uid="{00000000-0005-0000-0000-0000DD020000}"/>
    <cellStyle name="Milliers 3 3 2 5 5" xfId="1327" xr:uid="{00000000-0005-0000-0000-0000DE020000}"/>
    <cellStyle name="Milliers 3 3 2 5 6" xfId="1659" xr:uid="{00000000-0005-0000-0000-0000DF020000}"/>
    <cellStyle name="Milliers 3 3 2 6" xfId="708" xr:uid="{00000000-0005-0000-0000-0000E0020000}"/>
    <cellStyle name="Milliers 3 3 2 6 2" xfId="929" xr:uid="{00000000-0005-0000-0000-0000E1020000}"/>
    <cellStyle name="Milliers 3 3 2 6 2 2" xfId="2344" xr:uid="{00000000-0005-0000-0000-0000E2020000}"/>
    <cellStyle name="Milliers 3 3 2 6 3" xfId="1149" xr:uid="{00000000-0005-0000-0000-0000E3020000}"/>
    <cellStyle name="Milliers 3 3 2 6 3 2" xfId="2564" xr:uid="{00000000-0005-0000-0000-0000E4020000}"/>
    <cellStyle name="Milliers 3 3 2 6 4" xfId="1481" xr:uid="{00000000-0005-0000-0000-0000E5020000}"/>
    <cellStyle name="Milliers 3 3 2 6 5" xfId="2124" xr:uid="{00000000-0005-0000-0000-0000E6020000}"/>
    <cellStyle name="Milliers 3 3 2 7" xfId="347" xr:uid="{00000000-0005-0000-0000-0000E7020000}"/>
    <cellStyle name="Milliers 3 3 2 7 2" xfId="1814" xr:uid="{00000000-0005-0000-0000-0000E8020000}"/>
    <cellStyle name="Milliers 3 3 2 8" xfId="733" xr:uid="{00000000-0005-0000-0000-0000E9020000}"/>
    <cellStyle name="Milliers 3 3 2 8 2" xfId="2148" xr:uid="{00000000-0005-0000-0000-0000EA020000}"/>
    <cellStyle name="Milliers 3 3 2 9" xfId="953" xr:uid="{00000000-0005-0000-0000-0000EB020000}"/>
    <cellStyle name="Milliers 3 3 2 9 2" xfId="2368" xr:uid="{00000000-0005-0000-0000-0000EC020000}"/>
    <cellStyle name="Milliers 3 3 3" xfId="47" xr:uid="{00000000-0005-0000-0000-0000ED020000}"/>
    <cellStyle name="Milliers 3 3 3 2" xfId="203" xr:uid="{00000000-0005-0000-0000-0000EE020000}"/>
    <cellStyle name="Milliers 3 3 3 2 2" xfId="515" xr:uid="{00000000-0005-0000-0000-0000EF020000}"/>
    <cellStyle name="Milliers 3 3 3 2 2 2" xfId="1982" xr:uid="{00000000-0005-0000-0000-0000F0020000}"/>
    <cellStyle name="Milliers 3 3 3 2 3" xfId="830" xr:uid="{00000000-0005-0000-0000-0000F1020000}"/>
    <cellStyle name="Milliers 3 3 3 2 3 2" xfId="2245" xr:uid="{00000000-0005-0000-0000-0000F2020000}"/>
    <cellStyle name="Milliers 3 3 3 2 4" xfId="1050" xr:uid="{00000000-0005-0000-0000-0000F3020000}"/>
    <cellStyle name="Milliers 3 3 3 2 4 2" xfId="2465" xr:uid="{00000000-0005-0000-0000-0000F4020000}"/>
    <cellStyle name="Milliers 3 3 3 2 5" xfId="1341" xr:uid="{00000000-0005-0000-0000-0000F5020000}"/>
    <cellStyle name="Milliers 3 3 3 2 6" xfId="1673" xr:uid="{00000000-0005-0000-0000-0000F6020000}"/>
    <cellStyle name="Milliers 3 3 3 3" xfId="361" xr:uid="{00000000-0005-0000-0000-0000F7020000}"/>
    <cellStyle name="Milliers 3 3 3 3 2" xfId="1828" xr:uid="{00000000-0005-0000-0000-0000F8020000}"/>
    <cellStyle name="Milliers 3 3 3 4" xfId="747" xr:uid="{00000000-0005-0000-0000-0000F9020000}"/>
    <cellStyle name="Milliers 3 3 3 4 2" xfId="2162" xr:uid="{00000000-0005-0000-0000-0000FA020000}"/>
    <cellStyle name="Milliers 3 3 3 5" xfId="967" xr:uid="{00000000-0005-0000-0000-0000FB020000}"/>
    <cellStyle name="Milliers 3 3 3 5 2" xfId="2382" xr:uid="{00000000-0005-0000-0000-0000FC020000}"/>
    <cellStyle name="Milliers 3 3 3 6" xfId="1187" xr:uid="{00000000-0005-0000-0000-0000FD020000}"/>
    <cellStyle name="Milliers 3 3 3 7" xfId="1519" xr:uid="{00000000-0005-0000-0000-0000FE020000}"/>
    <cellStyle name="Milliers 3 3 4" xfId="73" xr:uid="{00000000-0005-0000-0000-0000FF020000}"/>
    <cellStyle name="Milliers 3 3 4 2" xfId="229" xr:uid="{00000000-0005-0000-0000-000000030000}"/>
    <cellStyle name="Milliers 3 3 4 2 2" xfId="541" xr:uid="{00000000-0005-0000-0000-000001030000}"/>
    <cellStyle name="Milliers 3 3 4 2 2 2" xfId="2008" xr:uid="{00000000-0005-0000-0000-000002030000}"/>
    <cellStyle name="Milliers 3 3 4 2 3" xfId="859" xr:uid="{00000000-0005-0000-0000-000003030000}"/>
    <cellStyle name="Milliers 3 3 4 2 3 2" xfId="2274" xr:uid="{00000000-0005-0000-0000-000004030000}"/>
    <cellStyle name="Milliers 3 3 4 2 4" xfId="1079" xr:uid="{00000000-0005-0000-0000-000005030000}"/>
    <cellStyle name="Milliers 3 3 4 2 4 2" xfId="2494" xr:uid="{00000000-0005-0000-0000-000006030000}"/>
    <cellStyle name="Milliers 3 3 4 2 5" xfId="1367" xr:uid="{00000000-0005-0000-0000-000007030000}"/>
    <cellStyle name="Milliers 3 3 4 2 6" xfId="1699" xr:uid="{00000000-0005-0000-0000-000008030000}"/>
    <cellStyle name="Milliers 3 3 4 3" xfId="387" xr:uid="{00000000-0005-0000-0000-000009030000}"/>
    <cellStyle name="Milliers 3 3 4 3 2" xfId="1854" xr:uid="{00000000-0005-0000-0000-00000A030000}"/>
    <cellStyle name="Milliers 3 3 4 4" xfId="776" xr:uid="{00000000-0005-0000-0000-00000B030000}"/>
    <cellStyle name="Milliers 3 3 4 4 2" xfId="2191" xr:uid="{00000000-0005-0000-0000-00000C030000}"/>
    <cellStyle name="Milliers 3 3 4 5" xfId="996" xr:uid="{00000000-0005-0000-0000-00000D030000}"/>
    <cellStyle name="Milliers 3 3 4 5 2" xfId="2411" xr:uid="{00000000-0005-0000-0000-00000E030000}"/>
    <cellStyle name="Milliers 3 3 4 6" xfId="1213" xr:uid="{00000000-0005-0000-0000-00000F030000}"/>
    <cellStyle name="Milliers 3 3 4 7" xfId="1545" xr:uid="{00000000-0005-0000-0000-000010030000}"/>
    <cellStyle name="Milliers 3 3 5" xfId="99" xr:uid="{00000000-0005-0000-0000-000011030000}"/>
    <cellStyle name="Milliers 3 3 5 2" xfId="253" xr:uid="{00000000-0005-0000-0000-000012030000}"/>
    <cellStyle name="Milliers 3 3 5 2 2" xfId="565" xr:uid="{00000000-0005-0000-0000-000013030000}"/>
    <cellStyle name="Milliers 3 3 5 2 2 2" xfId="2032" xr:uid="{00000000-0005-0000-0000-000014030000}"/>
    <cellStyle name="Milliers 3 3 5 2 3" xfId="1391" xr:uid="{00000000-0005-0000-0000-000015030000}"/>
    <cellStyle name="Milliers 3 3 5 2 4" xfId="1723" xr:uid="{00000000-0005-0000-0000-000016030000}"/>
    <cellStyle name="Milliers 3 3 5 3" xfId="411" xr:uid="{00000000-0005-0000-0000-000017030000}"/>
    <cellStyle name="Milliers 3 3 5 3 2" xfId="1878" xr:uid="{00000000-0005-0000-0000-000018030000}"/>
    <cellStyle name="Milliers 3 3 5 4" xfId="806" xr:uid="{00000000-0005-0000-0000-000019030000}"/>
    <cellStyle name="Milliers 3 3 5 4 2" xfId="2221" xr:uid="{00000000-0005-0000-0000-00001A030000}"/>
    <cellStyle name="Milliers 3 3 5 5" xfId="1026" xr:uid="{00000000-0005-0000-0000-00001B030000}"/>
    <cellStyle name="Milliers 3 3 5 5 2" xfId="2441" xr:uid="{00000000-0005-0000-0000-00001C030000}"/>
    <cellStyle name="Milliers 3 3 5 6" xfId="1237" xr:uid="{00000000-0005-0000-0000-00001D030000}"/>
    <cellStyle name="Milliers 3 3 5 7" xfId="1569" xr:uid="{00000000-0005-0000-0000-00001E030000}"/>
    <cellStyle name="Milliers 3 3 6" xfId="126" xr:uid="{00000000-0005-0000-0000-00001F030000}"/>
    <cellStyle name="Milliers 3 3 6 2" xfId="280" xr:uid="{00000000-0005-0000-0000-000020030000}"/>
    <cellStyle name="Milliers 3 3 6 2 2" xfId="592" xr:uid="{00000000-0005-0000-0000-000021030000}"/>
    <cellStyle name="Milliers 3 3 6 2 2 2" xfId="2059" xr:uid="{00000000-0005-0000-0000-000022030000}"/>
    <cellStyle name="Milliers 3 3 6 2 3" xfId="1418" xr:uid="{00000000-0005-0000-0000-000023030000}"/>
    <cellStyle name="Milliers 3 3 6 2 4" xfId="1750" xr:uid="{00000000-0005-0000-0000-000024030000}"/>
    <cellStyle name="Milliers 3 3 6 3" xfId="438" xr:uid="{00000000-0005-0000-0000-000025030000}"/>
    <cellStyle name="Milliers 3 3 6 3 2" xfId="1905" xr:uid="{00000000-0005-0000-0000-000026030000}"/>
    <cellStyle name="Milliers 3 3 6 4" xfId="890" xr:uid="{00000000-0005-0000-0000-000027030000}"/>
    <cellStyle name="Milliers 3 3 6 4 2" xfId="2305" xr:uid="{00000000-0005-0000-0000-000028030000}"/>
    <cellStyle name="Milliers 3 3 6 5" xfId="1110" xr:uid="{00000000-0005-0000-0000-000029030000}"/>
    <cellStyle name="Milliers 3 3 6 5 2" xfId="2525" xr:uid="{00000000-0005-0000-0000-00002A030000}"/>
    <cellStyle name="Milliers 3 3 6 6" xfId="1264" xr:uid="{00000000-0005-0000-0000-00002B030000}"/>
    <cellStyle name="Milliers 3 3 6 7" xfId="1596" xr:uid="{00000000-0005-0000-0000-00002C030000}"/>
    <cellStyle name="Milliers 3 3 7" xfId="145" xr:uid="{00000000-0005-0000-0000-00002D030000}"/>
    <cellStyle name="Milliers 3 3 7 2" xfId="299" xr:uid="{00000000-0005-0000-0000-00002E030000}"/>
    <cellStyle name="Milliers 3 3 7 2 2" xfId="611" xr:uid="{00000000-0005-0000-0000-00002F030000}"/>
    <cellStyle name="Milliers 3 3 7 2 2 2" xfId="2078" xr:uid="{00000000-0005-0000-0000-000030030000}"/>
    <cellStyle name="Milliers 3 3 7 2 3" xfId="1437" xr:uid="{00000000-0005-0000-0000-000031030000}"/>
    <cellStyle name="Milliers 3 3 7 2 4" xfId="1769" xr:uid="{00000000-0005-0000-0000-000032030000}"/>
    <cellStyle name="Milliers 3 3 7 3" xfId="457" xr:uid="{00000000-0005-0000-0000-000033030000}"/>
    <cellStyle name="Milliers 3 3 7 3 2" xfId="1924" xr:uid="{00000000-0005-0000-0000-000034030000}"/>
    <cellStyle name="Milliers 3 3 7 4" xfId="919" xr:uid="{00000000-0005-0000-0000-000035030000}"/>
    <cellStyle name="Milliers 3 3 7 4 2" xfId="2334" xr:uid="{00000000-0005-0000-0000-000036030000}"/>
    <cellStyle name="Milliers 3 3 7 5" xfId="1139" xr:uid="{00000000-0005-0000-0000-000037030000}"/>
    <cellStyle name="Milliers 3 3 7 5 2" xfId="2554" xr:uid="{00000000-0005-0000-0000-000038030000}"/>
    <cellStyle name="Milliers 3 3 7 6" xfId="1283" xr:uid="{00000000-0005-0000-0000-000039030000}"/>
    <cellStyle name="Milliers 3 3 7 7" xfId="1615" xr:uid="{00000000-0005-0000-0000-00003A030000}"/>
    <cellStyle name="Milliers 3 3 8" xfId="162" xr:uid="{00000000-0005-0000-0000-00003B030000}"/>
    <cellStyle name="Milliers 3 3 8 2" xfId="316" xr:uid="{00000000-0005-0000-0000-00003C030000}"/>
    <cellStyle name="Milliers 3 3 8 2 2" xfId="628" xr:uid="{00000000-0005-0000-0000-00003D030000}"/>
    <cellStyle name="Milliers 3 3 8 2 2 2" xfId="2095" xr:uid="{00000000-0005-0000-0000-00003E030000}"/>
    <cellStyle name="Milliers 3 3 8 2 3" xfId="1454" xr:uid="{00000000-0005-0000-0000-00003F030000}"/>
    <cellStyle name="Milliers 3 3 8 2 4" xfId="1786" xr:uid="{00000000-0005-0000-0000-000040030000}"/>
    <cellStyle name="Milliers 3 3 8 3" xfId="474" xr:uid="{00000000-0005-0000-0000-000041030000}"/>
    <cellStyle name="Milliers 3 3 8 3 2" xfId="1941" xr:uid="{00000000-0005-0000-0000-000042030000}"/>
    <cellStyle name="Milliers 3 3 8 4" xfId="1300" xr:uid="{00000000-0005-0000-0000-000043030000}"/>
    <cellStyle name="Milliers 3 3 8 5" xfId="1632" xr:uid="{00000000-0005-0000-0000-000044030000}"/>
    <cellStyle name="Milliers 3 3 9" xfId="179" xr:uid="{00000000-0005-0000-0000-000045030000}"/>
    <cellStyle name="Milliers 3 3 9 2" xfId="491" xr:uid="{00000000-0005-0000-0000-000046030000}"/>
    <cellStyle name="Milliers 3 3 9 2 2" xfId="1958" xr:uid="{00000000-0005-0000-0000-000047030000}"/>
    <cellStyle name="Milliers 3 3 9 3" xfId="1317" xr:uid="{00000000-0005-0000-0000-000048030000}"/>
    <cellStyle name="Milliers 3 3 9 4" xfId="1649" xr:uid="{00000000-0005-0000-0000-000049030000}"/>
    <cellStyle name="Milliers 3 4" xfId="22" xr:uid="{00000000-0005-0000-0000-00004A030000}"/>
    <cellStyle name="Milliers 3 4 10" xfId="338" xr:uid="{00000000-0005-0000-0000-00004B030000}"/>
    <cellStyle name="Milliers 3 4 10 2" xfId="1805" xr:uid="{00000000-0005-0000-0000-00004C030000}"/>
    <cellStyle name="Milliers 3 4 11" xfId="724" xr:uid="{00000000-0005-0000-0000-00004D030000}"/>
    <cellStyle name="Milliers 3 4 11 2" xfId="2139" xr:uid="{00000000-0005-0000-0000-00004E030000}"/>
    <cellStyle name="Milliers 3 4 12" xfId="944" xr:uid="{00000000-0005-0000-0000-00004F030000}"/>
    <cellStyle name="Milliers 3 4 12 2" xfId="2359" xr:uid="{00000000-0005-0000-0000-000050030000}"/>
    <cellStyle name="Milliers 3 4 13" xfId="1164" xr:uid="{00000000-0005-0000-0000-000051030000}"/>
    <cellStyle name="Milliers 3 4 14" xfId="1496" xr:uid="{00000000-0005-0000-0000-000052030000}"/>
    <cellStyle name="Milliers 3 4 2" xfId="37" xr:uid="{00000000-0005-0000-0000-000053030000}"/>
    <cellStyle name="Milliers 3 4 2 10" xfId="1177" xr:uid="{00000000-0005-0000-0000-000054030000}"/>
    <cellStyle name="Milliers 3 4 2 11" xfId="1509" xr:uid="{00000000-0005-0000-0000-000055030000}"/>
    <cellStyle name="Milliers 3 4 2 2" xfId="61" xr:uid="{00000000-0005-0000-0000-000056030000}"/>
    <cellStyle name="Milliers 3 4 2 2 2" xfId="217" xr:uid="{00000000-0005-0000-0000-000057030000}"/>
    <cellStyle name="Milliers 3 4 2 2 2 2" xfId="529" xr:uid="{00000000-0005-0000-0000-000058030000}"/>
    <cellStyle name="Milliers 3 4 2 2 2 2 2" xfId="1996" xr:uid="{00000000-0005-0000-0000-000059030000}"/>
    <cellStyle name="Milliers 3 4 2 2 2 3" xfId="848" xr:uid="{00000000-0005-0000-0000-00005A030000}"/>
    <cellStyle name="Milliers 3 4 2 2 2 3 2" xfId="2263" xr:uid="{00000000-0005-0000-0000-00005B030000}"/>
    <cellStyle name="Milliers 3 4 2 2 2 4" xfId="1068" xr:uid="{00000000-0005-0000-0000-00005C030000}"/>
    <cellStyle name="Milliers 3 4 2 2 2 4 2" xfId="2483" xr:uid="{00000000-0005-0000-0000-00005D030000}"/>
    <cellStyle name="Milliers 3 4 2 2 2 5" xfId="1355" xr:uid="{00000000-0005-0000-0000-00005E030000}"/>
    <cellStyle name="Milliers 3 4 2 2 2 6" xfId="1687" xr:uid="{00000000-0005-0000-0000-00005F030000}"/>
    <cellStyle name="Milliers 3 4 2 2 3" xfId="375" xr:uid="{00000000-0005-0000-0000-000060030000}"/>
    <cellStyle name="Milliers 3 4 2 2 3 2" xfId="1842" xr:uid="{00000000-0005-0000-0000-000061030000}"/>
    <cellStyle name="Milliers 3 4 2 2 4" xfId="765" xr:uid="{00000000-0005-0000-0000-000062030000}"/>
    <cellStyle name="Milliers 3 4 2 2 4 2" xfId="2180" xr:uid="{00000000-0005-0000-0000-000063030000}"/>
    <cellStyle name="Milliers 3 4 2 2 5" xfId="985" xr:uid="{00000000-0005-0000-0000-000064030000}"/>
    <cellStyle name="Milliers 3 4 2 2 5 2" xfId="2400" xr:uid="{00000000-0005-0000-0000-000065030000}"/>
    <cellStyle name="Milliers 3 4 2 2 6" xfId="1201" xr:uid="{00000000-0005-0000-0000-000066030000}"/>
    <cellStyle name="Milliers 3 4 2 2 7" xfId="1533" xr:uid="{00000000-0005-0000-0000-000067030000}"/>
    <cellStyle name="Milliers 3 4 2 3" xfId="89" xr:uid="{00000000-0005-0000-0000-000068030000}"/>
    <cellStyle name="Milliers 3 4 2 3 2" xfId="243" xr:uid="{00000000-0005-0000-0000-000069030000}"/>
    <cellStyle name="Milliers 3 4 2 3 2 2" xfId="555" xr:uid="{00000000-0005-0000-0000-00006A030000}"/>
    <cellStyle name="Milliers 3 4 2 3 2 2 2" xfId="2022" xr:uid="{00000000-0005-0000-0000-00006B030000}"/>
    <cellStyle name="Milliers 3 4 2 3 2 3" xfId="877" xr:uid="{00000000-0005-0000-0000-00006C030000}"/>
    <cellStyle name="Milliers 3 4 2 3 2 3 2" xfId="2292" xr:uid="{00000000-0005-0000-0000-00006D030000}"/>
    <cellStyle name="Milliers 3 4 2 3 2 4" xfId="1097" xr:uid="{00000000-0005-0000-0000-00006E030000}"/>
    <cellStyle name="Milliers 3 4 2 3 2 4 2" xfId="2512" xr:uid="{00000000-0005-0000-0000-00006F030000}"/>
    <cellStyle name="Milliers 3 4 2 3 2 5" xfId="1381" xr:uid="{00000000-0005-0000-0000-000070030000}"/>
    <cellStyle name="Milliers 3 4 2 3 2 6" xfId="1713" xr:uid="{00000000-0005-0000-0000-000071030000}"/>
    <cellStyle name="Milliers 3 4 2 3 3" xfId="401" xr:uid="{00000000-0005-0000-0000-000072030000}"/>
    <cellStyle name="Milliers 3 4 2 3 3 2" xfId="1868" xr:uid="{00000000-0005-0000-0000-000073030000}"/>
    <cellStyle name="Milliers 3 4 2 3 4" xfId="794" xr:uid="{00000000-0005-0000-0000-000074030000}"/>
    <cellStyle name="Milliers 3 4 2 3 4 2" xfId="2209" xr:uid="{00000000-0005-0000-0000-000075030000}"/>
    <cellStyle name="Milliers 3 4 2 3 5" xfId="1014" xr:uid="{00000000-0005-0000-0000-000076030000}"/>
    <cellStyle name="Milliers 3 4 2 3 5 2" xfId="2429" xr:uid="{00000000-0005-0000-0000-000077030000}"/>
    <cellStyle name="Milliers 3 4 2 3 6" xfId="1227" xr:uid="{00000000-0005-0000-0000-000078030000}"/>
    <cellStyle name="Milliers 3 4 2 3 7" xfId="1559" xr:uid="{00000000-0005-0000-0000-000079030000}"/>
    <cellStyle name="Milliers 3 4 2 4" xfId="113" xr:uid="{00000000-0005-0000-0000-00007A030000}"/>
    <cellStyle name="Milliers 3 4 2 4 2" xfId="267" xr:uid="{00000000-0005-0000-0000-00007B030000}"/>
    <cellStyle name="Milliers 3 4 2 4 2 2" xfId="579" xr:uid="{00000000-0005-0000-0000-00007C030000}"/>
    <cellStyle name="Milliers 3 4 2 4 2 2 2" xfId="2046" xr:uid="{00000000-0005-0000-0000-00007D030000}"/>
    <cellStyle name="Milliers 3 4 2 4 2 3" xfId="1405" xr:uid="{00000000-0005-0000-0000-00007E030000}"/>
    <cellStyle name="Milliers 3 4 2 4 2 4" xfId="1737" xr:uid="{00000000-0005-0000-0000-00007F030000}"/>
    <cellStyle name="Milliers 3 4 2 4 3" xfId="425" xr:uid="{00000000-0005-0000-0000-000080030000}"/>
    <cellStyle name="Milliers 3 4 2 4 3 2" xfId="1892" xr:uid="{00000000-0005-0000-0000-000081030000}"/>
    <cellStyle name="Milliers 3 4 2 4 4" xfId="820" xr:uid="{00000000-0005-0000-0000-000082030000}"/>
    <cellStyle name="Milliers 3 4 2 4 4 2" xfId="2235" xr:uid="{00000000-0005-0000-0000-000083030000}"/>
    <cellStyle name="Milliers 3 4 2 4 5" xfId="1040" xr:uid="{00000000-0005-0000-0000-000084030000}"/>
    <cellStyle name="Milliers 3 4 2 4 5 2" xfId="2455" xr:uid="{00000000-0005-0000-0000-000085030000}"/>
    <cellStyle name="Milliers 3 4 2 4 6" xfId="1251" xr:uid="{00000000-0005-0000-0000-000086030000}"/>
    <cellStyle name="Milliers 3 4 2 4 7" xfId="1583" xr:uid="{00000000-0005-0000-0000-000087030000}"/>
    <cellStyle name="Milliers 3 4 2 5" xfId="193" xr:uid="{00000000-0005-0000-0000-000088030000}"/>
    <cellStyle name="Milliers 3 4 2 5 2" xfId="505" xr:uid="{00000000-0005-0000-0000-000089030000}"/>
    <cellStyle name="Milliers 3 4 2 5 2 2" xfId="1972" xr:uid="{00000000-0005-0000-0000-00008A030000}"/>
    <cellStyle name="Milliers 3 4 2 5 3" xfId="908" xr:uid="{00000000-0005-0000-0000-00008B030000}"/>
    <cellStyle name="Milliers 3 4 2 5 3 2" xfId="2323" xr:uid="{00000000-0005-0000-0000-00008C030000}"/>
    <cellStyle name="Milliers 3 4 2 5 4" xfId="1128" xr:uid="{00000000-0005-0000-0000-00008D030000}"/>
    <cellStyle name="Milliers 3 4 2 5 4 2" xfId="2543" xr:uid="{00000000-0005-0000-0000-00008E030000}"/>
    <cellStyle name="Milliers 3 4 2 5 5" xfId="1331" xr:uid="{00000000-0005-0000-0000-00008F030000}"/>
    <cellStyle name="Milliers 3 4 2 5 6" xfId="1663" xr:uid="{00000000-0005-0000-0000-000090030000}"/>
    <cellStyle name="Milliers 3 4 2 6" xfId="712" xr:uid="{00000000-0005-0000-0000-000091030000}"/>
    <cellStyle name="Milliers 3 4 2 6 2" xfId="933" xr:uid="{00000000-0005-0000-0000-000092030000}"/>
    <cellStyle name="Milliers 3 4 2 6 2 2" xfId="2348" xr:uid="{00000000-0005-0000-0000-000093030000}"/>
    <cellStyle name="Milliers 3 4 2 6 3" xfId="1153" xr:uid="{00000000-0005-0000-0000-000094030000}"/>
    <cellStyle name="Milliers 3 4 2 6 3 2" xfId="2568" xr:uid="{00000000-0005-0000-0000-000095030000}"/>
    <cellStyle name="Milliers 3 4 2 6 4" xfId="1485" xr:uid="{00000000-0005-0000-0000-000096030000}"/>
    <cellStyle name="Milliers 3 4 2 6 5" xfId="2128" xr:uid="{00000000-0005-0000-0000-000097030000}"/>
    <cellStyle name="Milliers 3 4 2 7" xfId="351" xr:uid="{00000000-0005-0000-0000-000098030000}"/>
    <cellStyle name="Milliers 3 4 2 7 2" xfId="1818" xr:uid="{00000000-0005-0000-0000-000099030000}"/>
    <cellStyle name="Milliers 3 4 2 8" xfId="737" xr:uid="{00000000-0005-0000-0000-00009A030000}"/>
    <cellStyle name="Milliers 3 4 2 8 2" xfId="2152" xr:uid="{00000000-0005-0000-0000-00009B030000}"/>
    <cellStyle name="Milliers 3 4 2 9" xfId="957" xr:uid="{00000000-0005-0000-0000-00009C030000}"/>
    <cellStyle name="Milliers 3 4 2 9 2" xfId="2372" xr:uid="{00000000-0005-0000-0000-00009D030000}"/>
    <cellStyle name="Milliers 3 4 3" xfId="48" xr:uid="{00000000-0005-0000-0000-00009E030000}"/>
    <cellStyle name="Milliers 3 4 3 2" xfId="204" xr:uid="{00000000-0005-0000-0000-00009F030000}"/>
    <cellStyle name="Milliers 3 4 3 2 2" xfId="516" xr:uid="{00000000-0005-0000-0000-0000A0030000}"/>
    <cellStyle name="Milliers 3 4 3 2 2 2" xfId="1983" xr:uid="{00000000-0005-0000-0000-0000A1030000}"/>
    <cellStyle name="Milliers 3 4 3 2 3" xfId="831" xr:uid="{00000000-0005-0000-0000-0000A2030000}"/>
    <cellStyle name="Milliers 3 4 3 2 3 2" xfId="2246" xr:uid="{00000000-0005-0000-0000-0000A3030000}"/>
    <cellStyle name="Milliers 3 4 3 2 4" xfId="1051" xr:uid="{00000000-0005-0000-0000-0000A4030000}"/>
    <cellStyle name="Milliers 3 4 3 2 4 2" xfId="2466" xr:uid="{00000000-0005-0000-0000-0000A5030000}"/>
    <cellStyle name="Milliers 3 4 3 2 5" xfId="1342" xr:uid="{00000000-0005-0000-0000-0000A6030000}"/>
    <cellStyle name="Milliers 3 4 3 2 6" xfId="1674" xr:uid="{00000000-0005-0000-0000-0000A7030000}"/>
    <cellStyle name="Milliers 3 4 3 3" xfId="362" xr:uid="{00000000-0005-0000-0000-0000A8030000}"/>
    <cellStyle name="Milliers 3 4 3 3 2" xfId="1829" xr:uid="{00000000-0005-0000-0000-0000A9030000}"/>
    <cellStyle name="Milliers 3 4 3 4" xfId="748" xr:uid="{00000000-0005-0000-0000-0000AA030000}"/>
    <cellStyle name="Milliers 3 4 3 4 2" xfId="2163" xr:uid="{00000000-0005-0000-0000-0000AB030000}"/>
    <cellStyle name="Milliers 3 4 3 5" xfId="968" xr:uid="{00000000-0005-0000-0000-0000AC030000}"/>
    <cellStyle name="Milliers 3 4 3 5 2" xfId="2383" xr:uid="{00000000-0005-0000-0000-0000AD030000}"/>
    <cellStyle name="Milliers 3 4 3 6" xfId="1188" xr:uid="{00000000-0005-0000-0000-0000AE030000}"/>
    <cellStyle name="Milliers 3 4 3 7" xfId="1520" xr:uid="{00000000-0005-0000-0000-0000AF030000}"/>
    <cellStyle name="Milliers 3 4 4" xfId="74" xr:uid="{00000000-0005-0000-0000-0000B0030000}"/>
    <cellStyle name="Milliers 3 4 4 2" xfId="230" xr:uid="{00000000-0005-0000-0000-0000B1030000}"/>
    <cellStyle name="Milliers 3 4 4 2 2" xfId="542" xr:uid="{00000000-0005-0000-0000-0000B2030000}"/>
    <cellStyle name="Milliers 3 4 4 2 2 2" xfId="2009" xr:uid="{00000000-0005-0000-0000-0000B3030000}"/>
    <cellStyle name="Milliers 3 4 4 2 3" xfId="860" xr:uid="{00000000-0005-0000-0000-0000B4030000}"/>
    <cellStyle name="Milliers 3 4 4 2 3 2" xfId="2275" xr:uid="{00000000-0005-0000-0000-0000B5030000}"/>
    <cellStyle name="Milliers 3 4 4 2 4" xfId="1080" xr:uid="{00000000-0005-0000-0000-0000B6030000}"/>
    <cellStyle name="Milliers 3 4 4 2 4 2" xfId="2495" xr:uid="{00000000-0005-0000-0000-0000B7030000}"/>
    <cellStyle name="Milliers 3 4 4 2 5" xfId="1368" xr:uid="{00000000-0005-0000-0000-0000B8030000}"/>
    <cellStyle name="Milliers 3 4 4 2 6" xfId="1700" xr:uid="{00000000-0005-0000-0000-0000B9030000}"/>
    <cellStyle name="Milliers 3 4 4 3" xfId="388" xr:uid="{00000000-0005-0000-0000-0000BA030000}"/>
    <cellStyle name="Milliers 3 4 4 3 2" xfId="1855" xr:uid="{00000000-0005-0000-0000-0000BB030000}"/>
    <cellStyle name="Milliers 3 4 4 4" xfId="777" xr:uid="{00000000-0005-0000-0000-0000BC030000}"/>
    <cellStyle name="Milliers 3 4 4 4 2" xfId="2192" xr:uid="{00000000-0005-0000-0000-0000BD030000}"/>
    <cellStyle name="Milliers 3 4 4 5" xfId="997" xr:uid="{00000000-0005-0000-0000-0000BE030000}"/>
    <cellStyle name="Milliers 3 4 4 5 2" xfId="2412" xr:uid="{00000000-0005-0000-0000-0000BF030000}"/>
    <cellStyle name="Milliers 3 4 4 6" xfId="1214" xr:uid="{00000000-0005-0000-0000-0000C0030000}"/>
    <cellStyle name="Milliers 3 4 4 7" xfId="1546" xr:uid="{00000000-0005-0000-0000-0000C1030000}"/>
    <cellStyle name="Milliers 3 4 5" xfId="100" xr:uid="{00000000-0005-0000-0000-0000C2030000}"/>
    <cellStyle name="Milliers 3 4 5 2" xfId="254" xr:uid="{00000000-0005-0000-0000-0000C3030000}"/>
    <cellStyle name="Milliers 3 4 5 2 2" xfId="566" xr:uid="{00000000-0005-0000-0000-0000C4030000}"/>
    <cellStyle name="Milliers 3 4 5 2 2 2" xfId="2033" xr:uid="{00000000-0005-0000-0000-0000C5030000}"/>
    <cellStyle name="Milliers 3 4 5 2 3" xfId="1392" xr:uid="{00000000-0005-0000-0000-0000C6030000}"/>
    <cellStyle name="Milliers 3 4 5 2 4" xfId="1724" xr:uid="{00000000-0005-0000-0000-0000C7030000}"/>
    <cellStyle name="Milliers 3 4 5 3" xfId="412" xr:uid="{00000000-0005-0000-0000-0000C8030000}"/>
    <cellStyle name="Milliers 3 4 5 3 2" xfId="1879" xr:uid="{00000000-0005-0000-0000-0000C9030000}"/>
    <cellStyle name="Milliers 3 4 5 4" xfId="807" xr:uid="{00000000-0005-0000-0000-0000CA030000}"/>
    <cellStyle name="Milliers 3 4 5 4 2" xfId="2222" xr:uid="{00000000-0005-0000-0000-0000CB030000}"/>
    <cellStyle name="Milliers 3 4 5 5" xfId="1027" xr:uid="{00000000-0005-0000-0000-0000CC030000}"/>
    <cellStyle name="Milliers 3 4 5 5 2" xfId="2442" xr:uid="{00000000-0005-0000-0000-0000CD030000}"/>
    <cellStyle name="Milliers 3 4 5 6" xfId="1238" xr:uid="{00000000-0005-0000-0000-0000CE030000}"/>
    <cellStyle name="Milliers 3 4 5 7" xfId="1570" xr:uid="{00000000-0005-0000-0000-0000CF030000}"/>
    <cellStyle name="Milliers 3 4 6" xfId="127" xr:uid="{00000000-0005-0000-0000-0000D0030000}"/>
    <cellStyle name="Milliers 3 4 6 2" xfId="281" xr:uid="{00000000-0005-0000-0000-0000D1030000}"/>
    <cellStyle name="Milliers 3 4 6 2 2" xfId="593" xr:uid="{00000000-0005-0000-0000-0000D2030000}"/>
    <cellStyle name="Milliers 3 4 6 2 2 2" xfId="2060" xr:uid="{00000000-0005-0000-0000-0000D3030000}"/>
    <cellStyle name="Milliers 3 4 6 2 3" xfId="1419" xr:uid="{00000000-0005-0000-0000-0000D4030000}"/>
    <cellStyle name="Milliers 3 4 6 2 4" xfId="1751" xr:uid="{00000000-0005-0000-0000-0000D5030000}"/>
    <cellStyle name="Milliers 3 4 6 3" xfId="439" xr:uid="{00000000-0005-0000-0000-0000D6030000}"/>
    <cellStyle name="Milliers 3 4 6 3 2" xfId="1906" xr:uid="{00000000-0005-0000-0000-0000D7030000}"/>
    <cellStyle name="Milliers 3 4 6 4" xfId="891" xr:uid="{00000000-0005-0000-0000-0000D8030000}"/>
    <cellStyle name="Milliers 3 4 6 4 2" xfId="2306" xr:uid="{00000000-0005-0000-0000-0000D9030000}"/>
    <cellStyle name="Milliers 3 4 6 5" xfId="1111" xr:uid="{00000000-0005-0000-0000-0000DA030000}"/>
    <cellStyle name="Milliers 3 4 6 5 2" xfId="2526" xr:uid="{00000000-0005-0000-0000-0000DB030000}"/>
    <cellStyle name="Milliers 3 4 6 6" xfId="1265" xr:uid="{00000000-0005-0000-0000-0000DC030000}"/>
    <cellStyle name="Milliers 3 4 6 7" xfId="1597" xr:uid="{00000000-0005-0000-0000-0000DD030000}"/>
    <cellStyle name="Milliers 3 4 7" xfId="146" xr:uid="{00000000-0005-0000-0000-0000DE030000}"/>
    <cellStyle name="Milliers 3 4 7 2" xfId="300" xr:uid="{00000000-0005-0000-0000-0000DF030000}"/>
    <cellStyle name="Milliers 3 4 7 2 2" xfId="612" xr:uid="{00000000-0005-0000-0000-0000E0030000}"/>
    <cellStyle name="Milliers 3 4 7 2 2 2" xfId="2079" xr:uid="{00000000-0005-0000-0000-0000E1030000}"/>
    <cellStyle name="Milliers 3 4 7 2 3" xfId="1438" xr:uid="{00000000-0005-0000-0000-0000E2030000}"/>
    <cellStyle name="Milliers 3 4 7 2 4" xfId="1770" xr:uid="{00000000-0005-0000-0000-0000E3030000}"/>
    <cellStyle name="Milliers 3 4 7 3" xfId="458" xr:uid="{00000000-0005-0000-0000-0000E4030000}"/>
    <cellStyle name="Milliers 3 4 7 3 2" xfId="1925" xr:uid="{00000000-0005-0000-0000-0000E5030000}"/>
    <cellStyle name="Milliers 3 4 7 4" xfId="920" xr:uid="{00000000-0005-0000-0000-0000E6030000}"/>
    <cellStyle name="Milliers 3 4 7 4 2" xfId="2335" xr:uid="{00000000-0005-0000-0000-0000E7030000}"/>
    <cellStyle name="Milliers 3 4 7 5" xfId="1140" xr:uid="{00000000-0005-0000-0000-0000E8030000}"/>
    <cellStyle name="Milliers 3 4 7 5 2" xfId="2555" xr:uid="{00000000-0005-0000-0000-0000E9030000}"/>
    <cellStyle name="Milliers 3 4 7 6" xfId="1284" xr:uid="{00000000-0005-0000-0000-0000EA030000}"/>
    <cellStyle name="Milliers 3 4 7 7" xfId="1616" xr:uid="{00000000-0005-0000-0000-0000EB030000}"/>
    <cellStyle name="Milliers 3 4 8" xfId="163" xr:uid="{00000000-0005-0000-0000-0000EC030000}"/>
    <cellStyle name="Milliers 3 4 8 2" xfId="317" xr:uid="{00000000-0005-0000-0000-0000ED030000}"/>
    <cellStyle name="Milliers 3 4 8 2 2" xfId="629" xr:uid="{00000000-0005-0000-0000-0000EE030000}"/>
    <cellStyle name="Milliers 3 4 8 2 2 2" xfId="2096" xr:uid="{00000000-0005-0000-0000-0000EF030000}"/>
    <cellStyle name="Milliers 3 4 8 2 3" xfId="1455" xr:uid="{00000000-0005-0000-0000-0000F0030000}"/>
    <cellStyle name="Milliers 3 4 8 2 4" xfId="1787" xr:uid="{00000000-0005-0000-0000-0000F1030000}"/>
    <cellStyle name="Milliers 3 4 8 3" xfId="475" xr:uid="{00000000-0005-0000-0000-0000F2030000}"/>
    <cellStyle name="Milliers 3 4 8 3 2" xfId="1942" xr:uid="{00000000-0005-0000-0000-0000F3030000}"/>
    <cellStyle name="Milliers 3 4 8 4" xfId="1301" xr:uid="{00000000-0005-0000-0000-0000F4030000}"/>
    <cellStyle name="Milliers 3 4 8 5" xfId="1633" xr:uid="{00000000-0005-0000-0000-0000F5030000}"/>
    <cellStyle name="Milliers 3 4 9" xfId="180" xr:uid="{00000000-0005-0000-0000-0000F6030000}"/>
    <cellStyle name="Milliers 3 4 9 2" xfId="492" xr:uid="{00000000-0005-0000-0000-0000F7030000}"/>
    <cellStyle name="Milliers 3 4 9 2 2" xfId="1959" xr:uid="{00000000-0005-0000-0000-0000F8030000}"/>
    <cellStyle name="Milliers 3 4 9 3" xfId="1318" xr:uid="{00000000-0005-0000-0000-0000F9030000}"/>
    <cellStyle name="Milliers 3 4 9 4" xfId="1650" xr:uid="{00000000-0005-0000-0000-0000FA030000}"/>
    <cellStyle name="Milliers 3 5" xfId="29" xr:uid="{00000000-0005-0000-0000-0000FB030000}"/>
    <cellStyle name="Milliers 3 5 10" xfId="729" xr:uid="{00000000-0005-0000-0000-0000FC030000}"/>
    <cellStyle name="Milliers 3 5 10 2" xfId="2144" xr:uid="{00000000-0005-0000-0000-0000FD030000}"/>
    <cellStyle name="Milliers 3 5 11" xfId="949" xr:uid="{00000000-0005-0000-0000-0000FE030000}"/>
    <cellStyle name="Milliers 3 5 11 2" xfId="2364" xr:uid="{00000000-0005-0000-0000-0000FF030000}"/>
    <cellStyle name="Milliers 3 5 12" xfId="1169" xr:uid="{00000000-0005-0000-0000-000000040000}"/>
    <cellStyle name="Milliers 3 5 13" xfId="1501" xr:uid="{00000000-0005-0000-0000-000001040000}"/>
    <cellStyle name="Milliers 3 5 2" xfId="53" xr:uid="{00000000-0005-0000-0000-000002040000}"/>
    <cellStyle name="Milliers 3 5 2 2" xfId="209" xr:uid="{00000000-0005-0000-0000-000003040000}"/>
    <cellStyle name="Milliers 3 5 2 2 2" xfId="521" xr:uid="{00000000-0005-0000-0000-000004040000}"/>
    <cellStyle name="Milliers 3 5 2 2 2 2" xfId="1988" xr:uid="{00000000-0005-0000-0000-000005040000}"/>
    <cellStyle name="Milliers 3 5 2 2 3" xfId="837" xr:uid="{00000000-0005-0000-0000-000006040000}"/>
    <cellStyle name="Milliers 3 5 2 2 3 2" xfId="2252" xr:uid="{00000000-0005-0000-0000-000007040000}"/>
    <cellStyle name="Milliers 3 5 2 2 4" xfId="1057" xr:uid="{00000000-0005-0000-0000-000008040000}"/>
    <cellStyle name="Milliers 3 5 2 2 4 2" xfId="2472" xr:uid="{00000000-0005-0000-0000-000009040000}"/>
    <cellStyle name="Milliers 3 5 2 2 5" xfId="1347" xr:uid="{00000000-0005-0000-0000-00000A040000}"/>
    <cellStyle name="Milliers 3 5 2 2 6" xfId="1679" xr:uid="{00000000-0005-0000-0000-00000B040000}"/>
    <cellStyle name="Milliers 3 5 2 3" xfId="367" xr:uid="{00000000-0005-0000-0000-00000C040000}"/>
    <cellStyle name="Milliers 3 5 2 3 2" xfId="1834" xr:uid="{00000000-0005-0000-0000-00000D040000}"/>
    <cellStyle name="Milliers 3 5 2 4" xfId="754" xr:uid="{00000000-0005-0000-0000-00000E040000}"/>
    <cellStyle name="Milliers 3 5 2 4 2" xfId="2169" xr:uid="{00000000-0005-0000-0000-00000F040000}"/>
    <cellStyle name="Milliers 3 5 2 5" xfId="974" xr:uid="{00000000-0005-0000-0000-000010040000}"/>
    <cellStyle name="Milliers 3 5 2 5 2" xfId="2389" xr:uid="{00000000-0005-0000-0000-000011040000}"/>
    <cellStyle name="Milliers 3 5 2 6" xfId="1193" xr:uid="{00000000-0005-0000-0000-000012040000}"/>
    <cellStyle name="Milliers 3 5 2 7" xfId="1525" xr:uid="{00000000-0005-0000-0000-000013040000}"/>
    <cellStyle name="Milliers 3 5 3" xfId="84" xr:uid="{00000000-0005-0000-0000-000014040000}"/>
    <cellStyle name="Milliers 3 5 3 2" xfId="238" xr:uid="{00000000-0005-0000-0000-000015040000}"/>
    <cellStyle name="Milliers 3 5 3 2 2" xfId="550" xr:uid="{00000000-0005-0000-0000-000016040000}"/>
    <cellStyle name="Milliers 3 5 3 2 2 2" xfId="2017" xr:uid="{00000000-0005-0000-0000-000017040000}"/>
    <cellStyle name="Milliers 3 5 3 2 3" xfId="866" xr:uid="{00000000-0005-0000-0000-000018040000}"/>
    <cellStyle name="Milliers 3 5 3 2 3 2" xfId="2281" xr:uid="{00000000-0005-0000-0000-000019040000}"/>
    <cellStyle name="Milliers 3 5 3 2 4" xfId="1086" xr:uid="{00000000-0005-0000-0000-00001A040000}"/>
    <cellStyle name="Milliers 3 5 3 2 4 2" xfId="2501" xr:uid="{00000000-0005-0000-0000-00001B040000}"/>
    <cellStyle name="Milliers 3 5 3 2 5" xfId="1376" xr:uid="{00000000-0005-0000-0000-00001C040000}"/>
    <cellStyle name="Milliers 3 5 3 2 6" xfId="1708" xr:uid="{00000000-0005-0000-0000-00001D040000}"/>
    <cellStyle name="Milliers 3 5 3 3" xfId="396" xr:uid="{00000000-0005-0000-0000-00001E040000}"/>
    <cellStyle name="Milliers 3 5 3 3 2" xfId="1863" xr:uid="{00000000-0005-0000-0000-00001F040000}"/>
    <cellStyle name="Milliers 3 5 3 4" xfId="783" xr:uid="{00000000-0005-0000-0000-000020040000}"/>
    <cellStyle name="Milliers 3 5 3 4 2" xfId="2198" xr:uid="{00000000-0005-0000-0000-000021040000}"/>
    <cellStyle name="Milliers 3 5 3 5" xfId="1003" xr:uid="{00000000-0005-0000-0000-000022040000}"/>
    <cellStyle name="Milliers 3 5 3 5 2" xfId="2418" xr:uid="{00000000-0005-0000-0000-000023040000}"/>
    <cellStyle name="Milliers 3 5 3 6" xfId="1222" xr:uid="{00000000-0005-0000-0000-000024040000}"/>
    <cellStyle name="Milliers 3 5 3 7" xfId="1554" xr:uid="{00000000-0005-0000-0000-000025040000}"/>
    <cellStyle name="Milliers 3 5 4" xfId="105" xr:uid="{00000000-0005-0000-0000-000026040000}"/>
    <cellStyle name="Milliers 3 5 4 2" xfId="259" xr:uid="{00000000-0005-0000-0000-000027040000}"/>
    <cellStyle name="Milliers 3 5 4 2 2" xfId="571" xr:uid="{00000000-0005-0000-0000-000028040000}"/>
    <cellStyle name="Milliers 3 5 4 2 2 2" xfId="2038" xr:uid="{00000000-0005-0000-0000-000029040000}"/>
    <cellStyle name="Milliers 3 5 4 2 3" xfId="1397" xr:uid="{00000000-0005-0000-0000-00002A040000}"/>
    <cellStyle name="Milliers 3 5 4 2 4" xfId="1729" xr:uid="{00000000-0005-0000-0000-00002B040000}"/>
    <cellStyle name="Milliers 3 5 4 3" xfId="417" xr:uid="{00000000-0005-0000-0000-00002C040000}"/>
    <cellStyle name="Milliers 3 5 4 3 2" xfId="1884" xr:uid="{00000000-0005-0000-0000-00002D040000}"/>
    <cellStyle name="Milliers 3 5 4 4" xfId="812" xr:uid="{00000000-0005-0000-0000-00002E040000}"/>
    <cellStyle name="Milliers 3 5 4 4 2" xfId="2227" xr:uid="{00000000-0005-0000-0000-00002F040000}"/>
    <cellStyle name="Milliers 3 5 4 5" xfId="1032" xr:uid="{00000000-0005-0000-0000-000030040000}"/>
    <cellStyle name="Milliers 3 5 4 5 2" xfId="2447" xr:uid="{00000000-0005-0000-0000-000031040000}"/>
    <cellStyle name="Milliers 3 5 4 6" xfId="1243" xr:uid="{00000000-0005-0000-0000-000032040000}"/>
    <cellStyle name="Milliers 3 5 4 7" xfId="1575" xr:uid="{00000000-0005-0000-0000-000033040000}"/>
    <cellStyle name="Milliers 3 5 5" xfId="133" xr:uid="{00000000-0005-0000-0000-000034040000}"/>
    <cellStyle name="Milliers 3 5 5 2" xfId="287" xr:uid="{00000000-0005-0000-0000-000035040000}"/>
    <cellStyle name="Milliers 3 5 5 2 2" xfId="599" xr:uid="{00000000-0005-0000-0000-000036040000}"/>
    <cellStyle name="Milliers 3 5 5 2 2 2" xfId="2066" xr:uid="{00000000-0005-0000-0000-000037040000}"/>
    <cellStyle name="Milliers 3 5 5 2 3" xfId="1425" xr:uid="{00000000-0005-0000-0000-000038040000}"/>
    <cellStyle name="Milliers 3 5 5 2 4" xfId="1757" xr:uid="{00000000-0005-0000-0000-000039040000}"/>
    <cellStyle name="Milliers 3 5 5 3" xfId="445" xr:uid="{00000000-0005-0000-0000-00003A040000}"/>
    <cellStyle name="Milliers 3 5 5 3 2" xfId="1912" xr:uid="{00000000-0005-0000-0000-00003B040000}"/>
    <cellStyle name="Milliers 3 5 5 4" xfId="897" xr:uid="{00000000-0005-0000-0000-00003C040000}"/>
    <cellStyle name="Milliers 3 5 5 4 2" xfId="2312" xr:uid="{00000000-0005-0000-0000-00003D040000}"/>
    <cellStyle name="Milliers 3 5 5 5" xfId="1117" xr:uid="{00000000-0005-0000-0000-00003E040000}"/>
    <cellStyle name="Milliers 3 5 5 5 2" xfId="2532" xr:uid="{00000000-0005-0000-0000-00003F040000}"/>
    <cellStyle name="Milliers 3 5 5 6" xfId="1271" xr:uid="{00000000-0005-0000-0000-000040040000}"/>
    <cellStyle name="Milliers 3 5 5 7" xfId="1603" xr:uid="{00000000-0005-0000-0000-000041040000}"/>
    <cellStyle name="Milliers 3 5 6" xfId="152" xr:uid="{00000000-0005-0000-0000-000042040000}"/>
    <cellStyle name="Milliers 3 5 6 2" xfId="306" xr:uid="{00000000-0005-0000-0000-000043040000}"/>
    <cellStyle name="Milliers 3 5 6 2 2" xfId="618" xr:uid="{00000000-0005-0000-0000-000044040000}"/>
    <cellStyle name="Milliers 3 5 6 2 2 2" xfId="2085" xr:uid="{00000000-0005-0000-0000-000045040000}"/>
    <cellStyle name="Milliers 3 5 6 2 3" xfId="1444" xr:uid="{00000000-0005-0000-0000-000046040000}"/>
    <cellStyle name="Milliers 3 5 6 2 4" xfId="1776" xr:uid="{00000000-0005-0000-0000-000047040000}"/>
    <cellStyle name="Milliers 3 5 6 3" xfId="464" xr:uid="{00000000-0005-0000-0000-000048040000}"/>
    <cellStyle name="Milliers 3 5 6 3 2" xfId="1931" xr:uid="{00000000-0005-0000-0000-000049040000}"/>
    <cellStyle name="Milliers 3 5 6 4" xfId="925" xr:uid="{00000000-0005-0000-0000-00004A040000}"/>
    <cellStyle name="Milliers 3 5 6 4 2" xfId="2340" xr:uid="{00000000-0005-0000-0000-00004B040000}"/>
    <cellStyle name="Milliers 3 5 6 5" xfId="1145" xr:uid="{00000000-0005-0000-0000-00004C040000}"/>
    <cellStyle name="Milliers 3 5 6 5 2" xfId="2560" xr:uid="{00000000-0005-0000-0000-00004D040000}"/>
    <cellStyle name="Milliers 3 5 6 6" xfId="1290" xr:uid="{00000000-0005-0000-0000-00004E040000}"/>
    <cellStyle name="Milliers 3 5 6 7" xfId="1622" xr:uid="{00000000-0005-0000-0000-00004F040000}"/>
    <cellStyle name="Milliers 3 5 7" xfId="169" xr:uid="{00000000-0005-0000-0000-000050040000}"/>
    <cellStyle name="Milliers 3 5 7 2" xfId="323" xr:uid="{00000000-0005-0000-0000-000051040000}"/>
    <cellStyle name="Milliers 3 5 7 2 2" xfId="635" xr:uid="{00000000-0005-0000-0000-000052040000}"/>
    <cellStyle name="Milliers 3 5 7 2 2 2" xfId="2102" xr:uid="{00000000-0005-0000-0000-000053040000}"/>
    <cellStyle name="Milliers 3 5 7 2 3" xfId="1461" xr:uid="{00000000-0005-0000-0000-000054040000}"/>
    <cellStyle name="Milliers 3 5 7 2 4" xfId="1793" xr:uid="{00000000-0005-0000-0000-000055040000}"/>
    <cellStyle name="Milliers 3 5 7 3" xfId="481" xr:uid="{00000000-0005-0000-0000-000056040000}"/>
    <cellStyle name="Milliers 3 5 7 3 2" xfId="1948" xr:uid="{00000000-0005-0000-0000-000057040000}"/>
    <cellStyle name="Milliers 3 5 7 4" xfId="1307" xr:uid="{00000000-0005-0000-0000-000058040000}"/>
    <cellStyle name="Milliers 3 5 7 5" xfId="1639" xr:uid="{00000000-0005-0000-0000-000059040000}"/>
    <cellStyle name="Milliers 3 5 8" xfId="185" xr:uid="{00000000-0005-0000-0000-00005A040000}"/>
    <cellStyle name="Milliers 3 5 8 2" xfId="497" xr:uid="{00000000-0005-0000-0000-00005B040000}"/>
    <cellStyle name="Milliers 3 5 8 2 2" xfId="1964" xr:uid="{00000000-0005-0000-0000-00005C040000}"/>
    <cellStyle name="Milliers 3 5 8 3" xfId="1323" xr:uid="{00000000-0005-0000-0000-00005D040000}"/>
    <cellStyle name="Milliers 3 5 8 4" xfId="1655" xr:uid="{00000000-0005-0000-0000-00005E040000}"/>
    <cellStyle name="Milliers 3 5 9" xfId="343" xr:uid="{00000000-0005-0000-0000-00005F040000}"/>
    <cellStyle name="Milliers 3 5 9 2" xfId="1810" xr:uid="{00000000-0005-0000-0000-000060040000}"/>
    <cellStyle name="Milliers 3 6" xfId="41" xr:uid="{00000000-0005-0000-0000-000061040000}"/>
    <cellStyle name="Milliers 3 6 2" xfId="197" xr:uid="{00000000-0005-0000-0000-000062040000}"/>
    <cellStyle name="Milliers 3 6 2 2" xfId="651" xr:uid="{00000000-0005-0000-0000-000063040000}"/>
    <cellStyle name="Milliers 3 6 2 2 2" xfId="870" xr:uid="{00000000-0005-0000-0000-000064040000}"/>
    <cellStyle name="Milliers 3 6 2 2 2 2" xfId="2285" xr:uid="{00000000-0005-0000-0000-000065040000}"/>
    <cellStyle name="Milliers 3 6 2 2 3" xfId="1090" xr:uid="{00000000-0005-0000-0000-000066040000}"/>
    <cellStyle name="Milliers 3 6 2 2 3 2" xfId="2505" xr:uid="{00000000-0005-0000-0000-000067040000}"/>
    <cellStyle name="Milliers 3 6 2 2 4" xfId="1470" xr:uid="{00000000-0005-0000-0000-000068040000}"/>
    <cellStyle name="Milliers 3 6 2 2 5" xfId="2112" xr:uid="{00000000-0005-0000-0000-000069040000}"/>
    <cellStyle name="Milliers 3 6 2 3" xfId="509" xr:uid="{00000000-0005-0000-0000-00006A040000}"/>
    <cellStyle name="Milliers 3 6 2 3 2" xfId="1976" xr:uid="{00000000-0005-0000-0000-00006B040000}"/>
    <cellStyle name="Milliers 3 6 2 4" xfId="787" xr:uid="{00000000-0005-0000-0000-00006C040000}"/>
    <cellStyle name="Milliers 3 6 2 4 2" xfId="2202" xr:uid="{00000000-0005-0000-0000-00006D040000}"/>
    <cellStyle name="Milliers 3 6 2 5" xfId="1007" xr:uid="{00000000-0005-0000-0000-00006E040000}"/>
    <cellStyle name="Milliers 3 6 2 5 2" xfId="2422" xr:uid="{00000000-0005-0000-0000-00006F040000}"/>
    <cellStyle name="Milliers 3 6 2 6" xfId="1335" xr:uid="{00000000-0005-0000-0000-000070040000}"/>
    <cellStyle name="Milliers 3 6 2 7" xfId="1667" xr:uid="{00000000-0005-0000-0000-000071040000}"/>
    <cellStyle name="Milliers 3 6 3" xfId="647" xr:uid="{00000000-0005-0000-0000-000072040000}"/>
    <cellStyle name="Milliers 3 6 3 2" xfId="841" xr:uid="{00000000-0005-0000-0000-000073040000}"/>
    <cellStyle name="Milliers 3 6 3 2 2" xfId="2256" xr:uid="{00000000-0005-0000-0000-000074040000}"/>
    <cellStyle name="Milliers 3 6 3 3" xfId="1061" xr:uid="{00000000-0005-0000-0000-000075040000}"/>
    <cellStyle name="Milliers 3 6 3 3 2" xfId="2476" xr:uid="{00000000-0005-0000-0000-000076040000}"/>
    <cellStyle name="Milliers 3 6 3 4" xfId="1466" xr:uid="{00000000-0005-0000-0000-000077040000}"/>
    <cellStyle name="Milliers 3 6 3 5" xfId="2108" xr:uid="{00000000-0005-0000-0000-000078040000}"/>
    <cellStyle name="Milliers 3 6 4" xfId="703" xr:uid="{00000000-0005-0000-0000-000079040000}"/>
    <cellStyle name="Milliers 3 6 4 2" xfId="901" xr:uid="{00000000-0005-0000-0000-00007A040000}"/>
    <cellStyle name="Milliers 3 6 4 2 2" xfId="2316" xr:uid="{00000000-0005-0000-0000-00007B040000}"/>
    <cellStyle name="Milliers 3 6 4 3" xfId="1121" xr:uid="{00000000-0005-0000-0000-00007C040000}"/>
    <cellStyle name="Milliers 3 6 4 3 2" xfId="2536" xr:uid="{00000000-0005-0000-0000-00007D040000}"/>
    <cellStyle name="Milliers 3 6 4 4" xfId="1476" xr:uid="{00000000-0005-0000-0000-00007E040000}"/>
    <cellStyle name="Milliers 3 6 4 5" xfId="2119" xr:uid="{00000000-0005-0000-0000-00007F040000}"/>
    <cellStyle name="Milliers 3 6 5" xfId="355" xr:uid="{00000000-0005-0000-0000-000080040000}"/>
    <cellStyle name="Milliers 3 6 5 2" xfId="1822" xr:uid="{00000000-0005-0000-0000-000081040000}"/>
    <cellStyle name="Milliers 3 6 6" xfId="758" xr:uid="{00000000-0005-0000-0000-000082040000}"/>
    <cellStyle name="Milliers 3 6 6 2" xfId="2173" xr:uid="{00000000-0005-0000-0000-000083040000}"/>
    <cellStyle name="Milliers 3 6 7" xfId="978" xr:uid="{00000000-0005-0000-0000-000084040000}"/>
    <cellStyle name="Milliers 3 6 7 2" xfId="2393" xr:uid="{00000000-0005-0000-0000-000085040000}"/>
    <cellStyle name="Milliers 3 6 8" xfId="1181" xr:uid="{00000000-0005-0000-0000-000086040000}"/>
    <cellStyle name="Milliers 3 6 9" xfId="1513" xr:uid="{00000000-0005-0000-0000-000087040000}"/>
    <cellStyle name="Milliers 3 7" xfId="66" xr:uid="{00000000-0005-0000-0000-000088040000}"/>
    <cellStyle name="Milliers 3 7 2" xfId="222" xr:uid="{00000000-0005-0000-0000-000089040000}"/>
    <cellStyle name="Milliers 3 7 2 2" xfId="534" xr:uid="{00000000-0005-0000-0000-00008A040000}"/>
    <cellStyle name="Milliers 3 7 2 2 2" xfId="2001" xr:uid="{00000000-0005-0000-0000-00008B040000}"/>
    <cellStyle name="Milliers 3 7 2 3" xfId="824" xr:uid="{00000000-0005-0000-0000-00008C040000}"/>
    <cellStyle name="Milliers 3 7 2 3 2" xfId="2239" xr:uid="{00000000-0005-0000-0000-00008D040000}"/>
    <cellStyle name="Milliers 3 7 2 4" xfId="1044" xr:uid="{00000000-0005-0000-0000-00008E040000}"/>
    <cellStyle name="Milliers 3 7 2 4 2" xfId="2459" xr:uid="{00000000-0005-0000-0000-00008F040000}"/>
    <cellStyle name="Milliers 3 7 2 5" xfId="1360" xr:uid="{00000000-0005-0000-0000-000090040000}"/>
    <cellStyle name="Milliers 3 7 2 6" xfId="1692" xr:uid="{00000000-0005-0000-0000-000091040000}"/>
    <cellStyle name="Milliers 3 7 3" xfId="380" xr:uid="{00000000-0005-0000-0000-000092040000}"/>
    <cellStyle name="Milliers 3 7 3 2" xfId="1847" xr:uid="{00000000-0005-0000-0000-000093040000}"/>
    <cellStyle name="Milliers 3 7 4" xfId="741" xr:uid="{00000000-0005-0000-0000-000094040000}"/>
    <cellStyle name="Milliers 3 7 4 2" xfId="2156" xr:uid="{00000000-0005-0000-0000-000095040000}"/>
    <cellStyle name="Milliers 3 7 5" xfId="961" xr:uid="{00000000-0005-0000-0000-000096040000}"/>
    <cellStyle name="Milliers 3 7 5 2" xfId="2376" xr:uid="{00000000-0005-0000-0000-000097040000}"/>
    <cellStyle name="Milliers 3 7 6" xfId="1206" xr:uid="{00000000-0005-0000-0000-000098040000}"/>
    <cellStyle name="Milliers 3 7 7" xfId="1538" xr:uid="{00000000-0005-0000-0000-000099040000}"/>
    <cellStyle name="Milliers 3 8" xfId="93" xr:uid="{00000000-0005-0000-0000-00009A040000}"/>
    <cellStyle name="Milliers 3 8 2" xfId="247" xr:uid="{00000000-0005-0000-0000-00009B040000}"/>
    <cellStyle name="Milliers 3 8 2 2" xfId="559" xr:uid="{00000000-0005-0000-0000-00009C040000}"/>
    <cellStyle name="Milliers 3 8 2 2 2" xfId="2026" xr:uid="{00000000-0005-0000-0000-00009D040000}"/>
    <cellStyle name="Milliers 3 8 2 3" xfId="853" xr:uid="{00000000-0005-0000-0000-00009E040000}"/>
    <cellStyle name="Milliers 3 8 2 3 2" xfId="2268" xr:uid="{00000000-0005-0000-0000-00009F040000}"/>
    <cellStyle name="Milliers 3 8 2 4" xfId="1073" xr:uid="{00000000-0005-0000-0000-0000A0040000}"/>
    <cellStyle name="Milliers 3 8 2 4 2" xfId="2488" xr:uid="{00000000-0005-0000-0000-0000A1040000}"/>
    <cellStyle name="Milliers 3 8 2 5" xfId="1385" xr:uid="{00000000-0005-0000-0000-0000A2040000}"/>
    <cellStyle name="Milliers 3 8 2 6" xfId="1717" xr:uid="{00000000-0005-0000-0000-0000A3040000}"/>
    <cellStyle name="Milliers 3 8 3" xfId="405" xr:uid="{00000000-0005-0000-0000-0000A4040000}"/>
    <cellStyle name="Milliers 3 8 3 2" xfId="1872" xr:uid="{00000000-0005-0000-0000-0000A5040000}"/>
    <cellStyle name="Milliers 3 8 4" xfId="770" xr:uid="{00000000-0005-0000-0000-0000A6040000}"/>
    <cellStyle name="Milliers 3 8 4 2" xfId="2185" xr:uid="{00000000-0005-0000-0000-0000A7040000}"/>
    <cellStyle name="Milliers 3 8 5" xfId="990" xr:uid="{00000000-0005-0000-0000-0000A8040000}"/>
    <cellStyle name="Milliers 3 8 5 2" xfId="2405" xr:uid="{00000000-0005-0000-0000-0000A9040000}"/>
    <cellStyle name="Milliers 3 8 6" xfId="1231" xr:uid="{00000000-0005-0000-0000-0000AA040000}"/>
    <cellStyle name="Milliers 3 8 7" xfId="1563" xr:uid="{00000000-0005-0000-0000-0000AB040000}"/>
    <cellStyle name="Milliers 3 9" xfId="120" xr:uid="{00000000-0005-0000-0000-0000AC040000}"/>
    <cellStyle name="Milliers 3 9 2" xfId="274" xr:uid="{00000000-0005-0000-0000-0000AD040000}"/>
    <cellStyle name="Milliers 3 9 2 2" xfId="586" xr:uid="{00000000-0005-0000-0000-0000AE040000}"/>
    <cellStyle name="Milliers 3 9 2 2 2" xfId="2053" xr:uid="{00000000-0005-0000-0000-0000AF040000}"/>
    <cellStyle name="Milliers 3 9 2 3" xfId="1412" xr:uid="{00000000-0005-0000-0000-0000B0040000}"/>
    <cellStyle name="Milliers 3 9 2 4" xfId="1744" xr:uid="{00000000-0005-0000-0000-0000B1040000}"/>
    <cellStyle name="Milliers 3 9 3" xfId="432" xr:uid="{00000000-0005-0000-0000-0000B2040000}"/>
    <cellStyle name="Milliers 3 9 3 2" xfId="1899" xr:uid="{00000000-0005-0000-0000-0000B3040000}"/>
    <cellStyle name="Milliers 3 9 4" xfId="800" xr:uid="{00000000-0005-0000-0000-0000B4040000}"/>
    <cellStyle name="Milliers 3 9 4 2" xfId="2215" xr:uid="{00000000-0005-0000-0000-0000B5040000}"/>
    <cellStyle name="Milliers 3 9 5" xfId="1020" xr:uid="{00000000-0005-0000-0000-0000B6040000}"/>
    <cellStyle name="Milliers 3 9 5 2" xfId="2435" xr:uid="{00000000-0005-0000-0000-0000B7040000}"/>
    <cellStyle name="Milliers 3 9 6" xfId="1258" xr:uid="{00000000-0005-0000-0000-0000B8040000}"/>
    <cellStyle name="Milliers 3 9 7" xfId="1590" xr:uid="{00000000-0005-0000-0000-0000B9040000}"/>
    <cellStyle name="Milliers 4" xfId="14" xr:uid="{00000000-0005-0000-0000-0000BA040000}"/>
    <cellStyle name="Milliers 4 2" xfId="23" xr:uid="{00000000-0005-0000-0000-0000BB040000}"/>
    <cellStyle name="Milliers 5" xfId="81" xr:uid="{00000000-0005-0000-0000-0000BC040000}"/>
    <cellStyle name="Milliers 5 10" xfId="1553" xr:uid="{00000000-0005-0000-0000-0000BD040000}"/>
    <cellStyle name="Milliers 5 2" xfId="132" xr:uid="{00000000-0005-0000-0000-0000BE040000}"/>
    <cellStyle name="Milliers 5 2 2" xfId="286" xr:uid="{00000000-0005-0000-0000-0000BF040000}"/>
    <cellStyle name="Milliers 5 2 2 2" xfId="598" xr:uid="{00000000-0005-0000-0000-0000C0040000}"/>
    <cellStyle name="Milliers 5 2 2 2 2" xfId="2065" xr:uid="{00000000-0005-0000-0000-0000C1040000}"/>
    <cellStyle name="Milliers 5 2 2 3" xfId="865" xr:uid="{00000000-0005-0000-0000-0000C2040000}"/>
    <cellStyle name="Milliers 5 2 2 3 2" xfId="2280" xr:uid="{00000000-0005-0000-0000-0000C3040000}"/>
    <cellStyle name="Milliers 5 2 2 4" xfId="1085" xr:uid="{00000000-0005-0000-0000-0000C4040000}"/>
    <cellStyle name="Milliers 5 2 2 4 2" xfId="2500" xr:uid="{00000000-0005-0000-0000-0000C5040000}"/>
    <cellStyle name="Milliers 5 2 2 5" xfId="1424" xr:uid="{00000000-0005-0000-0000-0000C6040000}"/>
    <cellStyle name="Milliers 5 2 2 6" xfId="1756" xr:uid="{00000000-0005-0000-0000-0000C7040000}"/>
    <cellStyle name="Milliers 5 2 3" xfId="444" xr:uid="{00000000-0005-0000-0000-0000C8040000}"/>
    <cellStyle name="Milliers 5 2 3 2" xfId="1911" xr:uid="{00000000-0005-0000-0000-0000C9040000}"/>
    <cellStyle name="Milliers 5 2 4" xfId="782" xr:uid="{00000000-0005-0000-0000-0000CA040000}"/>
    <cellStyle name="Milliers 5 2 4 2" xfId="2197" xr:uid="{00000000-0005-0000-0000-0000CB040000}"/>
    <cellStyle name="Milliers 5 2 5" xfId="1002" xr:uid="{00000000-0005-0000-0000-0000CC040000}"/>
    <cellStyle name="Milliers 5 2 5 2" xfId="2417" xr:uid="{00000000-0005-0000-0000-0000CD040000}"/>
    <cellStyle name="Milliers 5 2 6" xfId="1270" xr:uid="{00000000-0005-0000-0000-0000CE040000}"/>
    <cellStyle name="Milliers 5 2 7" xfId="1602" xr:uid="{00000000-0005-0000-0000-0000CF040000}"/>
    <cellStyle name="Milliers 5 3" xfId="151" xr:uid="{00000000-0005-0000-0000-0000D0040000}"/>
    <cellStyle name="Milliers 5 3 2" xfId="305" xr:uid="{00000000-0005-0000-0000-0000D1040000}"/>
    <cellStyle name="Milliers 5 3 2 2" xfId="617" xr:uid="{00000000-0005-0000-0000-0000D2040000}"/>
    <cellStyle name="Milliers 5 3 2 2 2" xfId="2084" xr:uid="{00000000-0005-0000-0000-0000D3040000}"/>
    <cellStyle name="Milliers 5 3 2 3" xfId="1443" xr:uid="{00000000-0005-0000-0000-0000D4040000}"/>
    <cellStyle name="Milliers 5 3 2 4" xfId="1775" xr:uid="{00000000-0005-0000-0000-0000D5040000}"/>
    <cellStyle name="Milliers 5 3 3" xfId="463" xr:uid="{00000000-0005-0000-0000-0000D6040000}"/>
    <cellStyle name="Milliers 5 3 3 2" xfId="1930" xr:uid="{00000000-0005-0000-0000-0000D7040000}"/>
    <cellStyle name="Milliers 5 3 4" xfId="836" xr:uid="{00000000-0005-0000-0000-0000D8040000}"/>
    <cellStyle name="Milliers 5 3 4 2" xfId="2251" xr:uid="{00000000-0005-0000-0000-0000D9040000}"/>
    <cellStyle name="Milliers 5 3 5" xfId="1056" xr:uid="{00000000-0005-0000-0000-0000DA040000}"/>
    <cellStyle name="Milliers 5 3 5 2" xfId="2471" xr:uid="{00000000-0005-0000-0000-0000DB040000}"/>
    <cellStyle name="Milliers 5 3 6" xfId="1289" xr:uid="{00000000-0005-0000-0000-0000DC040000}"/>
    <cellStyle name="Milliers 5 3 7" xfId="1621" xr:uid="{00000000-0005-0000-0000-0000DD040000}"/>
    <cellStyle name="Milliers 5 4" xfId="168" xr:uid="{00000000-0005-0000-0000-0000DE040000}"/>
    <cellStyle name="Milliers 5 4 2" xfId="322" xr:uid="{00000000-0005-0000-0000-0000DF040000}"/>
    <cellStyle name="Milliers 5 4 2 2" xfId="634" xr:uid="{00000000-0005-0000-0000-0000E0040000}"/>
    <cellStyle name="Milliers 5 4 2 2 2" xfId="2101" xr:uid="{00000000-0005-0000-0000-0000E1040000}"/>
    <cellStyle name="Milliers 5 4 2 3" xfId="1460" xr:uid="{00000000-0005-0000-0000-0000E2040000}"/>
    <cellStyle name="Milliers 5 4 2 4" xfId="1792" xr:uid="{00000000-0005-0000-0000-0000E3040000}"/>
    <cellStyle name="Milliers 5 4 3" xfId="480" xr:uid="{00000000-0005-0000-0000-0000E4040000}"/>
    <cellStyle name="Milliers 5 4 3 2" xfId="1947" xr:uid="{00000000-0005-0000-0000-0000E5040000}"/>
    <cellStyle name="Milliers 5 4 4" xfId="896" xr:uid="{00000000-0005-0000-0000-0000E6040000}"/>
    <cellStyle name="Milliers 5 4 4 2" xfId="2311" xr:uid="{00000000-0005-0000-0000-0000E7040000}"/>
    <cellStyle name="Milliers 5 4 5" xfId="1116" xr:uid="{00000000-0005-0000-0000-0000E8040000}"/>
    <cellStyle name="Milliers 5 4 5 2" xfId="2531" xr:uid="{00000000-0005-0000-0000-0000E9040000}"/>
    <cellStyle name="Milliers 5 4 6" xfId="1306" xr:uid="{00000000-0005-0000-0000-0000EA040000}"/>
    <cellStyle name="Milliers 5 4 7" xfId="1638" xr:uid="{00000000-0005-0000-0000-0000EB040000}"/>
    <cellStyle name="Milliers 5 5" xfId="237" xr:uid="{00000000-0005-0000-0000-0000EC040000}"/>
    <cellStyle name="Milliers 5 5 2" xfId="549" xr:uid="{00000000-0005-0000-0000-0000ED040000}"/>
    <cellStyle name="Milliers 5 5 2 2" xfId="2016" xr:uid="{00000000-0005-0000-0000-0000EE040000}"/>
    <cellStyle name="Milliers 5 5 3" xfId="1375" xr:uid="{00000000-0005-0000-0000-0000EF040000}"/>
    <cellStyle name="Milliers 5 5 4" xfId="1707" xr:uid="{00000000-0005-0000-0000-0000F0040000}"/>
    <cellStyle name="Milliers 5 6" xfId="395" xr:uid="{00000000-0005-0000-0000-0000F1040000}"/>
    <cellStyle name="Milliers 5 6 2" xfId="1862" xr:uid="{00000000-0005-0000-0000-0000F2040000}"/>
    <cellStyle name="Milliers 5 7" xfId="753" xr:uid="{00000000-0005-0000-0000-0000F3040000}"/>
    <cellStyle name="Milliers 5 7 2" xfId="2168" xr:uid="{00000000-0005-0000-0000-0000F4040000}"/>
    <cellStyle name="Milliers 5 8" xfId="973" xr:uid="{00000000-0005-0000-0000-0000F5040000}"/>
    <cellStyle name="Milliers 5 8 2" xfId="2388" xr:uid="{00000000-0005-0000-0000-0000F6040000}"/>
    <cellStyle name="Milliers 5 9" xfId="1221" xr:uid="{00000000-0005-0000-0000-0000F7040000}"/>
    <cellStyle name="Milliers 6" xfId="118" xr:uid="{00000000-0005-0000-0000-0000F8040000}"/>
    <cellStyle name="Milliers 6 2" xfId="272" xr:uid="{00000000-0005-0000-0000-0000F9040000}"/>
    <cellStyle name="Milliers 6 2 2" xfId="584" xr:uid="{00000000-0005-0000-0000-0000FA040000}"/>
    <cellStyle name="Milliers 6 2 2 2" xfId="2051" xr:uid="{00000000-0005-0000-0000-0000FB040000}"/>
    <cellStyle name="Milliers 6 2 3" xfId="1410" xr:uid="{00000000-0005-0000-0000-0000FC040000}"/>
    <cellStyle name="Milliers 6 2 4" xfId="1742" xr:uid="{00000000-0005-0000-0000-0000FD040000}"/>
    <cellStyle name="Milliers 6 3" xfId="644" xr:uid="{00000000-0005-0000-0000-0000FE040000}"/>
    <cellStyle name="Milliers 6 4" xfId="430" xr:uid="{00000000-0005-0000-0000-0000FF040000}"/>
    <cellStyle name="Milliers 6 4 2" xfId="1897" xr:uid="{00000000-0005-0000-0000-000000050000}"/>
    <cellStyle name="Milliers 6 5" xfId="1256" xr:uid="{00000000-0005-0000-0000-000001050000}"/>
    <cellStyle name="Milliers 6 6" xfId="1588" xr:uid="{00000000-0005-0000-0000-000002050000}"/>
    <cellStyle name="Milliers 7" xfId="329" xr:uid="{00000000-0005-0000-0000-000003050000}"/>
    <cellStyle name="Milliers 8" xfId="686" xr:uid="{00000000-0005-0000-0000-000004050000}"/>
    <cellStyle name="Milliers 9" xfId="700" xr:uid="{00000000-0005-0000-0000-000005050000}"/>
    <cellStyle name="Milliers 9 2" xfId="883" xr:uid="{00000000-0005-0000-0000-000006050000}"/>
    <cellStyle name="Milliers 9 2 2" xfId="2298" xr:uid="{00000000-0005-0000-0000-000007050000}"/>
    <cellStyle name="Milliers 9 3" xfId="1103" xr:uid="{00000000-0005-0000-0000-000008050000}"/>
    <cellStyle name="Milliers 9 3 2" xfId="2518" xr:uid="{00000000-0005-0000-0000-000009050000}"/>
    <cellStyle name="Milliers 9 4" xfId="1475" xr:uid="{00000000-0005-0000-0000-00000A050000}"/>
    <cellStyle name="Milliers 9 5" xfId="2118" xr:uid="{00000000-0005-0000-0000-00000B050000}"/>
    <cellStyle name="Neutre 2" xfId="687" xr:uid="{00000000-0005-0000-0000-00000C050000}"/>
    <cellStyle name="Normal" xfId="0" builtinId="0"/>
    <cellStyle name="Normal 10" xfId="328" xr:uid="{00000000-0005-0000-0000-00000E050000}"/>
    <cellStyle name="Normal 11" xfId="656" xr:uid="{00000000-0005-0000-0000-00000F050000}"/>
    <cellStyle name="Normal 11 2" xfId="2116" xr:uid="{00000000-0005-0000-0000-000010050000}"/>
    <cellStyle name="Normal 12" xfId="699" xr:uid="{00000000-0005-0000-0000-000011050000}"/>
    <cellStyle name="Normal 12 2" xfId="882" xr:uid="{00000000-0005-0000-0000-000012050000}"/>
    <cellStyle name="Normal 12 2 2" xfId="2297" xr:uid="{00000000-0005-0000-0000-000013050000}"/>
    <cellStyle name="Normal 12 3" xfId="1102" xr:uid="{00000000-0005-0000-0000-000014050000}"/>
    <cellStyle name="Normal 12 3 2" xfId="2517" xr:uid="{00000000-0005-0000-0000-000015050000}"/>
    <cellStyle name="Normal 12 4" xfId="1474" xr:uid="{00000000-0005-0000-0000-000016050000}"/>
    <cellStyle name="Normal 12 5" xfId="2117" xr:uid="{00000000-0005-0000-0000-000017050000}"/>
    <cellStyle name="Normal 13" xfId="639" xr:uid="{00000000-0005-0000-0000-000018050000}"/>
    <cellStyle name="Normal 14" xfId="327" xr:uid="{00000000-0005-0000-0000-000019050000}"/>
    <cellStyle name="Normal 14 2" xfId="1797" xr:uid="{00000000-0005-0000-0000-00001A050000}"/>
    <cellStyle name="Normal 15" xfId="716" xr:uid="{00000000-0005-0000-0000-00001B050000}"/>
    <cellStyle name="Normal 2" xfId="7" xr:uid="{00000000-0005-0000-0000-00001C050000}"/>
    <cellStyle name="Normal 2 2" xfId="8" xr:uid="{00000000-0005-0000-0000-00001D050000}"/>
    <cellStyle name="Normal 2 3" xfId="9" xr:uid="{00000000-0005-0000-0000-00001E050000}"/>
    <cellStyle name="Normal 2 3 2" xfId="688" xr:uid="{00000000-0005-0000-0000-00001F050000}"/>
    <cellStyle name="Normal 3" xfId="10" xr:uid="{00000000-0005-0000-0000-000020050000}"/>
    <cellStyle name="Normal 3 10" xfId="140" xr:uid="{00000000-0005-0000-0000-000021050000}"/>
    <cellStyle name="Normal 3 10 2" xfId="294" xr:uid="{00000000-0005-0000-0000-000022050000}"/>
    <cellStyle name="Normal 3 10 2 2" xfId="606" xr:uid="{00000000-0005-0000-0000-000023050000}"/>
    <cellStyle name="Normal 3 10 2 2 2" xfId="2073" xr:uid="{00000000-0005-0000-0000-000024050000}"/>
    <cellStyle name="Normal 3 10 2 3" xfId="1432" xr:uid="{00000000-0005-0000-0000-000025050000}"/>
    <cellStyle name="Normal 3 10 2 4" xfId="1764" xr:uid="{00000000-0005-0000-0000-000026050000}"/>
    <cellStyle name="Normal 3 10 3" xfId="452" xr:uid="{00000000-0005-0000-0000-000027050000}"/>
    <cellStyle name="Normal 3 10 3 2" xfId="1919" xr:uid="{00000000-0005-0000-0000-000028050000}"/>
    <cellStyle name="Normal 3 10 4" xfId="801" xr:uid="{00000000-0005-0000-0000-000029050000}"/>
    <cellStyle name="Normal 3 10 4 2" xfId="2216" xr:uid="{00000000-0005-0000-0000-00002A050000}"/>
    <cellStyle name="Normal 3 10 5" xfId="1021" xr:uid="{00000000-0005-0000-0000-00002B050000}"/>
    <cellStyle name="Normal 3 10 5 2" xfId="2436" xr:uid="{00000000-0005-0000-0000-00002C050000}"/>
    <cellStyle name="Normal 3 10 6" xfId="1278" xr:uid="{00000000-0005-0000-0000-00002D050000}"/>
    <cellStyle name="Normal 3 10 7" xfId="1610" xr:uid="{00000000-0005-0000-0000-00002E050000}"/>
    <cellStyle name="Normal 3 11" xfId="157" xr:uid="{00000000-0005-0000-0000-00002F050000}"/>
    <cellStyle name="Normal 3 11 2" xfId="311" xr:uid="{00000000-0005-0000-0000-000030050000}"/>
    <cellStyle name="Normal 3 11 2 2" xfId="623" xr:uid="{00000000-0005-0000-0000-000031050000}"/>
    <cellStyle name="Normal 3 11 2 2 2" xfId="2090" xr:uid="{00000000-0005-0000-0000-000032050000}"/>
    <cellStyle name="Normal 3 11 2 3" xfId="1449" xr:uid="{00000000-0005-0000-0000-000033050000}"/>
    <cellStyle name="Normal 3 11 2 4" xfId="1781" xr:uid="{00000000-0005-0000-0000-000034050000}"/>
    <cellStyle name="Normal 3 11 3" xfId="469" xr:uid="{00000000-0005-0000-0000-000035050000}"/>
    <cellStyle name="Normal 3 11 3 2" xfId="1936" xr:uid="{00000000-0005-0000-0000-000036050000}"/>
    <cellStyle name="Normal 3 11 4" xfId="799" xr:uid="{00000000-0005-0000-0000-000037050000}"/>
    <cellStyle name="Normal 3 11 4 2" xfId="2214" xr:uid="{00000000-0005-0000-0000-000038050000}"/>
    <cellStyle name="Normal 3 11 5" xfId="1019" xr:uid="{00000000-0005-0000-0000-000039050000}"/>
    <cellStyle name="Normal 3 11 5 2" xfId="2434" xr:uid="{00000000-0005-0000-0000-00003A050000}"/>
    <cellStyle name="Normal 3 11 6" xfId="1295" xr:uid="{00000000-0005-0000-0000-00003B050000}"/>
    <cellStyle name="Normal 3 11 7" xfId="1627" xr:uid="{00000000-0005-0000-0000-00003C050000}"/>
    <cellStyle name="Normal 3 12" xfId="174" xr:uid="{00000000-0005-0000-0000-00003D050000}"/>
    <cellStyle name="Normal 3 12 2" xfId="486" xr:uid="{00000000-0005-0000-0000-00003E050000}"/>
    <cellStyle name="Normal 3 12 2 2" xfId="1953" xr:uid="{00000000-0005-0000-0000-00003F050000}"/>
    <cellStyle name="Normal 3 12 3" xfId="885" xr:uid="{00000000-0005-0000-0000-000040050000}"/>
    <cellStyle name="Normal 3 12 3 2" xfId="2300" xr:uid="{00000000-0005-0000-0000-000041050000}"/>
    <cellStyle name="Normal 3 12 4" xfId="1105" xr:uid="{00000000-0005-0000-0000-000042050000}"/>
    <cellStyle name="Normal 3 12 4 2" xfId="2520" xr:uid="{00000000-0005-0000-0000-000043050000}"/>
    <cellStyle name="Normal 3 12 5" xfId="1312" xr:uid="{00000000-0005-0000-0000-000044050000}"/>
    <cellStyle name="Normal 3 12 6" xfId="1644" xr:uid="{00000000-0005-0000-0000-000045050000}"/>
    <cellStyle name="Normal 3 13" xfId="707" xr:uid="{00000000-0005-0000-0000-000046050000}"/>
    <cellStyle name="Normal 3 13 2" xfId="914" xr:uid="{00000000-0005-0000-0000-000047050000}"/>
    <cellStyle name="Normal 3 13 2 2" xfId="2329" xr:uid="{00000000-0005-0000-0000-000048050000}"/>
    <cellStyle name="Normal 3 13 3" xfId="1134" xr:uid="{00000000-0005-0000-0000-000049050000}"/>
    <cellStyle name="Normal 3 13 3 2" xfId="2549" xr:uid="{00000000-0005-0000-0000-00004A050000}"/>
    <cellStyle name="Normal 3 13 4" xfId="1480" xr:uid="{00000000-0005-0000-0000-00004B050000}"/>
    <cellStyle name="Normal 3 13 5" xfId="2123" xr:uid="{00000000-0005-0000-0000-00004C050000}"/>
    <cellStyle name="Normal 3 14" xfId="331" xr:uid="{00000000-0005-0000-0000-00004D050000}"/>
    <cellStyle name="Normal 3 14 2" xfId="1799" xr:uid="{00000000-0005-0000-0000-00004E050000}"/>
    <cellStyle name="Normal 3 15" xfId="718" xr:uid="{00000000-0005-0000-0000-00004F050000}"/>
    <cellStyle name="Normal 3 15 2" xfId="2133" xr:uid="{00000000-0005-0000-0000-000050050000}"/>
    <cellStyle name="Normal 3 16" xfId="938" xr:uid="{00000000-0005-0000-0000-000051050000}"/>
    <cellStyle name="Normal 3 16 2" xfId="2353" xr:uid="{00000000-0005-0000-0000-000052050000}"/>
    <cellStyle name="Normal 3 17" xfId="1158" xr:uid="{00000000-0005-0000-0000-000053050000}"/>
    <cellStyle name="Normal 3 18" xfId="1490" xr:uid="{00000000-0005-0000-0000-000054050000}"/>
    <cellStyle name="Normal 3 2" xfId="17" xr:uid="{00000000-0005-0000-0000-000055050000}"/>
    <cellStyle name="Normal 3 2 10" xfId="159" xr:uid="{00000000-0005-0000-0000-000056050000}"/>
    <cellStyle name="Normal 3 2 10 2" xfId="313" xr:uid="{00000000-0005-0000-0000-000057050000}"/>
    <cellStyle name="Normal 3 2 10 2 2" xfId="625" xr:uid="{00000000-0005-0000-0000-000058050000}"/>
    <cellStyle name="Normal 3 2 10 2 2 2" xfId="2092" xr:uid="{00000000-0005-0000-0000-000059050000}"/>
    <cellStyle name="Normal 3 2 10 2 3" xfId="1451" xr:uid="{00000000-0005-0000-0000-00005A050000}"/>
    <cellStyle name="Normal 3 2 10 2 4" xfId="1783" xr:uid="{00000000-0005-0000-0000-00005B050000}"/>
    <cellStyle name="Normal 3 2 10 3" xfId="471" xr:uid="{00000000-0005-0000-0000-00005C050000}"/>
    <cellStyle name="Normal 3 2 10 3 2" xfId="1938" xr:uid="{00000000-0005-0000-0000-00005D050000}"/>
    <cellStyle name="Normal 3 2 10 4" xfId="916" xr:uid="{00000000-0005-0000-0000-00005E050000}"/>
    <cellStyle name="Normal 3 2 10 4 2" xfId="2331" xr:uid="{00000000-0005-0000-0000-00005F050000}"/>
    <cellStyle name="Normal 3 2 10 5" xfId="1136" xr:uid="{00000000-0005-0000-0000-000060050000}"/>
    <cellStyle name="Normal 3 2 10 5 2" xfId="2551" xr:uid="{00000000-0005-0000-0000-000061050000}"/>
    <cellStyle name="Normal 3 2 10 6" xfId="1297" xr:uid="{00000000-0005-0000-0000-000062050000}"/>
    <cellStyle name="Normal 3 2 10 7" xfId="1629" xr:uid="{00000000-0005-0000-0000-000063050000}"/>
    <cellStyle name="Normal 3 2 11" xfId="176" xr:uid="{00000000-0005-0000-0000-000064050000}"/>
    <cellStyle name="Normal 3 2 11 2" xfId="488" xr:uid="{00000000-0005-0000-0000-000065050000}"/>
    <cellStyle name="Normal 3 2 11 2 2" xfId="1955" xr:uid="{00000000-0005-0000-0000-000066050000}"/>
    <cellStyle name="Normal 3 2 11 3" xfId="1314" xr:uid="{00000000-0005-0000-0000-000067050000}"/>
    <cellStyle name="Normal 3 2 11 4" xfId="1646" xr:uid="{00000000-0005-0000-0000-000068050000}"/>
    <cellStyle name="Normal 3 2 12" xfId="334" xr:uid="{00000000-0005-0000-0000-000069050000}"/>
    <cellStyle name="Normal 3 2 12 2" xfId="1801" xr:uid="{00000000-0005-0000-0000-00006A050000}"/>
    <cellStyle name="Normal 3 2 13" xfId="720" xr:uid="{00000000-0005-0000-0000-00006B050000}"/>
    <cellStyle name="Normal 3 2 13 2" xfId="2135" xr:uid="{00000000-0005-0000-0000-00006C050000}"/>
    <cellStyle name="Normal 3 2 14" xfId="940" xr:uid="{00000000-0005-0000-0000-00006D050000}"/>
    <cellStyle name="Normal 3 2 14 2" xfId="2355" xr:uid="{00000000-0005-0000-0000-00006E050000}"/>
    <cellStyle name="Normal 3 2 15" xfId="1160" xr:uid="{00000000-0005-0000-0000-00006F050000}"/>
    <cellStyle name="Normal 3 2 16" xfId="1492" xr:uid="{00000000-0005-0000-0000-000070050000}"/>
    <cellStyle name="Normal 3 2 2" xfId="24" xr:uid="{00000000-0005-0000-0000-000071050000}"/>
    <cellStyle name="Normal 3 2 2 10" xfId="339" xr:uid="{00000000-0005-0000-0000-000072050000}"/>
    <cellStyle name="Normal 3 2 2 10 2" xfId="1806" xr:uid="{00000000-0005-0000-0000-000073050000}"/>
    <cellStyle name="Normal 3 2 2 11" xfId="725" xr:uid="{00000000-0005-0000-0000-000074050000}"/>
    <cellStyle name="Normal 3 2 2 11 2" xfId="2140" xr:uid="{00000000-0005-0000-0000-000075050000}"/>
    <cellStyle name="Normal 3 2 2 12" xfId="945" xr:uid="{00000000-0005-0000-0000-000076050000}"/>
    <cellStyle name="Normal 3 2 2 12 2" xfId="2360" xr:uid="{00000000-0005-0000-0000-000077050000}"/>
    <cellStyle name="Normal 3 2 2 13" xfId="1165" xr:uid="{00000000-0005-0000-0000-000078050000}"/>
    <cellStyle name="Normal 3 2 2 14" xfId="1497" xr:uid="{00000000-0005-0000-0000-000079050000}"/>
    <cellStyle name="Normal 3 2 2 2" xfId="36" xr:uid="{00000000-0005-0000-0000-00007A050000}"/>
    <cellStyle name="Normal 3 2 2 2 10" xfId="1176" xr:uid="{00000000-0005-0000-0000-00007B050000}"/>
    <cellStyle name="Normal 3 2 2 2 11" xfId="1508" xr:uid="{00000000-0005-0000-0000-00007C050000}"/>
    <cellStyle name="Normal 3 2 2 2 2" xfId="60" xr:uid="{00000000-0005-0000-0000-00007D050000}"/>
    <cellStyle name="Normal 3 2 2 2 2 2" xfId="216" xr:uid="{00000000-0005-0000-0000-00007E050000}"/>
    <cellStyle name="Normal 3 2 2 2 2 2 2" xfId="528" xr:uid="{00000000-0005-0000-0000-00007F050000}"/>
    <cellStyle name="Normal 3 2 2 2 2 2 2 2" xfId="1995" xr:uid="{00000000-0005-0000-0000-000080050000}"/>
    <cellStyle name="Normal 3 2 2 2 2 2 3" xfId="849" xr:uid="{00000000-0005-0000-0000-000081050000}"/>
    <cellStyle name="Normal 3 2 2 2 2 2 3 2" xfId="2264" xr:uid="{00000000-0005-0000-0000-000082050000}"/>
    <cellStyle name="Normal 3 2 2 2 2 2 4" xfId="1069" xr:uid="{00000000-0005-0000-0000-000083050000}"/>
    <cellStyle name="Normal 3 2 2 2 2 2 4 2" xfId="2484" xr:uid="{00000000-0005-0000-0000-000084050000}"/>
    <cellStyle name="Normal 3 2 2 2 2 2 5" xfId="1354" xr:uid="{00000000-0005-0000-0000-000085050000}"/>
    <cellStyle name="Normal 3 2 2 2 2 2 6" xfId="1686" xr:uid="{00000000-0005-0000-0000-000086050000}"/>
    <cellStyle name="Normal 3 2 2 2 2 3" xfId="374" xr:uid="{00000000-0005-0000-0000-000087050000}"/>
    <cellStyle name="Normal 3 2 2 2 2 3 2" xfId="1841" xr:uid="{00000000-0005-0000-0000-000088050000}"/>
    <cellStyle name="Normal 3 2 2 2 2 4" xfId="766" xr:uid="{00000000-0005-0000-0000-000089050000}"/>
    <cellStyle name="Normal 3 2 2 2 2 4 2" xfId="2181" xr:uid="{00000000-0005-0000-0000-00008A050000}"/>
    <cellStyle name="Normal 3 2 2 2 2 5" xfId="986" xr:uid="{00000000-0005-0000-0000-00008B050000}"/>
    <cellStyle name="Normal 3 2 2 2 2 5 2" xfId="2401" xr:uid="{00000000-0005-0000-0000-00008C050000}"/>
    <cellStyle name="Normal 3 2 2 2 2 6" xfId="1200" xr:uid="{00000000-0005-0000-0000-00008D050000}"/>
    <cellStyle name="Normal 3 2 2 2 2 7" xfId="1532" xr:uid="{00000000-0005-0000-0000-00008E050000}"/>
    <cellStyle name="Normal 3 2 2 2 3" xfId="80" xr:uid="{00000000-0005-0000-0000-00008F050000}"/>
    <cellStyle name="Normal 3 2 2 2 3 2" xfId="236" xr:uid="{00000000-0005-0000-0000-000090050000}"/>
    <cellStyle name="Normal 3 2 2 2 3 2 2" xfId="548" xr:uid="{00000000-0005-0000-0000-000091050000}"/>
    <cellStyle name="Normal 3 2 2 2 3 2 2 2" xfId="2015" xr:uid="{00000000-0005-0000-0000-000092050000}"/>
    <cellStyle name="Normal 3 2 2 2 3 2 3" xfId="878" xr:uid="{00000000-0005-0000-0000-000093050000}"/>
    <cellStyle name="Normal 3 2 2 2 3 2 3 2" xfId="2293" xr:uid="{00000000-0005-0000-0000-000094050000}"/>
    <cellStyle name="Normal 3 2 2 2 3 2 4" xfId="1098" xr:uid="{00000000-0005-0000-0000-000095050000}"/>
    <cellStyle name="Normal 3 2 2 2 3 2 4 2" xfId="2513" xr:uid="{00000000-0005-0000-0000-000096050000}"/>
    <cellStyle name="Normal 3 2 2 2 3 2 5" xfId="1374" xr:uid="{00000000-0005-0000-0000-000097050000}"/>
    <cellStyle name="Normal 3 2 2 2 3 2 6" xfId="1706" xr:uid="{00000000-0005-0000-0000-000098050000}"/>
    <cellStyle name="Normal 3 2 2 2 3 3" xfId="394" xr:uid="{00000000-0005-0000-0000-000099050000}"/>
    <cellStyle name="Normal 3 2 2 2 3 3 2" xfId="1861" xr:uid="{00000000-0005-0000-0000-00009A050000}"/>
    <cellStyle name="Normal 3 2 2 2 3 4" xfId="795" xr:uid="{00000000-0005-0000-0000-00009B050000}"/>
    <cellStyle name="Normal 3 2 2 2 3 4 2" xfId="2210" xr:uid="{00000000-0005-0000-0000-00009C050000}"/>
    <cellStyle name="Normal 3 2 2 2 3 5" xfId="1015" xr:uid="{00000000-0005-0000-0000-00009D050000}"/>
    <cellStyle name="Normal 3 2 2 2 3 5 2" xfId="2430" xr:uid="{00000000-0005-0000-0000-00009E050000}"/>
    <cellStyle name="Normal 3 2 2 2 3 6" xfId="1220" xr:uid="{00000000-0005-0000-0000-00009F050000}"/>
    <cellStyle name="Normal 3 2 2 2 3 7" xfId="1552" xr:uid="{00000000-0005-0000-0000-0000A0050000}"/>
    <cellStyle name="Normal 3 2 2 2 4" xfId="112" xr:uid="{00000000-0005-0000-0000-0000A1050000}"/>
    <cellStyle name="Normal 3 2 2 2 4 2" xfId="266" xr:uid="{00000000-0005-0000-0000-0000A2050000}"/>
    <cellStyle name="Normal 3 2 2 2 4 2 2" xfId="578" xr:uid="{00000000-0005-0000-0000-0000A3050000}"/>
    <cellStyle name="Normal 3 2 2 2 4 2 2 2" xfId="2045" xr:uid="{00000000-0005-0000-0000-0000A4050000}"/>
    <cellStyle name="Normal 3 2 2 2 4 2 3" xfId="1404" xr:uid="{00000000-0005-0000-0000-0000A5050000}"/>
    <cellStyle name="Normal 3 2 2 2 4 2 4" xfId="1736" xr:uid="{00000000-0005-0000-0000-0000A6050000}"/>
    <cellStyle name="Normal 3 2 2 2 4 3" xfId="424" xr:uid="{00000000-0005-0000-0000-0000A7050000}"/>
    <cellStyle name="Normal 3 2 2 2 4 3 2" xfId="1891" xr:uid="{00000000-0005-0000-0000-0000A8050000}"/>
    <cellStyle name="Normal 3 2 2 2 4 4" xfId="819" xr:uid="{00000000-0005-0000-0000-0000A9050000}"/>
    <cellStyle name="Normal 3 2 2 2 4 4 2" xfId="2234" xr:uid="{00000000-0005-0000-0000-0000AA050000}"/>
    <cellStyle name="Normal 3 2 2 2 4 5" xfId="1039" xr:uid="{00000000-0005-0000-0000-0000AB050000}"/>
    <cellStyle name="Normal 3 2 2 2 4 5 2" xfId="2454" xr:uid="{00000000-0005-0000-0000-0000AC050000}"/>
    <cellStyle name="Normal 3 2 2 2 4 6" xfId="1250" xr:uid="{00000000-0005-0000-0000-0000AD050000}"/>
    <cellStyle name="Normal 3 2 2 2 4 7" xfId="1582" xr:uid="{00000000-0005-0000-0000-0000AE050000}"/>
    <cellStyle name="Normal 3 2 2 2 5" xfId="192" xr:uid="{00000000-0005-0000-0000-0000AF050000}"/>
    <cellStyle name="Normal 3 2 2 2 5 2" xfId="504" xr:uid="{00000000-0005-0000-0000-0000B0050000}"/>
    <cellStyle name="Normal 3 2 2 2 5 2 2" xfId="1971" xr:uid="{00000000-0005-0000-0000-0000B1050000}"/>
    <cellStyle name="Normal 3 2 2 2 5 3" xfId="909" xr:uid="{00000000-0005-0000-0000-0000B2050000}"/>
    <cellStyle name="Normal 3 2 2 2 5 3 2" xfId="2324" xr:uid="{00000000-0005-0000-0000-0000B3050000}"/>
    <cellStyle name="Normal 3 2 2 2 5 4" xfId="1129" xr:uid="{00000000-0005-0000-0000-0000B4050000}"/>
    <cellStyle name="Normal 3 2 2 2 5 4 2" xfId="2544" xr:uid="{00000000-0005-0000-0000-0000B5050000}"/>
    <cellStyle name="Normal 3 2 2 2 5 5" xfId="1330" xr:uid="{00000000-0005-0000-0000-0000B6050000}"/>
    <cellStyle name="Normal 3 2 2 2 5 6" xfId="1662" xr:uid="{00000000-0005-0000-0000-0000B7050000}"/>
    <cellStyle name="Normal 3 2 2 2 6" xfId="711" xr:uid="{00000000-0005-0000-0000-0000B8050000}"/>
    <cellStyle name="Normal 3 2 2 2 6 2" xfId="932" xr:uid="{00000000-0005-0000-0000-0000B9050000}"/>
    <cellStyle name="Normal 3 2 2 2 6 2 2" xfId="2347" xr:uid="{00000000-0005-0000-0000-0000BA050000}"/>
    <cellStyle name="Normal 3 2 2 2 6 3" xfId="1152" xr:uid="{00000000-0005-0000-0000-0000BB050000}"/>
    <cellStyle name="Normal 3 2 2 2 6 3 2" xfId="2567" xr:uid="{00000000-0005-0000-0000-0000BC050000}"/>
    <cellStyle name="Normal 3 2 2 2 6 4" xfId="1484" xr:uid="{00000000-0005-0000-0000-0000BD050000}"/>
    <cellStyle name="Normal 3 2 2 2 6 5" xfId="2127" xr:uid="{00000000-0005-0000-0000-0000BE050000}"/>
    <cellStyle name="Normal 3 2 2 2 7" xfId="350" xr:uid="{00000000-0005-0000-0000-0000BF050000}"/>
    <cellStyle name="Normal 3 2 2 2 7 2" xfId="1817" xr:uid="{00000000-0005-0000-0000-0000C0050000}"/>
    <cellStyle name="Normal 3 2 2 2 8" xfId="736" xr:uid="{00000000-0005-0000-0000-0000C1050000}"/>
    <cellStyle name="Normal 3 2 2 2 8 2" xfId="2151" xr:uid="{00000000-0005-0000-0000-0000C2050000}"/>
    <cellStyle name="Normal 3 2 2 2 9" xfId="956" xr:uid="{00000000-0005-0000-0000-0000C3050000}"/>
    <cellStyle name="Normal 3 2 2 2 9 2" xfId="2371" xr:uid="{00000000-0005-0000-0000-0000C4050000}"/>
    <cellStyle name="Normal 3 2 2 3" xfId="49" xr:uid="{00000000-0005-0000-0000-0000C5050000}"/>
    <cellStyle name="Normal 3 2 2 3 2" xfId="205" xr:uid="{00000000-0005-0000-0000-0000C6050000}"/>
    <cellStyle name="Normal 3 2 2 3 2 2" xfId="517" xr:uid="{00000000-0005-0000-0000-0000C7050000}"/>
    <cellStyle name="Normal 3 2 2 3 2 2 2" xfId="1984" xr:uid="{00000000-0005-0000-0000-0000C8050000}"/>
    <cellStyle name="Normal 3 2 2 3 2 3" xfId="832" xr:uid="{00000000-0005-0000-0000-0000C9050000}"/>
    <cellStyle name="Normal 3 2 2 3 2 3 2" xfId="2247" xr:uid="{00000000-0005-0000-0000-0000CA050000}"/>
    <cellStyle name="Normal 3 2 2 3 2 4" xfId="1052" xr:uid="{00000000-0005-0000-0000-0000CB050000}"/>
    <cellStyle name="Normal 3 2 2 3 2 4 2" xfId="2467" xr:uid="{00000000-0005-0000-0000-0000CC050000}"/>
    <cellStyle name="Normal 3 2 2 3 2 5" xfId="1343" xr:uid="{00000000-0005-0000-0000-0000CD050000}"/>
    <cellStyle name="Normal 3 2 2 3 2 6" xfId="1675" xr:uid="{00000000-0005-0000-0000-0000CE050000}"/>
    <cellStyle name="Normal 3 2 2 3 3" xfId="363" xr:uid="{00000000-0005-0000-0000-0000CF050000}"/>
    <cellStyle name="Normal 3 2 2 3 3 2" xfId="1830" xr:uid="{00000000-0005-0000-0000-0000D0050000}"/>
    <cellStyle name="Normal 3 2 2 3 4" xfId="749" xr:uid="{00000000-0005-0000-0000-0000D1050000}"/>
    <cellStyle name="Normal 3 2 2 3 4 2" xfId="2164" xr:uid="{00000000-0005-0000-0000-0000D2050000}"/>
    <cellStyle name="Normal 3 2 2 3 5" xfId="969" xr:uid="{00000000-0005-0000-0000-0000D3050000}"/>
    <cellStyle name="Normal 3 2 2 3 5 2" xfId="2384" xr:uid="{00000000-0005-0000-0000-0000D4050000}"/>
    <cellStyle name="Normal 3 2 2 3 6" xfId="1189" xr:uid="{00000000-0005-0000-0000-0000D5050000}"/>
    <cellStyle name="Normal 3 2 2 3 7" xfId="1521" xr:uid="{00000000-0005-0000-0000-0000D6050000}"/>
    <cellStyle name="Normal 3 2 2 4" xfId="76" xr:uid="{00000000-0005-0000-0000-0000D7050000}"/>
    <cellStyle name="Normal 3 2 2 4 2" xfId="232" xr:uid="{00000000-0005-0000-0000-0000D8050000}"/>
    <cellStyle name="Normal 3 2 2 4 2 2" xfId="544" xr:uid="{00000000-0005-0000-0000-0000D9050000}"/>
    <cellStyle name="Normal 3 2 2 4 2 2 2" xfId="2011" xr:uid="{00000000-0005-0000-0000-0000DA050000}"/>
    <cellStyle name="Normal 3 2 2 4 2 3" xfId="861" xr:uid="{00000000-0005-0000-0000-0000DB050000}"/>
    <cellStyle name="Normal 3 2 2 4 2 3 2" xfId="2276" xr:uid="{00000000-0005-0000-0000-0000DC050000}"/>
    <cellStyle name="Normal 3 2 2 4 2 4" xfId="1081" xr:uid="{00000000-0005-0000-0000-0000DD050000}"/>
    <cellStyle name="Normal 3 2 2 4 2 4 2" xfId="2496" xr:uid="{00000000-0005-0000-0000-0000DE050000}"/>
    <cellStyle name="Normal 3 2 2 4 2 5" xfId="1370" xr:uid="{00000000-0005-0000-0000-0000DF050000}"/>
    <cellStyle name="Normal 3 2 2 4 2 6" xfId="1702" xr:uid="{00000000-0005-0000-0000-0000E0050000}"/>
    <cellStyle name="Normal 3 2 2 4 3" xfId="390" xr:uid="{00000000-0005-0000-0000-0000E1050000}"/>
    <cellStyle name="Normal 3 2 2 4 3 2" xfId="1857" xr:uid="{00000000-0005-0000-0000-0000E2050000}"/>
    <cellStyle name="Normal 3 2 2 4 4" xfId="778" xr:uid="{00000000-0005-0000-0000-0000E3050000}"/>
    <cellStyle name="Normal 3 2 2 4 4 2" xfId="2193" xr:uid="{00000000-0005-0000-0000-0000E4050000}"/>
    <cellStyle name="Normal 3 2 2 4 5" xfId="998" xr:uid="{00000000-0005-0000-0000-0000E5050000}"/>
    <cellStyle name="Normal 3 2 2 4 5 2" xfId="2413" xr:uid="{00000000-0005-0000-0000-0000E6050000}"/>
    <cellStyle name="Normal 3 2 2 4 6" xfId="1216" xr:uid="{00000000-0005-0000-0000-0000E7050000}"/>
    <cellStyle name="Normal 3 2 2 4 7" xfId="1548" xr:uid="{00000000-0005-0000-0000-0000E8050000}"/>
    <cellStyle name="Normal 3 2 2 5" xfId="101" xr:uid="{00000000-0005-0000-0000-0000E9050000}"/>
    <cellStyle name="Normal 3 2 2 5 2" xfId="255" xr:uid="{00000000-0005-0000-0000-0000EA050000}"/>
    <cellStyle name="Normal 3 2 2 5 2 2" xfId="567" xr:uid="{00000000-0005-0000-0000-0000EB050000}"/>
    <cellStyle name="Normal 3 2 2 5 2 2 2" xfId="2034" xr:uid="{00000000-0005-0000-0000-0000EC050000}"/>
    <cellStyle name="Normal 3 2 2 5 2 3" xfId="1393" xr:uid="{00000000-0005-0000-0000-0000ED050000}"/>
    <cellStyle name="Normal 3 2 2 5 2 4" xfId="1725" xr:uid="{00000000-0005-0000-0000-0000EE050000}"/>
    <cellStyle name="Normal 3 2 2 5 3" xfId="413" xr:uid="{00000000-0005-0000-0000-0000EF050000}"/>
    <cellStyle name="Normal 3 2 2 5 3 2" xfId="1880" xr:uid="{00000000-0005-0000-0000-0000F0050000}"/>
    <cellStyle name="Normal 3 2 2 5 4" xfId="808" xr:uid="{00000000-0005-0000-0000-0000F1050000}"/>
    <cellStyle name="Normal 3 2 2 5 4 2" xfId="2223" xr:uid="{00000000-0005-0000-0000-0000F2050000}"/>
    <cellStyle name="Normal 3 2 2 5 5" xfId="1028" xr:uid="{00000000-0005-0000-0000-0000F3050000}"/>
    <cellStyle name="Normal 3 2 2 5 5 2" xfId="2443" xr:uid="{00000000-0005-0000-0000-0000F4050000}"/>
    <cellStyle name="Normal 3 2 2 5 6" xfId="1239" xr:uid="{00000000-0005-0000-0000-0000F5050000}"/>
    <cellStyle name="Normal 3 2 2 5 7" xfId="1571" xr:uid="{00000000-0005-0000-0000-0000F6050000}"/>
    <cellStyle name="Normal 3 2 2 6" xfId="128" xr:uid="{00000000-0005-0000-0000-0000F7050000}"/>
    <cellStyle name="Normal 3 2 2 6 2" xfId="282" xr:uid="{00000000-0005-0000-0000-0000F8050000}"/>
    <cellStyle name="Normal 3 2 2 6 2 2" xfId="594" xr:uid="{00000000-0005-0000-0000-0000F9050000}"/>
    <cellStyle name="Normal 3 2 2 6 2 2 2" xfId="2061" xr:uid="{00000000-0005-0000-0000-0000FA050000}"/>
    <cellStyle name="Normal 3 2 2 6 2 3" xfId="1420" xr:uid="{00000000-0005-0000-0000-0000FB050000}"/>
    <cellStyle name="Normal 3 2 2 6 2 4" xfId="1752" xr:uid="{00000000-0005-0000-0000-0000FC050000}"/>
    <cellStyle name="Normal 3 2 2 6 3" xfId="440" xr:uid="{00000000-0005-0000-0000-0000FD050000}"/>
    <cellStyle name="Normal 3 2 2 6 3 2" xfId="1907" xr:uid="{00000000-0005-0000-0000-0000FE050000}"/>
    <cellStyle name="Normal 3 2 2 6 4" xfId="892" xr:uid="{00000000-0005-0000-0000-0000FF050000}"/>
    <cellStyle name="Normal 3 2 2 6 4 2" xfId="2307" xr:uid="{00000000-0005-0000-0000-000000060000}"/>
    <cellStyle name="Normal 3 2 2 6 5" xfId="1112" xr:uid="{00000000-0005-0000-0000-000001060000}"/>
    <cellStyle name="Normal 3 2 2 6 5 2" xfId="2527" xr:uid="{00000000-0005-0000-0000-000002060000}"/>
    <cellStyle name="Normal 3 2 2 6 6" xfId="1266" xr:uid="{00000000-0005-0000-0000-000003060000}"/>
    <cellStyle name="Normal 3 2 2 6 7" xfId="1598" xr:uid="{00000000-0005-0000-0000-000004060000}"/>
    <cellStyle name="Normal 3 2 2 7" xfId="147" xr:uid="{00000000-0005-0000-0000-000005060000}"/>
    <cellStyle name="Normal 3 2 2 7 2" xfId="301" xr:uid="{00000000-0005-0000-0000-000006060000}"/>
    <cellStyle name="Normal 3 2 2 7 2 2" xfId="613" xr:uid="{00000000-0005-0000-0000-000007060000}"/>
    <cellStyle name="Normal 3 2 2 7 2 2 2" xfId="2080" xr:uid="{00000000-0005-0000-0000-000008060000}"/>
    <cellStyle name="Normal 3 2 2 7 2 3" xfId="1439" xr:uid="{00000000-0005-0000-0000-000009060000}"/>
    <cellStyle name="Normal 3 2 2 7 2 4" xfId="1771" xr:uid="{00000000-0005-0000-0000-00000A060000}"/>
    <cellStyle name="Normal 3 2 2 7 3" xfId="459" xr:uid="{00000000-0005-0000-0000-00000B060000}"/>
    <cellStyle name="Normal 3 2 2 7 3 2" xfId="1926" xr:uid="{00000000-0005-0000-0000-00000C060000}"/>
    <cellStyle name="Normal 3 2 2 7 4" xfId="921" xr:uid="{00000000-0005-0000-0000-00000D060000}"/>
    <cellStyle name="Normal 3 2 2 7 4 2" xfId="2336" xr:uid="{00000000-0005-0000-0000-00000E060000}"/>
    <cellStyle name="Normal 3 2 2 7 5" xfId="1141" xr:uid="{00000000-0005-0000-0000-00000F060000}"/>
    <cellStyle name="Normal 3 2 2 7 5 2" xfId="2556" xr:uid="{00000000-0005-0000-0000-000010060000}"/>
    <cellStyle name="Normal 3 2 2 7 6" xfId="1285" xr:uid="{00000000-0005-0000-0000-000011060000}"/>
    <cellStyle name="Normal 3 2 2 7 7" xfId="1617" xr:uid="{00000000-0005-0000-0000-000012060000}"/>
    <cellStyle name="Normal 3 2 2 8" xfId="164" xr:uid="{00000000-0005-0000-0000-000013060000}"/>
    <cellStyle name="Normal 3 2 2 8 2" xfId="318" xr:uid="{00000000-0005-0000-0000-000014060000}"/>
    <cellStyle name="Normal 3 2 2 8 2 2" xfId="630" xr:uid="{00000000-0005-0000-0000-000015060000}"/>
    <cellStyle name="Normal 3 2 2 8 2 2 2" xfId="2097" xr:uid="{00000000-0005-0000-0000-000016060000}"/>
    <cellStyle name="Normal 3 2 2 8 2 3" xfId="1456" xr:uid="{00000000-0005-0000-0000-000017060000}"/>
    <cellStyle name="Normal 3 2 2 8 2 4" xfId="1788" xr:uid="{00000000-0005-0000-0000-000018060000}"/>
    <cellStyle name="Normal 3 2 2 8 3" xfId="476" xr:uid="{00000000-0005-0000-0000-000019060000}"/>
    <cellStyle name="Normal 3 2 2 8 3 2" xfId="1943" xr:uid="{00000000-0005-0000-0000-00001A060000}"/>
    <cellStyle name="Normal 3 2 2 8 4" xfId="1302" xr:uid="{00000000-0005-0000-0000-00001B060000}"/>
    <cellStyle name="Normal 3 2 2 8 5" xfId="1634" xr:uid="{00000000-0005-0000-0000-00001C060000}"/>
    <cellStyle name="Normal 3 2 2 9" xfId="181" xr:uid="{00000000-0005-0000-0000-00001D060000}"/>
    <cellStyle name="Normal 3 2 2 9 2" xfId="493" xr:uid="{00000000-0005-0000-0000-00001E060000}"/>
    <cellStyle name="Normal 3 2 2 9 2 2" xfId="1960" xr:uid="{00000000-0005-0000-0000-00001F060000}"/>
    <cellStyle name="Normal 3 2 2 9 3" xfId="1319" xr:uid="{00000000-0005-0000-0000-000020060000}"/>
    <cellStyle name="Normal 3 2 2 9 4" xfId="1651" xr:uid="{00000000-0005-0000-0000-000021060000}"/>
    <cellStyle name="Normal 3 2 3" xfId="25" xr:uid="{00000000-0005-0000-0000-000022060000}"/>
    <cellStyle name="Normal 3 2 3 10" xfId="340" xr:uid="{00000000-0005-0000-0000-000023060000}"/>
    <cellStyle name="Normal 3 2 3 10 2" xfId="1807" xr:uid="{00000000-0005-0000-0000-000024060000}"/>
    <cellStyle name="Normal 3 2 3 11" xfId="726" xr:uid="{00000000-0005-0000-0000-000025060000}"/>
    <cellStyle name="Normal 3 2 3 11 2" xfId="2141" xr:uid="{00000000-0005-0000-0000-000026060000}"/>
    <cellStyle name="Normal 3 2 3 12" xfId="946" xr:uid="{00000000-0005-0000-0000-000027060000}"/>
    <cellStyle name="Normal 3 2 3 12 2" xfId="2361" xr:uid="{00000000-0005-0000-0000-000028060000}"/>
    <cellStyle name="Normal 3 2 3 13" xfId="1166" xr:uid="{00000000-0005-0000-0000-000029060000}"/>
    <cellStyle name="Normal 3 2 3 14" xfId="1498" xr:uid="{00000000-0005-0000-0000-00002A060000}"/>
    <cellStyle name="Normal 3 2 3 2" xfId="40" xr:uid="{00000000-0005-0000-0000-00002B060000}"/>
    <cellStyle name="Normal 3 2 3 2 10" xfId="1180" xr:uid="{00000000-0005-0000-0000-00002C060000}"/>
    <cellStyle name="Normal 3 2 3 2 11" xfId="1512" xr:uid="{00000000-0005-0000-0000-00002D060000}"/>
    <cellStyle name="Normal 3 2 3 2 2" xfId="64" xr:uid="{00000000-0005-0000-0000-00002E060000}"/>
    <cellStyle name="Normal 3 2 3 2 2 2" xfId="220" xr:uid="{00000000-0005-0000-0000-00002F060000}"/>
    <cellStyle name="Normal 3 2 3 2 2 2 2" xfId="532" xr:uid="{00000000-0005-0000-0000-000030060000}"/>
    <cellStyle name="Normal 3 2 3 2 2 2 2 2" xfId="1999" xr:uid="{00000000-0005-0000-0000-000031060000}"/>
    <cellStyle name="Normal 3 2 3 2 2 2 3" xfId="850" xr:uid="{00000000-0005-0000-0000-000032060000}"/>
    <cellStyle name="Normal 3 2 3 2 2 2 3 2" xfId="2265" xr:uid="{00000000-0005-0000-0000-000033060000}"/>
    <cellStyle name="Normal 3 2 3 2 2 2 4" xfId="1070" xr:uid="{00000000-0005-0000-0000-000034060000}"/>
    <cellStyle name="Normal 3 2 3 2 2 2 4 2" xfId="2485" xr:uid="{00000000-0005-0000-0000-000035060000}"/>
    <cellStyle name="Normal 3 2 3 2 2 2 5" xfId="1358" xr:uid="{00000000-0005-0000-0000-000036060000}"/>
    <cellStyle name="Normal 3 2 3 2 2 2 6" xfId="1690" xr:uid="{00000000-0005-0000-0000-000037060000}"/>
    <cellStyle name="Normal 3 2 3 2 2 3" xfId="378" xr:uid="{00000000-0005-0000-0000-000038060000}"/>
    <cellStyle name="Normal 3 2 3 2 2 3 2" xfId="1845" xr:uid="{00000000-0005-0000-0000-000039060000}"/>
    <cellStyle name="Normal 3 2 3 2 2 4" xfId="767" xr:uid="{00000000-0005-0000-0000-00003A060000}"/>
    <cellStyle name="Normal 3 2 3 2 2 4 2" xfId="2182" xr:uid="{00000000-0005-0000-0000-00003B060000}"/>
    <cellStyle name="Normal 3 2 3 2 2 5" xfId="987" xr:uid="{00000000-0005-0000-0000-00003C060000}"/>
    <cellStyle name="Normal 3 2 3 2 2 5 2" xfId="2402" xr:uid="{00000000-0005-0000-0000-00003D060000}"/>
    <cellStyle name="Normal 3 2 3 2 2 6" xfId="1204" xr:uid="{00000000-0005-0000-0000-00003E060000}"/>
    <cellStyle name="Normal 3 2 3 2 2 7" xfId="1536" xr:uid="{00000000-0005-0000-0000-00003F060000}"/>
    <cellStyle name="Normal 3 2 3 2 3" xfId="92" xr:uid="{00000000-0005-0000-0000-000040060000}"/>
    <cellStyle name="Normal 3 2 3 2 3 2" xfId="246" xr:uid="{00000000-0005-0000-0000-000041060000}"/>
    <cellStyle name="Normal 3 2 3 2 3 2 2" xfId="558" xr:uid="{00000000-0005-0000-0000-000042060000}"/>
    <cellStyle name="Normal 3 2 3 2 3 2 2 2" xfId="2025" xr:uid="{00000000-0005-0000-0000-000043060000}"/>
    <cellStyle name="Normal 3 2 3 2 3 2 3" xfId="879" xr:uid="{00000000-0005-0000-0000-000044060000}"/>
    <cellStyle name="Normal 3 2 3 2 3 2 3 2" xfId="2294" xr:uid="{00000000-0005-0000-0000-000045060000}"/>
    <cellStyle name="Normal 3 2 3 2 3 2 4" xfId="1099" xr:uid="{00000000-0005-0000-0000-000046060000}"/>
    <cellStyle name="Normal 3 2 3 2 3 2 4 2" xfId="2514" xr:uid="{00000000-0005-0000-0000-000047060000}"/>
    <cellStyle name="Normal 3 2 3 2 3 2 5" xfId="1384" xr:uid="{00000000-0005-0000-0000-000048060000}"/>
    <cellStyle name="Normal 3 2 3 2 3 2 6" xfId="1716" xr:uid="{00000000-0005-0000-0000-000049060000}"/>
    <cellStyle name="Normal 3 2 3 2 3 3" xfId="404" xr:uid="{00000000-0005-0000-0000-00004A060000}"/>
    <cellStyle name="Normal 3 2 3 2 3 3 2" xfId="1871" xr:uid="{00000000-0005-0000-0000-00004B060000}"/>
    <cellStyle name="Normal 3 2 3 2 3 4" xfId="796" xr:uid="{00000000-0005-0000-0000-00004C060000}"/>
    <cellStyle name="Normal 3 2 3 2 3 4 2" xfId="2211" xr:uid="{00000000-0005-0000-0000-00004D060000}"/>
    <cellStyle name="Normal 3 2 3 2 3 5" xfId="1016" xr:uid="{00000000-0005-0000-0000-00004E060000}"/>
    <cellStyle name="Normal 3 2 3 2 3 5 2" xfId="2431" xr:uid="{00000000-0005-0000-0000-00004F060000}"/>
    <cellStyle name="Normal 3 2 3 2 3 6" xfId="1230" xr:uid="{00000000-0005-0000-0000-000050060000}"/>
    <cellStyle name="Normal 3 2 3 2 3 7" xfId="1562" xr:uid="{00000000-0005-0000-0000-000051060000}"/>
    <cellStyle name="Normal 3 2 3 2 4" xfId="116" xr:uid="{00000000-0005-0000-0000-000052060000}"/>
    <cellStyle name="Normal 3 2 3 2 4 2" xfId="270" xr:uid="{00000000-0005-0000-0000-000053060000}"/>
    <cellStyle name="Normal 3 2 3 2 4 2 2" xfId="582" xr:uid="{00000000-0005-0000-0000-000054060000}"/>
    <cellStyle name="Normal 3 2 3 2 4 2 2 2" xfId="2049" xr:uid="{00000000-0005-0000-0000-000055060000}"/>
    <cellStyle name="Normal 3 2 3 2 4 2 3" xfId="1408" xr:uid="{00000000-0005-0000-0000-000056060000}"/>
    <cellStyle name="Normal 3 2 3 2 4 2 4" xfId="1740" xr:uid="{00000000-0005-0000-0000-000057060000}"/>
    <cellStyle name="Normal 3 2 3 2 4 3" xfId="428" xr:uid="{00000000-0005-0000-0000-000058060000}"/>
    <cellStyle name="Normal 3 2 3 2 4 3 2" xfId="1895" xr:uid="{00000000-0005-0000-0000-000059060000}"/>
    <cellStyle name="Normal 3 2 3 2 4 4" xfId="823" xr:uid="{00000000-0005-0000-0000-00005A060000}"/>
    <cellStyle name="Normal 3 2 3 2 4 4 2" xfId="2238" xr:uid="{00000000-0005-0000-0000-00005B060000}"/>
    <cellStyle name="Normal 3 2 3 2 4 5" xfId="1043" xr:uid="{00000000-0005-0000-0000-00005C060000}"/>
    <cellStyle name="Normal 3 2 3 2 4 5 2" xfId="2458" xr:uid="{00000000-0005-0000-0000-00005D060000}"/>
    <cellStyle name="Normal 3 2 3 2 4 6" xfId="1254" xr:uid="{00000000-0005-0000-0000-00005E060000}"/>
    <cellStyle name="Normal 3 2 3 2 4 7" xfId="1586" xr:uid="{00000000-0005-0000-0000-00005F060000}"/>
    <cellStyle name="Normal 3 2 3 2 5" xfId="196" xr:uid="{00000000-0005-0000-0000-000060060000}"/>
    <cellStyle name="Normal 3 2 3 2 5 2" xfId="508" xr:uid="{00000000-0005-0000-0000-000061060000}"/>
    <cellStyle name="Normal 3 2 3 2 5 2 2" xfId="1975" xr:uid="{00000000-0005-0000-0000-000062060000}"/>
    <cellStyle name="Normal 3 2 3 2 5 3" xfId="910" xr:uid="{00000000-0005-0000-0000-000063060000}"/>
    <cellStyle name="Normal 3 2 3 2 5 3 2" xfId="2325" xr:uid="{00000000-0005-0000-0000-000064060000}"/>
    <cellStyle name="Normal 3 2 3 2 5 4" xfId="1130" xr:uid="{00000000-0005-0000-0000-000065060000}"/>
    <cellStyle name="Normal 3 2 3 2 5 4 2" xfId="2545" xr:uid="{00000000-0005-0000-0000-000066060000}"/>
    <cellStyle name="Normal 3 2 3 2 5 5" xfId="1334" xr:uid="{00000000-0005-0000-0000-000067060000}"/>
    <cellStyle name="Normal 3 2 3 2 5 6" xfId="1666" xr:uid="{00000000-0005-0000-0000-000068060000}"/>
    <cellStyle name="Normal 3 2 3 2 6" xfId="715" xr:uid="{00000000-0005-0000-0000-000069060000}"/>
    <cellStyle name="Normal 3 2 3 2 6 2" xfId="936" xr:uid="{00000000-0005-0000-0000-00006A060000}"/>
    <cellStyle name="Normal 3 2 3 2 6 2 2" xfId="2351" xr:uid="{00000000-0005-0000-0000-00006B060000}"/>
    <cellStyle name="Normal 3 2 3 2 6 3" xfId="1156" xr:uid="{00000000-0005-0000-0000-00006C060000}"/>
    <cellStyle name="Normal 3 2 3 2 6 3 2" xfId="2571" xr:uid="{00000000-0005-0000-0000-00006D060000}"/>
    <cellStyle name="Normal 3 2 3 2 6 4" xfId="1488" xr:uid="{00000000-0005-0000-0000-00006E060000}"/>
    <cellStyle name="Normal 3 2 3 2 6 5" xfId="2131" xr:uid="{00000000-0005-0000-0000-00006F060000}"/>
    <cellStyle name="Normal 3 2 3 2 7" xfId="354" xr:uid="{00000000-0005-0000-0000-000070060000}"/>
    <cellStyle name="Normal 3 2 3 2 7 2" xfId="1821" xr:uid="{00000000-0005-0000-0000-000071060000}"/>
    <cellStyle name="Normal 3 2 3 2 8" xfId="740" xr:uid="{00000000-0005-0000-0000-000072060000}"/>
    <cellStyle name="Normal 3 2 3 2 8 2" xfId="2155" xr:uid="{00000000-0005-0000-0000-000073060000}"/>
    <cellStyle name="Normal 3 2 3 2 9" xfId="960" xr:uid="{00000000-0005-0000-0000-000074060000}"/>
    <cellStyle name="Normal 3 2 3 2 9 2" xfId="2375" xr:uid="{00000000-0005-0000-0000-000075060000}"/>
    <cellStyle name="Normal 3 2 3 3" xfId="50" xr:uid="{00000000-0005-0000-0000-000076060000}"/>
    <cellStyle name="Normal 3 2 3 3 2" xfId="206" xr:uid="{00000000-0005-0000-0000-000077060000}"/>
    <cellStyle name="Normal 3 2 3 3 2 2" xfId="518" xr:uid="{00000000-0005-0000-0000-000078060000}"/>
    <cellStyle name="Normal 3 2 3 3 2 2 2" xfId="1985" xr:uid="{00000000-0005-0000-0000-000079060000}"/>
    <cellStyle name="Normal 3 2 3 3 2 3" xfId="833" xr:uid="{00000000-0005-0000-0000-00007A060000}"/>
    <cellStyle name="Normal 3 2 3 3 2 3 2" xfId="2248" xr:uid="{00000000-0005-0000-0000-00007B060000}"/>
    <cellStyle name="Normal 3 2 3 3 2 4" xfId="1053" xr:uid="{00000000-0005-0000-0000-00007C060000}"/>
    <cellStyle name="Normal 3 2 3 3 2 4 2" xfId="2468" xr:uid="{00000000-0005-0000-0000-00007D060000}"/>
    <cellStyle name="Normal 3 2 3 3 2 5" xfId="1344" xr:uid="{00000000-0005-0000-0000-00007E060000}"/>
    <cellStyle name="Normal 3 2 3 3 2 6" xfId="1676" xr:uid="{00000000-0005-0000-0000-00007F060000}"/>
    <cellStyle name="Normal 3 2 3 3 3" xfId="364" xr:uid="{00000000-0005-0000-0000-000080060000}"/>
    <cellStyle name="Normal 3 2 3 3 3 2" xfId="1831" xr:uid="{00000000-0005-0000-0000-000081060000}"/>
    <cellStyle name="Normal 3 2 3 3 4" xfId="750" xr:uid="{00000000-0005-0000-0000-000082060000}"/>
    <cellStyle name="Normal 3 2 3 3 4 2" xfId="2165" xr:uid="{00000000-0005-0000-0000-000083060000}"/>
    <cellStyle name="Normal 3 2 3 3 5" xfId="970" xr:uid="{00000000-0005-0000-0000-000084060000}"/>
    <cellStyle name="Normal 3 2 3 3 5 2" xfId="2385" xr:uid="{00000000-0005-0000-0000-000085060000}"/>
    <cellStyle name="Normal 3 2 3 3 6" xfId="1190" xr:uid="{00000000-0005-0000-0000-000086060000}"/>
    <cellStyle name="Normal 3 2 3 3 7" xfId="1522" xr:uid="{00000000-0005-0000-0000-000087060000}"/>
    <cellStyle name="Normal 3 2 3 4" xfId="77" xr:uid="{00000000-0005-0000-0000-000088060000}"/>
    <cellStyle name="Normal 3 2 3 4 2" xfId="233" xr:uid="{00000000-0005-0000-0000-000089060000}"/>
    <cellStyle name="Normal 3 2 3 4 2 2" xfId="545" xr:uid="{00000000-0005-0000-0000-00008A060000}"/>
    <cellStyle name="Normal 3 2 3 4 2 2 2" xfId="2012" xr:uid="{00000000-0005-0000-0000-00008B060000}"/>
    <cellStyle name="Normal 3 2 3 4 2 3" xfId="862" xr:uid="{00000000-0005-0000-0000-00008C060000}"/>
    <cellStyle name="Normal 3 2 3 4 2 3 2" xfId="2277" xr:uid="{00000000-0005-0000-0000-00008D060000}"/>
    <cellStyle name="Normal 3 2 3 4 2 4" xfId="1082" xr:uid="{00000000-0005-0000-0000-00008E060000}"/>
    <cellStyle name="Normal 3 2 3 4 2 4 2" xfId="2497" xr:uid="{00000000-0005-0000-0000-00008F060000}"/>
    <cellStyle name="Normal 3 2 3 4 2 5" xfId="1371" xr:uid="{00000000-0005-0000-0000-000090060000}"/>
    <cellStyle name="Normal 3 2 3 4 2 6" xfId="1703" xr:uid="{00000000-0005-0000-0000-000091060000}"/>
    <cellStyle name="Normal 3 2 3 4 3" xfId="391" xr:uid="{00000000-0005-0000-0000-000092060000}"/>
    <cellStyle name="Normal 3 2 3 4 3 2" xfId="1858" xr:uid="{00000000-0005-0000-0000-000093060000}"/>
    <cellStyle name="Normal 3 2 3 4 4" xfId="779" xr:uid="{00000000-0005-0000-0000-000094060000}"/>
    <cellStyle name="Normal 3 2 3 4 4 2" xfId="2194" xr:uid="{00000000-0005-0000-0000-000095060000}"/>
    <cellStyle name="Normal 3 2 3 4 5" xfId="999" xr:uid="{00000000-0005-0000-0000-000096060000}"/>
    <cellStyle name="Normal 3 2 3 4 5 2" xfId="2414" xr:uid="{00000000-0005-0000-0000-000097060000}"/>
    <cellStyle name="Normal 3 2 3 4 6" xfId="1217" xr:uid="{00000000-0005-0000-0000-000098060000}"/>
    <cellStyle name="Normal 3 2 3 4 7" xfId="1549" xr:uid="{00000000-0005-0000-0000-000099060000}"/>
    <cellStyle name="Normal 3 2 3 5" xfId="102" xr:uid="{00000000-0005-0000-0000-00009A060000}"/>
    <cellStyle name="Normal 3 2 3 5 2" xfId="256" xr:uid="{00000000-0005-0000-0000-00009B060000}"/>
    <cellStyle name="Normal 3 2 3 5 2 2" xfId="568" xr:uid="{00000000-0005-0000-0000-00009C060000}"/>
    <cellStyle name="Normal 3 2 3 5 2 2 2" xfId="2035" xr:uid="{00000000-0005-0000-0000-00009D060000}"/>
    <cellStyle name="Normal 3 2 3 5 2 3" xfId="1394" xr:uid="{00000000-0005-0000-0000-00009E060000}"/>
    <cellStyle name="Normal 3 2 3 5 2 4" xfId="1726" xr:uid="{00000000-0005-0000-0000-00009F060000}"/>
    <cellStyle name="Normal 3 2 3 5 3" xfId="414" xr:uid="{00000000-0005-0000-0000-0000A0060000}"/>
    <cellStyle name="Normal 3 2 3 5 3 2" xfId="1881" xr:uid="{00000000-0005-0000-0000-0000A1060000}"/>
    <cellStyle name="Normal 3 2 3 5 4" xfId="809" xr:uid="{00000000-0005-0000-0000-0000A2060000}"/>
    <cellStyle name="Normal 3 2 3 5 4 2" xfId="2224" xr:uid="{00000000-0005-0000-0000-0000A3060000}"/>
    <cellStyle name="Normal 3 2 3 5 5" xfId="1029" xr:uid="{00000000-0005-0000-0000-0000A4060000}"/>
    <cellStyle name="Normal 3 2 3 5 5 2" xfId="2444" xr:uid="{00000000-0005-0000-0000-0000A5060000}"/>
    <cellStyle name="Normal 3 2 3 5 6" xfId="1240" xr:uid="{00000000-0005-0000-0000-0000A6060000}"/>
    <cellStyle name="Normal 3 2 3 5 7" xfId="1572" xr:uid="{00000000-0005-0000-0000-0000A7060000}"/>
    <cellStyle name="Normal 3 2 3 6" xfId="129" xr:uid="{00000000-0005-0000-0000-0000A8060000}"/>
    <cellStyle name="Normal 3 2 3 6 2" xfId="283" xr:uid="{00000000-0005-0000-0000-0000A9060000}"/>
    <cellStyle name="Normal 3 2 3 6 2 2" xfId="595" xr:uid="{00000000-0005-0000-0000-0000AA060000}"/>
    <cellStyle name="Normal 3 2 3 6 2 2 2" xfId="2062" xr:uid="{00000000-0005-0000-0000-0000AB060000}"/>
    <cellStyle name="Normal 3 2 3 6 2 3" xfId="1421" xr:uid="{00000000-0005-0000-0000-0000AC060000}"/>
    <cellStyle name="Normal 3 2 3 6 2 4" xfId="1753" xr:uid="{00000000-0005-0000-0000-0000AD060000}"/>
    <cellStyle name="Normal 3 2 3 6 3" xfId="441" xr:uid="{00000000-0005-0000-0000-0000AE060000}"/>
    <cellStyle name="Normal 3 2 3 6 3 2" xfId="1908" xr:uid="{00000000-0005-0000-0000-0000AF060000}"/>
    <cellStyle name="Normal 3 2 3 6 4" xfId="893" xr:uid="{00000000-0005-0000-0000-0000B0060000}"/>
    <cellStyle name="Normal 3 2 3 6 4 2" xfId="2308" xr:uid="{00000000-0005-0000-0000-0000B1060000}"/>
    <cellStyle name="Normal 3 2 3 6 5" xfId="1113" xr:uid="{00000000-0005-0000-0000-0000B2060000}"/>
    <cellStyle name="Normal 3 2 3 6 5 2" xfId="2528" xr:uid="{00000000-0005-0000-0000-0000B3060000}"/>
    <cellStyle name="Normal 3 2 3 6 6" xfId="1267" xr:uid="{00000000-0005-0000-0000-0000B4060000}"/>
    <cellStyle name="Normal 3 2 3 6 7" xfId="1599" xr:uid="{00000000-0005-0000-0000-0000B5060000}"/>
    <cellStyle name="Normal 3 2 3 7" xfId="148" xr:uid="{00000000-0005-0000-0000-0000B6060000}"/>
    <cellStyle name="Normal 3 2 3 7 2" xfId="302" xr:uid="{00000000-0005-0000-0000-0000B7060000}"/>
    <cellStyle name="Normal 3 2 3 7 2 2" xfId="614" xr:uid="{00000000-0005-0000-0000-0000B8060000}"/>
    <cellStyle name="Normal 3 2 3 7 2 2 2" xfId="2081" xr:uid="{00000000-0005-0000-0000-0000B9060000}"/>
    <cellStyle name="Normal 3 2 3 7 2 3" xfId="1440" xr:uid="{00000000-0005-0000-0000-0000BA060000}"/>
    <cellStyle name="Normal 3 2 3 7 2 4" xfId="1772" xr:uid="{00000000-0005-0000-0000-0000BB060000}"/>
    <cellStyle name="Normal 3 2 3 7 3" xfId="460" xr:uid="{00000000-0005-0000-0000-0000BC060000}"/>
    <cellStyle name="Normal 3 2 3 7 3 2" xfId="1927" xr:uid="{00000000-0005-0000-0000-0000BD060000}"/>
    <cellStyle name="Normal 3 2 3 7 4" xfId="922" xr:uid="{00000000-0005-0000-0000-0000BE060000}"/>
    <cellStyle name="Normal 3 2 3 7 4 2" xfId="2337" xr:uid="{00000000-0005-0000-0000-0000BF060000}"/>
    <cellStyle name="Normal 3 2 3 7 5" xfId="1142" xr:uid="{00000000-0005-0000-0000-0000C0060000}"/>
    <cellStyle name="Normal 3 2 3 7 5 2" xfId="2557" xr:uid="{00000000-0005-0000-0000-0000C1060000}"/>
    <cellStyle name="Normal 3 2 3 7 6" xfId="1286" xr:uid="{00000000-0005-0000-0000-0000C2060000}"/>
    <cellStyle name="Normal 3 2 3 7 7" xfId="1618" xr:uid="{00000000-0005-0000-0000-0000C3060000}"/>
    <cellStyle name="Normal 3 2 3 8" xfId="165" xr:uid="{00000000-0005-0000-0000-0000C4060000}"/>
    <cellStyle name="Normal 3 2 3 8 2" xfId="319" xr:uid="{00000000-0005-0000-0000-0000C5060000}"/>
    <cellStyle name="Normal 3 2 3 8 2 2" xfId="631" xr:uid="{00000000-0005-0000-0000-0000C6060000}"/>
    <cellStyle name="Normal 3 2 3 8 2 2 2" xfId="2098" xr:uid="{00000000-0005-0000-0000-0000C7060000}"/>
    <cellStyle name="Normal 3 2 3 8 2 3" xfId="1457" xr:uid="{00000000-0005-0000-0000-0000C8060000}"/>
    <cellStyle name="Normal 3 2 3 8 2 4" xfId="1789" xr:uid="{00000000-0005-0000-0000-0000C9060000}"/>
    <cellStyle name="Normal 3 2 3 8 3" xfId="477" xr:uid="{00000000-0005-0000-0000-0000CA060000}"/>
    <cellStyle name="Normal 3 2 3 8 3 2" xfId="1944" xr:uid="{00000000-0005-0000-0000-0000CB060000}"/>
    <cellStyle name="Normal 3 2 3 8 4" xfId="1303" xr:uid="{00000000-0005-0000-0000-0000CC060000}"/>
    <cellStyle name="Normal 3 2 3 8 5" xfId="1635" xr:uid="{00000000-0005-0000-0000-0000CD060000}"/>
    <cellStyle name="Normal 3 2 3 9" xfId="182" xr:uid="{00000000-0005-0000-0000-0000CE060000}"/>
    <cellStyle name="Normal 3 2 3 9 2" xfId="494" xr:uid="{00000000-0005-0000-0000-0000CF060000}"/>
    <cellStyle name="Normal 3 2 3 9 2 2" xfId="1961" xr:uid="{00000000-0005-0000-0000-0000D0060000}"/>
    <cellStyle name="Normal 3 2 3 9 3" xfId="1320" xr:uid="{00000000-0005-0000-0000-0000D1060000}"/>
    <cellStyle name="Normal 3 2 3 9 4" xfId="1652" xr:uid="{00000000-0005-0000-0000-0000D2060000}"/>
    <cellStyle name="Normal 3 2 4" xfId="32" xr:uid="{00000000-0005-0000-0000-0000D3060000}"/>
    <cellStyle name="Normal 3 2 4 10" xfId="732" xr:uid="{00000000-0005-0000-0000-0000D4060000}"/>
    <cellStyle name="Normal 3 2 4 10 2" xfId="2147" xr:uid="{00000000-0005-0000-0000-0000D5060000}"/>
    <cellStyle name="Normal 3 2 4 11" xfId="952" xr:uid="{00000000-0005-0000-0000-0000D6060000}"/>
    <cellStyle name="Normal 3 2 4 11 2" xfId="2367" xr:uid="{00000000-0005-0000-0000-0000D7060000}"/>
    <cellStyle name="Normal 3 2 4 12" xfId="1172" xr:uid="{00000000-0005-0000-0000-0000D8060000}"/>
    <cellStyle name="Normal 3 2 4 13" xfId="1504" xr:uid="{00000000-0005-0000-0000-0000D9060000}"/>
    <cellStyle name="Normal 3 2 4 2" xfId="56" xr:uid="{00000000-0005-0000-0000-0000DA060000}"/>
    <cellStyle name="Normal 3 2 4 2 2" xfId="212" xr:uid="{00000000-0005-0000-0000-0000DB060000}"/>
    <cellStyle name="Normal 3 2 4 2 2 2" xfId="524" xr:uid="{00000000-0005-0000-0000-0000DC060000}"/>
    <cellStyle name="Normal 3 2 4 2 2 2 2" xfId="1991" xr:uid="{00000000-0005-0000-0000-0000DD060000}"/>
    <cellStyle name="Normal 3 2 4 2 2 3" xfId="840" xr:uid="{00000000-0005-0000-0000-0000DE060000}"/>
    <cellStyle name="Normal 3 2 4 2 2 3 2" xfId="2255" xr:uid="{00000000-0005-0000-0000-0000DF060000}"/>
    <cellStyle name="Normal 3 2 4 2 2 4" xfId="1060" xr:uid="{00000000-0005-0000-0000-0000E0060000}"/>
    <cellStyle name="Normal 3 2 4 2 2 4 2" xfId="2475" xr:uid="{00000000-0005-0000-0000-0000E1060000}"/>
    <cellStyle name="Normal 3 2 4 2 2 5" xfId="1350" xr:uid="{00000000-0005-0000-0000-0000E2060000}"/>
    <cellStyle name="Normal 3 2 4 2 2 6" xfId="1682" xr:uid="{00000000-0005-0000-0000-0000E3060000}"/>
    <cellStyle name="Normal 3 2 4 2 3" xfId="370" xr:uid="{00000000-0005-0000-0000-0000E4060000}"/>
    <cellStyle name="Normal 3 2 4 2 3 2" xfId="1837" xr:uid="{00000000-0005-0000-0000-0000E5060000}"/>
    <cellStyle name="Normal 3 2 4 2 4" xfId="757" xr:uid="{00000000-0005-0000-0000-0000E6060000}"/>
    <cellStyle name="Normal 3 2 4 2 4 2" xfId="2172" xr:uid="{00000000-0005-0000-0000-0000E7060000}"/>
    <cellStyle name="Normal 3 2 4 2 5" xfId="977" xr:uid="{00000000-0005-0000-0000-0000E8060000}"/>
    <cellStyle name="Normal 3 2 4 2 5 2" xfId="2392" xr:uid="{00000000-0005-0000-0000-0000E9060000}"/>
    <cellStyle name="Normal 3 2 4 2 6" xfId="1196" xr:uid="{00000000-0005-0000-0000-0000EA060000}"/>
    <cellStyle name="Normal 3 2 4 2 7" xfId="1528" xr:uid="{00000000-0005-0000-0000-0000EB060000}"/>
    <cellStyle name="Normal 3 2 4 3" xfId="87" xr:uid="{00000000-0005-0000-0000-0000EC060000}"/>
    <cellStyle name="Normal 3 2 4 3 2" xfId="241" xr:uid="{00000000-0005-0000-0000-0000ED060000}"/>
    <cellStyle name="Normal 3 2 4 3 2 2" xfId="553" xr:uid="{00000000-0005-0000-0000-0000EE060000}"/>
    <cellStyle name="Normal 3 2 4 3 2 2 2" xfId="2020" xr:uid="{00000000-0005-0000-0000-0000EF060000}"/>
    <cellStyle name="Normal 3 2 4 3 2 3" xfId="869" xr:uid="{00000000-0005-0000-0000-0000F0060000}"/>
    <cellStyle name="Normal 3 2 4 3 2 3 2" xfId="2284" xr:uid="{00000000-0005-0000-0000-0000F1060000}"/>
    <cellStyle name="Normal 3 2 4 3 2 4" xfId="1089" xr:uid="{00000000-0005-0000-0000-0000F2060000}"/>
    <cellStyle name="Normal 3 2 4 3 2 4 2" xfId="2504" xr:uid="{00000000-0005-0000-0000-0000F3060000}"/>
    <cellStyle name="Normal 3 2 4 3 2 5" xfId="1379" xr:uid="{00000000-0005-0000-0000-0000F4060000}"/>
    <cellStyle name="Normal 3 2 4 3 2 6" xfId="1711" xr:uid="{00000000-0005-0000-0000-0000F5060000}"/>
    <cellStyle name="Normal 3 2 4 3 3" xfId="399" xr:uid="{00000000-0005-0000-0000-0000F6060000}"/>
    <cellStyle name="Normal 3 2 4 3 3 2" xfId="1866" xr:uid="{00000000-0005-0000-0000-0000F7060000}"/>
    <cellStyle name="Normal 3 2 4 3 4" xfId="786" xr:uid="{00000000-0005-0000-0000-0000F8060000}"/>
    <cellStyle name="Normal 3 2 4 3 4 2" xfId="2201" xr:uid="{00000000-0005-0000-0000-0000F9060000}"/>
    <cellStyle name="Normal 3 2 4 3 5" xfId="1006" xr:uid="{00000000-0005-0000-0000-0000FA060000}"/>
    <cellStyle name="Normal 3 2 4 3 5 2" xfId="2421" xr:uid="{00000000-0005-0000-0000-0000FB060000}"/>
    <cellStyle name="Normal 3 2 4 3 6" xfId="1225" xr:uid="{00000000-0005-0000-0000-0000FC060000}"/>
    <cellStyle name="Normal 3 2 4 3 7" xfId="1557" xr:uid="{00000000-0005-0000-0000-0000FD060000}"/>
    <cellStyle name="Normal 3 2 4 4" xfId="108" xr:uid="{00000000-0005-0000-0000-0000FE060000}"/>
    <cellStyle name="Normal 3 2 4 4 2" xfId="262" xr:uid="{00000000-0005-0000-0000-0000FF060000}"/>
    <cellStyle name="Normal 3 2 4 4 2 2" xfId="574" xr:uid="{00000000-0005-0000-0000-000000070000}"/>
    <cellStyle name="Normal 3 2 4 4 2 2 2" xfId="2041" xr:uid="{00000000-0005-0000-0000-000001070000}"/>
    <cellStyle name="Normal 3 2 4 4 2 3" xfId="1400" xr:uid="{00000000-0005-0000-0000-000002070000}"/>
    <cellStyle name="Normal 3 2 4 4 2 4" xfId="1732" xr:uid="{00000000-0005-0000-0000-000003070000}"/>
    <cellStyle name="Normal 3 2 4 4 3" xfId="420" xr:uid="{00000000-0005-0000-0000-000004070000}"/>
    <cellStyle name="Normal 3 2 4 4 3 2" xfId="1887" xr:uid="{00000000-0005-0000-0000-000005070000}"/>
    <cellStyle name="Normal 3 2 4 4 4" xfId="815" xr:uid="{00000000-0005-0000-0000-000006070000}"/>
    <cellStyle name="Normal 3 2 4 4 4 2" xfId="2230" xr:uid="{00000000-0005-0000-0000-000007070000}"/>
    <cellStyle name="Normal 3 2 4 4 5" xfId="1035" xr:uid="{00000000-0005-0000-0000-000008070000}"/>
    <cellStyle name="Normal 3 2 4 4 5 2" xfId="2450" xr:uid="{00000000-0005-0000-0000-000009070000}"/>
    <cellStyle name="Normal 3 2 4 4 6" xfId="1246" xr:uid="{00000000-0005-0000-0000-00000A070000}"/>
    <cellStyle name="Normal 3 2 4 4 7" xfId="1578" xr:uid="{00000000-0005-0000-0000-00000B070000}"/>
    <cellStyle name="Normal 3 2 4 5" xfId="136" xr:uid="{00000000-0005-0000-0000-00000C070000}"/>
    <cellStyle name="Normal 3 2 4 5 2" xfId="290" xr:uid="{00000000-0005-0000-0000-00000D070000}"/>
    <cellStyle name="Normal 3 2 4 5 2 2" xfId="602" xr:uid="{00000000-0005-0000-0000-00000E070000}"/>
    <cellStyle name="Normal 3 2 4 5 2 2 2" xfId="2069" xr:uid="{00000000-0005-0000-0000-00000F070000}"/>
    <cellStyle name="Normal 3 2 4 5 2 3" xfId="1428" xr:uid="{00000000-0005-0000-0000-000010070000}"/>
    <cellStyle name="Normal 3 2 4 5 2 4" xfId="1760" xr:uid="{00000000-0005-0000-0000-000011070000}"/>
    <cellStyle name="Normal 3 2 4 5 3" xfId="448" xr:uid="{00000000-0005-0000-0000-000012070000}"/>
    <cellStyle name="Normal 3 2 4 5 3 2" xfId="1915" xr:uid="{00000000-0005-0000-0000-000013070000}"/>
    <cellStyle name="Normal 3 2 4 5 4" xfId="900" xr:uid="{00000000-0005-0000-0000-000014070000}"/>
    <cellStyle name="Normal 3 2 4 5 4 2" xfId="2315" xr:uid="{00000000-0005-0000-0000-000015070000}"/>
    <cellStyle name="Normal 3 2 4 5 5" xfId="1120" xr:uid="{00000000-0005-0000-0000-000016070000}"/>
    <cellStyle name="Normal 3 2 4 5 5 2" xfId="2535" xr:uid="{00000000-0005-0000-0000-000017070000}"/>
    <cellStyle name="Normal 3 2 4 5 6" xfId="1274" xr:uid="{00000000-0005-0000-0000-000018070000}"/>
    <cellStyle name="Normal 3 2 4 5 7" xfId="1606" xr:uid="{00000000-0005-0000-0000-000019070000}"/>
    <cellStyle name="Normal 3 2 4 6" xfId="155" xr:uid="{00000000-0005-0000-0000-00001A070000}"/>
    <cellStyle name="Normal 3 2 4 6 2" xfId="309" xr:uid="{00000000-0005-0000-0000-00001B070000}"/>
    <cellStyle name="Normal 3 2 4 6 2 2" xfId="621" xr:uid="{00000000-0005-0000-0000-00001C070000}"/>
    <cellStyle name="Normal 3 2 4 6 2 2 2" xfId="2088" xr:uid="{00000000-0005-0000-0000-00001D070000}"/>
    <cellStyle name="Normal 3 2 4 6 2 3" xfId="1447" xr:uid="{00000000-0005-0000-0000-00001E070000}"/>
    <cellStyle name="Normal 3 2 4 6 2 4" xfId="1779" xr:uid="{00000000-0005-0000-0000-00001F070000}"/>
    <cellStyle name="Normal 3 2 4 6 3" xfId="467" xr:uid="{00000000-0005-0000-0000-000020070000}"/>
    <cellStyle name="Normal 3 2 4 6 3 2" xfId="1934" xr:uid="{00000000-0005-0000-0000-000021070000}"/>
    <cellStyle name="Normal 3 2 4 6 4" xfId="928" xr:uid="{00000000-0005-0000-0000-000022070000}"/>
    <cellStyle name="Normal 3 2 4 6 4 2" xfId="2343" xr:uid="{00000000-0005-0000-0000-000023070000}"/>
    <cellStyle name="Normal 3 2 4 6 5" xfId="1148" xr:uid="{00000000-0005-0000-0000-000024070000}"/>
    <cellStyle name="Normal 3 2 4 6 5 2" xfId="2563" xr:uid="{00000000-0005-0000-0000-000025070000}"/>
    <cellStyle name="Normal 3 2 4 6 6" xfId="1293" xr:uid="{00000000-0005-0000-0000-000026070000}"/>
    <cellStyle name="Normal 3 2 4 6 7" xfId="1625" xr:uid="{00000000-0005-0000-0000-000027070000}"/>
    <cellStyle name="Normal 3 2 4 7" xfId="172" xr:uid="{00000000-0005-0000-0000-000028070000}"/>
    <cellStyle name="Normal 3 2 4 7 2" xfId="326" xr:uid="{00000000-0005-0000-0000-000029070000}"/>
    <cellStyle name="Normal 3 2 4 7 2 2" xfId="638" xr:uid="{00000000-0005-0000-0000-00002A070000}"/>
    <cellStyle name="Normal 3 2 4 7 2 2 2" xfId="2105" xr:uid="{00000000-0005-0000-0000-00002B070000}"/>
    <cellStyle name="Normal 3 2 4 7 2 3" xfId="1464" xr:uid="{00000000-0005-0000-0000-00002C070000}"/>
    <cellStyle name="Normal 3 2 4 7 2 4" xfId="1796" xr:uid="{00000000-0005-0000-0000-00002D070000}"/>
    <cellStyle name="Normal 3 2 4 7 3" xfId="484" xr:uid="{00000000-0005-0000-0000-00002E070000}"/>
    <cellStyle name="Normal 3 2 4 7 3 2" xfId="1951" xr:uid="{00000000-0005-0000-0000-00002F070000}"/>
    <cellStyle name="Normal 3 2 4 7 4" xfId="1310" xr:uid="{00000000-0005-0000-0000-000030070000}"/>
    <cellStyle name="Normal 3 2 4 7 5" xfId="1642" xr:uid="{00000000-0005-0000-0000-000031070000}"/>
    <cellStyle name="Normal 3 2 4 8" xfId="188" xr:uid="{00000000-0005-0000-0000-000032070000}"/>
    <cellStyle name="Normal 3 2 4 8 2" xfId="500" xr:uid="{00000000-0005-0000-0000-000033070000}"/>
    <cellStyle name="Normal 3 2 4 8 2 2" xfId="1967" xr:uid="{00000000-0005-0000-0000-000034070000}"/>
    <cellStyle name="Normal 3 2 4 8 3" xfId="1326" xr:uid="{00000000-0005-0000-0000-000035070000}"/>
    <cellStyle name="Normal 3 2 4 8 4" xfId="1658" xr:uid="{00000000-0005-0000-0000-000036070000}"/>
    <cellStyle name="Normal 3 2 4 9" xfId="346" xr:uid="{00000000-0005-0000-0000-000037070000}"/>
    <cellStyle name="Normal 3 2 4 9 2" xfId="1813" xr:uid="{00000000-0005-0000-0000-000038070000}"/>
    <cellStyle name="Normal 3 2 5" xfId="44" xr:uid="{00000000-0005-0000-0000-000039070000}"/>
    <cellStyle name="Normal 3 2 5 2" xfId="200" xr:uid="{00000000-0005-0000-0000-00003A070000}"/>
    <cellStyle name="Normal 3 2 5 2 2" xfId="654" xr:uid="{00000000-0005-0000-0000-00003B070000}"/>
    <cellStyle name="Normal 3 2 5 2 2 2" xfId="873" xr:uid="{00000000-0005-0000-0000-00003C070000}"/>
    <cellStyle name="Normal 3 2 5 2 2 2 2" xfId="2288" xr:uid="{00000000-0005-0000-0000-00003D070000}"/>
    <cellStyle name="Normal 3 2 5 2 2 3" xfId="1093" xr:uid="{00000000-0005-0000-0000-00003E070000}"/>
    <cellStyle name="Normal 3 2 5 2 2 3 2" xfId="2508" xr:uid="{00000000-0005-0000-0000-00003F070000}"/>
    <cellStyle name="Normal 3 2 5 2 2 4" xfId="1473" xr:uid="{00000000-0005-0000-0000-000040070000}"/>
    <cellStyle name="Normal 3 2 5 2 2 5" xfId="2115" xr:uid="{00000000-0005-0000-0000-000041070000}"/>
    <cellStyle name="Normal 3 2 5 2 3" xfId="512" xr:uid="{00000000-0005-0000-0000-000042070000}"/>
    <cellStyle name="Normal 3 2 5 2 3 2" xfId="1979" xr:uid="{00000000-0005-0000-0000-000043070000}"/>
    <cellStyle name="Normal 3 2 5 2 4" xfId="790" xr:uid="{00000000-0005-0000-0000-000044070000}"/>
    <cellStyle name="Normal 3 2 5 2 4 2" xfId="2205" xr:uid="{00000000-0005-0000-0000-000045070000}"/>
    <cellStyle name="Normal 3 2 5 2 5" xfId="1010" xr:uid="{00000000-0005-0000-0000-000046070000}"/>
    <cellStyle name="Normal 3 2 5 2 5 2" xfId="2425" xr:uid="{00000000-0005-0000-0000-000047070000}"/>
    <cellStyle name="Normal 3 2 5 2 6" xfId="1338" xr:uid="{00000000-0005-0000-0000-000048070000}"/>
    <cellStyle name="Normal 3 2 5 2 7" xfId="1670" xr:uid="{00000000-0005-0000-0000-000049070000}"/>
    <cellStyle name="Normal 3 2 5 3" xfId="650" xr:uid="{00000000-0005-0000-0000-00004A070000}"/>
    <cellStyle name="Normal 3 2 5 3 2" xfId="844" xr:uid="{00000000-0005-0000-0000-00004B070000}"/>
    <cellStyle name="Normal 3 2 5 3 2 2" xfId="2259" xr:uid="{00000000-0005-0000-0000-00004C070000}"/>
    <cellStyle name="Normal 3 2 5 3 3" xfId="1064" xr:uid="{00000000-0005-0000-0000-00004D070000}"/>
    <cellStyle name="Normal 3 2 5 3 3 2" xfId="2479" xr:uid="{00000000-0005-0000-0000-00004E070000}"/>
    <cellStyle name="Normal 3 2 5 3 4" xfId="1469" xr:uid="{00000000-0005-0000-0000-00004F070000}"/>
    <cellStyle name="Normal 3 2 5 3 5" xfId="2111" xr:uid="{00000000-0005-0000-0000-000050070000}"/>
    <cellStyle name="Normal 3 2 5 4" xfId="706" xr:uid="{00000000-0005-0000-0000-000051070000}"/>
    <cellStyle name="Normal 3 2 5 4 2" xfId="904" xr:uid="{00000000-0005-0000-0000-000052070000}"/>
    <cellStyle name="Normal 3 2 5 4 2 2" xfId="2319" xr:uid="{00000000-0005-0000-0000-000053070000}"/>
    <cellStyle name="Normal 3 2 5 4 3" xfId="1124" xr:uid="{00000000-0005-0000-0000-000054070000}"/>
    <cellStyle name="Normal 3 2 5 4 3 2" xfId="2539" xr:uid="{00000000-0005-0000-0000-000055070000}"/>
    <cellStyle name="Normal 3 2 5 4 4" xfId="1479" xr:uid="{00000000-0005-0000-0000-000056070000}"/>
    <cellStyle name="Normal 3 2 5 4 5" xfId="2122" xr:uid="{00000000-0005-0000-0000-000057070000}"/>
    <cellStyle name="Normal 3 2 5 5" xfId="358" xr:uid="{00000000-0005-0000-0000-000058070000}"/>
    <cellStyle name="Normal 3 2 5 5 2" xfId="1825" xr:uid="{00000000-0005-0000-0000-000059070000}"/>
    <cellStyle name="Normal 3 2 5 6" xfId="761" xr:uid="{00000000-0005-0000-0000-00005A070000}"/>
    <cellStyle name="Normal 3 2 5 6 2" xfId="2176" xr:uid="{00000000-0005-0000-0000-00005B070000}"/>
    <cellStyle name="Normal 3 2 5 7" xfId="981" xr:uid="{00000000-0005-0000-0000-00005C070000}"/>
    <cellStyle name="Normal 3 2 5 7 2" xfId="2396" xr:uid="{00000000-0005-0000-0000-00005D070000}"/>
    <cellStyle name="Normal 3 2 5 8" xfId="1184" xr:uid="{00000000-0005-0000-0000-00005E070000}"/>
    <cellStyle name="Normal 3 2 5 9" xfId="1516" xr:uid="{00000000-0005-0000-0000-00005F070000}"/>
    <cellStyle name="Normal 3 2 6" xfId="70" xr:uid="{00000000-0005-0000-0000-000060070000}"/>
    <cellStyle name="Normal 3 2 6 2" xfId="226" xr:uid="{00000000-0005-0000-0000-000061070000}"/>
    <cellStyle name="Normal 3 2 6 2 2" xfId="538" xr:uid="{00000000-0005-0000-0000-000062070000}"/>
    <cellStyle name="Normal 3 2 6 2 2 2" xfId="2005" xr:uid="{00000000-0005-0000-0000-000063070000}"/>
    <cellStyle name="Normal 3 2 6 2 3" xfId="827" xr:uid="{00000000-0005-0000-0000-000064070000}"/>
    <cellStyle name="Normal 3 2 6 2 3 2" xfId="2242" xr:uid="{00000000-0005-0000-0000-000065070000}"/>
    <cellStyle name="Normal 3 2 6 2 4" xfId="1047" xr:uid="{00000000-0005-0000-0000-000066070000}"/>
    <cellStyle name="Normal 3 2 6 2 4 2" xfId="2462" xr:uid="{00000000-0005-0000-0000-000067070000}"/>
    <cellStyle name="Normal 3 2 6 2 5" xfId="1364" xr:uid="{00000000-0005-0000-0000-000068070000}"/>
    <cellStyle name="Normal 3 2 6 2 6" xfId="1696" xr:uid="{00000000-0005-0000-0000-000069070000}"/>
    <cellStyle name="Normal 3 2 6 3" xfId="384" xr:uid="{00000000-0005-0000-0000-00006A070000}"/>
    <cellStyle name="Normal 3 2 6 3 2" xfId="1851" xr:uid="{00000000-0005-0000-0000-00006B070000}"/>
    <cellStyle name="Normal 3 2 6 4" xfId="744" xr:uid="{00000000-0005-0000-0000-00006C070000}"/>
    <cellStyle name="Normal 3 2 6 4 2" xfId="2159" xr:uid="{00000000-0005-0000-0000-00006D070000}"/>
    <cellStyle name="Normal 3 2 6 5" xfId="964" xr:uid="{00000000-0005-0000-0000-00006E070000}"/>
    <cellStyle name="Normal 3 2 6 5 2" xfId="2379" xr:uid="{00000000-0005-0000-0000-00006F070000}"/>
    <cellStyle name="Normal 3 2 6 6" xfId="1210" xr:uid="{00000000-0005-0000-0000-000070070000}"/>
    <cellStyle name="Normal 3 2 6 7" xfId="1542" xr:uid="{00000000-0005-0000-0000-000071070000}"/>
    <cellStyle name="Normal 3 2 7" xfId="96" xr:uid="{00000000-0005-0000-0000-000072070000}"/>
    <cellStyle name="Normal 3 2 7 2" xfId="250" xr:uid="{00000000-0005-0000-0000-000073070000}"/>
    <cellStyle name="Normal 3 2 7 2 2" xfId="562" xr:uid="{00000000-0005-0000-0000-000074070000}"/>
    <cellStyle name="Normal 3 2 7 2 2 2" xfId="2029" xr:uid="{00000000-0005-0000-0000-000075070000}"/>
    <cellStyle name="Normal 3 2 7 2 3" xfId="856" xr:uid="{00000000-0005-0000-0000-000076070000}"/>
    <cellStyle name="Normal 3 2 7 2 3 2" xfId="2271" xr:uid="{00000000-0005-0000-0000-000077070000}"/>
    <cellStyle name="Normal 3 2 7 2 4" xfId="1076" xr:uid="{00000000-0005-0000-0000-000078070000}"/>
    <cellStyle name="Normal 3 2 7 2 4 2" xfId="2491" xr:uid="{00000000-0005-0000-0000-000079070000}"/>
    <cellStyle name="Normal 3 2 7 2 5" xfId="1388" xr:uid="{00000000-0005-0000-0000-00007A070000}"/>
    <cellStyle name="Normal 3 2 7 2 6" xfId="1720" xr:uid="{00000000-0005-0000-0000-00007B070000}"/>
    <cellStyle name="Normal 3 2 7 3" xfId="408" xr:uid="{00000000-0005-0000-0000-00007C070000}"/>
    <cellStyle name="Normal 3 2 7 3 2" xfId="1875" xr:uid="{00000000-0005-0000-0000-00007D070000}"/>
    <cellStyle name="Normal 3 2 7 4" xfId="773" xr:uid="{00000000-0005-0000-0000-00007E070000}"/>
    <cellStyle name="Normal 3 2 7 4 2" xfId="2188" xr:uid="{00000000-0005-0000-0000-00007F070000}"/>
    <cellStyle name="Normal 3 2 7 5" xfId="993" xr:uid="{00000000-0005-0000-0000-000080070000}"/>
    <cellStyle name="Normal 3 2 7 5 2" xfId="2408" xr:uid="{00000000-0005-0000-0000-000081070000}"/>
    <cellStyle name="Normal 3 2 7 6" xfId="1234" xr:uid="{00000000-0005-0000-0000-000082070000}"/>
    <cellStyle name="Normal 3 2 7 7" xfId="1566" xr:uid="{00000000-0005-0000-0000-000083070000}"/>
    <cellStyle name="Normal 3 2 8" xfId="123" xr:uid="{00000000-0005-0000-0000-000084070000}"/>
    <cellStyle name="Normal 3 2 8 2" xfId="277" xr:uid="{00000000-0005-0000-0000-000085070000}"/>
    <cellStyle name="Normal 3 2 8 2 2" xfId="589" xr:uid="{00000000-0005-0000-0000-000086070000}"/>
    <cellStyle name="Normal 3 2 8 2 2 2" xfId="2056" xr:uid="{00000000-0005-0000-0000-000087070000}"/>
    <cellStyle name="Normal 3 2 8 2 3" xfId="1415" xr:uid="{00000000-0005-0000-0000-000088070000}"/>
    <cellStyle name="Normal 3 2 8 2 4" xfId="1747" xr:uid="{00000000-0005-0000-0000-000089070000}"/>
    <cellStyle name="Normal 3 2 8 3" xfId="435" xr:uid="{00000000-0005-0000-0000-00008A070000}"/>
    <cellStyle name="Normal 3 2 8 3 2" xfId="1902" xr:uid="{00000000-0005-0000-0000-00008B070000}"/>
    <cellStyle name="Normal 3 2 8 4" xfId="803" xr:uid="{00000000-0005-0000-0000-00008C070000}"/>
    <cellStyle name="Normal 3 2 8 4 2" xfId="2218" xr:uid="{00000000-0005-0000-0000-00008D070000}"/>
    <cellStyle name="Normal 3 2 8 5" xfId="1023" xr:uid="{00000000-0005-0000-0000-00008E070000}"/>
    <cellStyle name="Normal 3 2 8 5 2" xfId="2438" xr:uid="{00000000-0005-0000-0000-00008F070000}"/>
    <cellStyle name="Normal 3 2 8 6" xfId="1261" xr:uid="{00000000-0005-0000-0000-000090070000}"/>
    <cellStyle name="Normal 3 2 8 7" xfId="1593" xr:uid="{00000000-0005-0000-0000-000091070000}"/>
    <cellStyle name="Normal 3 2 9" xfId="142" xr:uid="{00000000-0005-0000-0000-000092070000}"/>
    <cellStyle name="Normal 3 2 9 2" xfId="296" xr:uid="{00000000-0005-0000-0000-000093070000}"/>
    <cellStyle name="Normal 3 2 9 2 2" xfId="608" xr:uid="{00000000-0005-0000-0000-000094070000}"/>
    <cellStyle name="Normal 3 2 9 2 2 2" xfId="2075" xr:uid="{00000000-0005-0000-0000-000095070000}"/>
    <cellStyle name="Normal 3 2 9 2 3" xfId="1434" xr:uid="{00000000-0005-0000-0000-000096070000}"/>
    <cellStyle name="Normal 3 2 9 2 4" xfId="1766" xr:uid="{00000000-0005-0000-0000-000097070000}"/>
    <cellStyle name="Normal 3 2 9 3" xfId="454" xr:uid="{00000000-0005-0000-0000-000098070000}"/>
    <cellStyle name="Normal 3 2 9 3 2" xfId="1921" xr:uid="{00000000-0005-0000-0000-000099070000}"/>
    <cellStyle name="Normal 3 2 9 4" xfId="887" xr:uid="{00000000-0005-0000-0000-00009A070000}"/>
    <cellStyle name="Normal 3 2 9 4 2" xfId="2302" xr:uid="{00000000-0005-0000-0000-00009B070000}"/>
    <cellStyle name="Normal 3 2 9 5" xfId="1107" xr:uid="{00000000-0005-0000-0000-00009C070000}"/>
    <cellStyle name="Normal 3 2 9 5 2" xfId="2522" xr:uid="{00000000-0005-0000-0000-00009D070000}"/>
    <cellStyle name="Normal 3 2 9 6" xfId="1280" xr:uid="{00000000-0005-0000-0000-00009E070000}"/>
    <cellStyle name="Normal 3 2 9 7" xfId="1612" xr:uid="{00000000-0005-0000-0000-00009F070000}"/>
    <cellStyle name="Normal 3 3" xfId="26" xr:uid="{00000000-0005-0000-0000-0000A0070000}"/>
    <cellStyle name="Normal 3 3 10" xfId="341" xr:uid="{00000000-0005-0000-0000-0000A1070000}"/>
    <cellStyle name="Normal 3 3 10 2" xfId="1808" xr:uid="{00000000-0005-0000-0000-0000A2070000}"/>
    <cellStyle name="Normal 3 3 11" xfId="727" xr:uid="{00000000-0005-0000-0000-0000A3070000}"/>
    <cellStyle name="Normal 3 3 11 2" xfId="2142" xr:uid="{00000000-0005-0000-0000-0000A4070000}"/>
    <cellStyle name="Normal 3 3 12" xfId="947" xr:uid="{00000000-0005-0000-0000-0000A5070000}"/>
    <cellStyle name="Normal 3 3 12 2" xfId="2362" xr:uid="{00000000-0005-0000-0000-0000A6070000}"/>
    <cellStyle name="Normal 3 3 13" xfId="1167" xr:uid="{00000000-0005-0000-0000-0000A7070000}"/>
    <cellStyle name="Normal 3 3 14" xfId="1499" xr:uid="{00000000-0005-0000-0000-0000A8070000}"/>
    <cellStyle name="Normal 3 3 2" xfId="34" xr:uid="{00000000-0005-0000-0000-0000A9070000}"/>
    <cellStyle name="Normal 3 3 2 10" xfId="1174" xr:uid="{00000000-0005-0000-0000-0000AA070000}"/>
    <cellStyle name="Normal 3 3 2 11" xfId="1506" xr:uid="{00000000-0005-0000-0000-0000AB070000}"/>
    <cellStyle name="Normal 3 3 2 2" xfId="58" xr:uid="{00000000-0005-0000-0000-0000AC070000}"/>
    <cellStyle name="Normal 3 3 2 2 2" xfId="214" xr:uid="{00000000-0005-0000-0000-0000AD070000}"/>
    <cellStyle name="Normal 3 3 2 2 2 2" xfId="526" xr:uid="{00000000-0005-0000-0000-0000AE070000}"/>
    <cellStyle name="Normal 3 3 2 2 2 2 2" xfId="1993" xr:uid="{00000000-0005-0000-0000-0000AF070000}"/>
    <cellStyle name="Normal 3 3 2 2 2 3" xfId="851" xr:uid="{00000000-0005-0000-0000-0000B0070000}"/>
    <cellStyle name="Normal 3 3 2 2 2 3 2" xfId="2266" xr:uid="{00000000-0005-0000-0000-0000B1070000}"/>
    <cellStyle name="Normal 3 3 2 2 2 4" xfId="1071" xr:uid="{00000000-0005-0000-0000-0000B2070000}"/>
    <cellStyle name="Normal 3 3 2 2 2 4 2" xfId="2486" xr:uid="{00000000-0005-0000-0000-0000B3070000}"/>
    <cellStyle name="Normal 3 3 2 2 2 5" xfId="1352" xr:uid="{00000000-0005-0000-0000-0000B4070000}"/>
    <cellStyle name="Normal 3 3 2 2 2 6" xfId="1684" xr:uid="{00000000-0005-0000-0000-0000B5070000}"/>
    <cellStyle name="Normal 3 3 2 2 3" xfId="372" xr:uid="{00000000-0005-0000-0000-0000B6070000}"/>
    <cellStyle name="Normal 3 3 2 2 3 2" xfId="1839" xr:uid="{00000000-0005-0000-0000-0000B7070000}"/>
    <cellStyle name="Normal 3 3 2 2 4" xfId="768" xr:uid="{00000000-0005-0000-0000-0000B8070000}"/>
    <cellStyle name="Normal 3 3 2 2 4 2" xfId="2183" xr:uid="{00000000-0005-0000-0000-0000B9070000}"/>
    <cellStyle name="Normal 3 3 2 2 5" xfId="988" xr:uid="{00000000-0005-0000-0000-0000BA070000}"/>
    <cellStyle name="Normal 3 3 2 2 5 2" xfId="2403" xr:uid="{00000000-0005-0000-0000-0000BB070000}"/>
    <cellStyle name="Normal 3 3 2 2 6" xfId="1198" xr:uid="{00000000-0005-0000-0000-0000BC070000}"/>
    <cellStyle name="Normal 3 3 2 2 7" xfId="1530" xr:uid="{00000000-0005-0000-0000-0000BD070000}"/>
    <cellStyle name="Normal 3 3 2 3" xfId="75" xr:uid="{00000000-0005-0000-0000-0000BE070000}"/>
    <cellStyle name="Normal 3 3 2 3 2" xfId="231" xr:uid="{00000000-0005-0000-0000-0000BF070000}"/>
    <cellStyle name="Normal 3 3 2 3 2 2" xfId="543" xr:uid="{00000000-0005-0000-0000-0000C0070000}"/>
    <cellStyle name="Normal 3 3 2 3 2 2 2" xfId="2010" xr:uid="{00000000-0005-0000-0000-0000C1070000}"/>
    <cellStyle name="Normal 3 3 2 3 2 3" xfId="880" xr:uid="{00000000-0005-0000-0000-0000C2070000}"/>
    <cellStyle name="Normal 3 3 2 3 2 3 2" xfId="2295" xr:uid="{00000000-0005-0000-0000-0000C3070000}"/>
    <cellStyle name="Normal 3 3 2 3 2 4" xfId="1100" xr:uid="{00000000-0005-0000-0000-0000C4070000}"/>
    <cellStyle name="Normal 3 3 2 3 2 4 2" xfId="2515" xr:uid="{00000000-0005-0000-0000-0000C5070000}"/>
    <cellStyle name="Normal 3 3 2 3 2 5" xfId="1369" xr:uid="{00000000-0005-0000-0000-0000C6070000}"/>
    <cellStyle name="Normal 3 3 2 3 2 6" xfId="1701" xr:uid="{00000000-0005-0000-0000-0000C7070000}"/>
    <cellStyle name="Normal 3 3 2 3 3" xfId="389" xr:uid="{00000000-0005-0000-0000-0000C8070000}"/>
    <cellStyle name="Normal 3 3 2 3 3 2" xfId="1856" xr:uid="{00000000-0005-0000-0000-0000C9070000}"/>
    <cellStyle name="Normal 3 3 2 3 4" xfId="797" xr:uid="{00000000-0005-0000-0000-0000CA070000}"/>
    <cellStyle name="Normal 3 3 2 3 4 2" xfId="2212" xr:uid="{00000000-0005-0000-0000-0000CB070000}"/>
    <cellStyle name="Normal 3 3 2 3 5" xfId="1017" xr:uid="{00000000-0005-0000-0000-0000CC070000}"/>
    <cellStyle name="Normal 3 3 2 3 5 2" xfId="2432" xr:uid="{00000000-0005-0000-0000-0000CD070000}"/>
    <cellStyle name="Normal 3 3 2 3 6" xfId="1215" xr:uid="{00000000-0005-0000-0000-0000CE070000}"/>
    <cellStyle name="Normal 3 3 2 3 7" xfId="1547" xr:uid="{00000000-0005-0000-0000-0000CF070000}"/>
    <cellStyle name="Normal 3 3 2 4" xfId="110" xr:uid="{00000000-0005-0000-0000-0000D0070000}"/>
    <cellStyle name="Normal 3 3 2 4 2" xfId="264" xr:uid="{00000000-0005-0000-0000-0000D1070000}"/>
    <cellStyle name="Normal 3 3 2 4 2 2" xfId="576" xr:uid="{00000000-0005-0000-0000-0000D2070000}"/>
    <cellStyle name="Normal 3 3 2 4 2 2 2" xfId="2043" xr:uid="{00000000-0005-0000-0000-0000D3070000}"/>
    <cellStyle name="Normal 3 3 2 4 2 3" xfId="1402" xr:uid="{00000000-0005-0000-0000-0000D4070000}"/>
    <cellStyle name="Normal 3 3 2 4 2 4" xfId="1734" xr:uid="{00000000-0005-0000-0000-0000D5070000}"/>
    <cellStyle name="Normal 3 3 2 4 3" xfId="422" xr:uid="{00000000-0005-0000-0000-0000D6070000}"/>
    <cellStyle name="Normal 3 3 2 4 3 2" xfId="1889" xr:uid="{00000000-0005-0000-0000-0000D7070000}"/>
    <cellStyle name="Normal 3 3 2 4 4" xfId="817" xr:uid="{00000000-0005-0000-0000-0000D8070000}"/>
    <cellStyle name="Normal 3 3 2 4 4 2" xfId="2232" xr:uid="{00000000-0005-0000-0000-0000D9070000}"/>
    <cellStyle name="Normal 3 3 2 4 5" xfId="1037" xr:uid="{00000000-0005-0000-0000-0000DA070000}"/>
    <cellStyle name="Normal 3 3 2 4 5 2" xfId="2452" xr:uid="{00000000-0005-0000-0000-0000DB070000}"/>
    <cellStyle name="Normal 3 3 2 4 6" xfId="1248" xr:uid="{00000000-0005-0000-0000-0000DC070000}"/>
    <cellStyle name="Normal 3 3 2 4 7" xfId="1580" xr:uid="{00000000-0005-0000-0000-0000DD070000}"/>
    <cellStyle name="Normal 3 3 2 5" xfId="190" xr:uid="{00000000-0005-0000-0000-0000DE070000}"/>
    <cellStyle name="Normal 3 3 2 5 2" xfId="502" xr:uid="{00000000-0005-0000-0000-0000DF070000}"/>
    <cellStyle name="Normal 3 3 2 5 2 2" xfId="1969" xr:uid="{00000000-0005-0000-0000-0000E0070000}"/>
    <cellStyle name="Normal 3 3 2 5 3" xfId="911" xr:uid="{00000000-0005-0000-0000-0000E1070000}"/>
    <cellStyle name="Normal 3 3 2 5 3 2" xfId="2326" xr:uid="{00000000-0005-0000-0000-0000E2070000}"/>
    <cellStyle name="Normal 3 3 2 5 4" xfId="1131" xr:uid="{00000000-0005-0000-0000-0000E3070000}"/>
    <cellStyle name="Normal 3 3 2 5 4 2" xfId="2546" xr:uid="{00000000-0005-0000-0000-0000E4070000}"/>
    <cellStyle name="Normal 3 3 2 5 5" xfId="1328" xr:uid="{00000000-0005-0000-0000-0000E5070000}"/>
    <cellStyle name="Normal 3 3 2 5 6" xfId="1660" xr:uid="{00000000-0005-0000-0000-0000E6070000}"/>
    <cellStyle name="Normal 3 3 2 6" xfId="709" xr:uid="{00000000-0005-0000-0000-0000E7070000}"/>
    <cellStyle name="Normal 3 3 2 6 2" xfId="930" xr:uid="{00000000-0005-0000-0000-0000E8070000}"/>
    <cellStyle name="Normal 3 3 2 6 2 2" xfId="2345" xr:uid="{00000000-0005-0000-0000-0000E9070000}"/>
    <cellStyle name="Normal 3 3 2 6 3" xfId="1150" xr:uid="{00000000-0005-0000-0000-0000EA070000}"/>
    <cellStyle name="Normal 3 3 2 6 3 2" xfId="2565" xr:uid="{00000000-0005-0000-0000-0000EB070000}"/>
    <cellStyle name="Normal 3 3 2 6 4" xfId="1482" xr:uid="{00000000-0005-0000-0000-0000EC070000}"/>
    <cellStyle name="Normal 3 3 2 6 5" xfId="2125" xr:uid="{00000000-0005-0000-0000-0000ED070000}"/>
    <cellStyle name="Normal 3 3 2 7" xfId="348" xr:uid="{00000000-0005-0000-0000-0000EE070000}"/>
    <cellStyle name="Normal 3 3 2 7 2" xfId="1815" xr:uid="{00000000-0005-0000-0000-0000EF070000}"/>
    <cellStyle name="Normal 3 3 2 8" xfId="734" xr:uid="{00000000-0005-0000-0000-0000F0070000}"/>
    <cellStyle name="Normal 3 3 2 8 2" xfId="2149" xr:uid="{00000000-0005-0000-0000-0000F1070000}"/>
    <cellStyle name="Normal 3 3 2 9" xfId="954" xr:uid="{00000000-0005-0000-0000-0000F2070000}"/>
    <cellStyle name="Normal 3 3 2 9 2" xfId="2369" xr:uid="{00000000-0005-0000-0000-0000F3070000}"/>
    <cellStyle name="Normal 3 3 3" xfId="51" xr:uid="{00000000-0005-0000-0000-0000F4070000}"/>
    <cellStyle name="Normal 3 3 3 2" xfId="207" xr:uid="{00000000-0005-0000-0000-0000F5070000}"/>
    <cellStyle name="Normal 3 3 3 2 2" xfId="519" xr:uid="{00000000-0005-0000-0000-0000F6070000}"/>
    <cellStyle name="Normal 3 3 3 2 2 2" xfId="1986" xr:uid="{00000000-0005-0000-0000-0000F7070000}"/>
    <cellStyle name="Normal 3 3 3 2 3" xfId="834" xr:uid="{00000000-0005-0000-0000-0000F8070000}"/>
    <cellStyle name="Normal 3 3 3 2 3 2" xfId="2249" xr:uid="{00000000-0005-0000-0000-0000F9070000}"/>
    <cellStyle name="Normal 3 3 3 2 4" xfId="1054" xr:uid="{00000000-0005-0000-0000-0000FA070000}"/>
    <cellStyle name="Normal 3 3 3 2 4 2" xfId="2469" xr:uid="{00000000-0005-0000-0000-0000FB070000}"/>
    <cellStyle name="Normal 3 3 3 2 5" xfId="1345" xr:uid="{00000000-0005-0000-0000-0000FC070000}"/>
    <cellStyle name="Normal 3 3 3 2 6" xfId="1677" xr:uid="{00000000-0005-0000-0000-0000FD070000}"/>
    <cellStyle name="Normal 3 3 3 3" xfId="365" xr:uid="{00000000-0005-0000-0000-0000FE070000}"/>
    <cellStyle name="Normal 3 3 3 3 2" xfId="1832" xr:uid="{00000000-0005-0000-0000-0000FF070000}"/>
    <cellStyle name="Normal 3 3 3 4" xfId="751" xr:uid="{00000000-0005-0000-0000-000000080000}"/>
    <cellStyle name="Normal 3 3 3 4 2" xfId="2166" xr:uid="{00000000-0005-0000-0000-000001080000}"/>
    <cellStyle name="Normal 3 3 3 5" xfId="971" xr:uid="{00000000-0005-0000-0000-000002080000}"/>
    <cellStyle name="Normal 3 3 3 5 2" xfId="2386" xr:uid="{00000000-0005-0000-0000-000003080000}"/>
    <cellStyle name="Normal 3 3 3 6" xfId="1191" xr:uid="{00000000-0005-0000-0000-000004080000}"/>
    <cellStyle name="Normal 3 3 3 7" xfId="1523" xr:uid="{00000000-0005-0000-0000-000005080000}"/>
    <cellStyle name="Normal 3 3 4" xfId="78" xr:uid="{00000000-0005-0000-0000-000006080000}"/>
    <cellStyle name="Normal 3 3 4 2" xfId="234" xr:uid="{00000000-0005-0000-0000-000007080000}"/>
    <cellStyle name="Normal 3 3 4 2 2" xfId="546" xr:uid="{00000000-0005-0000-0000-000008080000}"/>
    <cellStyle name="Normal 3 3 4 2 2 2" xfId="2013" xr:uid="{00000000-0005-0000-0000-000009080000}"/>
    <cellStyle name="Normal 3 3 4 2 3" xfId="863" xr:uid="{00000000-0005-0000-0000-00000A080000}"/>
    <cellStyle name="Normal 3 3 4 2 3 2" xfId="2278" xr:uid="{00000000-0005-0000-0000-00000B080000}"/>
    <cellStyle name="Normal 3 3 4 2 4" xfId="1083" xr:uid="{00000000-0005-0000-0000-00000C080000}"/>
    <cellStyle name="Normal 3 3 4 2 4 2" xfId="2498" xr:uid="{00000000-0005-0000-0000-00000D080000}"/>
    <cellStyle name="Normal 3 3 4 2 5" xfId="1372" xr:uid="{00000000-0005-0000-0000-00000E080000}"/>
    <cellStyle name="Normal 3 3 4 2 6" xfId="1704" xr:uid="{00000000-0005-0000-0000-00000F080000}"/>
    <cellStyle name="Normal 3 3 4 3" xfId="392" xr:uid="{00000000-0005-0000-0000-000010080000}"/>
    <cellStyle name="Normal 3 3 4 3 2" xfId="1859" xr:uid="{00000000-0005-0000-0000-000011080000}"/>
    <cellStyle name="Normal 3 3 4 4" xfId="780" xr:uid="{00000000-0005-0000-0000-000012080000}"/>
    <cellStyle name="Normal 3 3 4 4 2" xfId="2195" xr:uid="{00000000-0005-0000-0000-000013080000}"/>
    <cellStyle name="Normal 3 3 4 5" xfId="1000" xr:uid="{00000000-0005-0000-0000-000014080000}"/>
    <cellStyle name="Normal 3 3 4 5 2" xfId="2415" xr:uid="{00000000-0005-0000-0000-000015080000}"/>
    <cellStyle name="Normal 3 3 4 6" xfId="1218" xr:uid="{00000000-0005-0000-0000-000016080000}"/>
    <cellStyle name="Normal 3 3 4 7" xfId="1550" xr:uid="{00000000-0005-0000-0000-000017080000}"/>
    <cellStyle name="Normal 3 3 5" xfId="103" xr:uid="{00000000-0005-0000-0000-000018080000}"/>
    <cellStyle name="Normal 3 3 5 2" xfId="257" xr:uid="{00000000-0005-0000-0000-000019080000}"/>
    <cellStyle name="Normal 3 3 5 2 2" xfId="569" xr:uid="{00000000-0005-0000-0000-00001A080000}"/>
    <cellStyle name="Normal 3 3 5 2 2 2" xfId="2036" xr:uid="{00000000-0005-0000-0000-00001B080000}"/>
    <cellStyle name="Normal 3 3 5 2 3" xfId="1395" xr:uid="{00000000-0005-0000-0000-00001C080000}"/>
    <cellStyle name="Normal 3 3 5 2 4" xfId="1727" xr:uid="{00000000-0005-0000-0000-00001D080000}"/>
    <cellStyle name="Normal 3 3 5 3" xfId="415" xr:uid="{00000000-0005-0000-0000-00001E080000}"/>
    <cellStyle name="Normal 3 3 5 3 2" xfId="1882" xr:uid="{00000000-0005-0000-0000-00001F080000}"/>
    <cellStyle name="Normal 3 3 5 4" xfId="810" xr:uid="{00000000-0005-0000-0000-000020080000}"/>
    <cellStyle name="Normal 3 3 5 4 2" xfId="2225" xr:uid="{00000000-0005-0000-0000-000021080000}"/>
    <cellStyle name="Normal 3 3 5 5" xfId="1030" xr:uid="{00000000-0005-0000-0000-000022080000}"/>
    <cellStyle name="Normal 3 3 5 5 2" xfId="2445" xr:uid="{00000000-0005-0000-0000-000023080000}"/>
    <cellStyle name="Normal 3 3 5 6" xfId="1241" xr:uid="{00000000-0005-0000-0000-000024080000}"/>
    <cellStyle name="Normal 3 3 5 7" xfId="1573" xr:uid="{00000000-0005-0000-0000-000025080000}"/>
    <cellStyle name="Normal 3 3 6" xfId="130" xr:uid="{00000000-0005-0000-0000-000026080000}"/>
    <cellStyle name="Normal 3 3 6 2" xfId="284" xr:uid="{00000000-0005-0000-0000-000027080000}"/>
    <cellStyle name="Normal 3 3 6 2 2" xfId="596" xr:uid="{00000000-0005-0000-0000-000028080000}"/>
    <cellStyle name="Normal 3 3 6 2 2 2" xfId="2063" xr:uid="{00000000-0005-0000-0000-000029080000}"/>
    <cellStyle name="Normal 3 3 6 2 3" xfId="1422" xr:uid="{00000000-0005-0000-0000-00002A080000}"/>
    <cellStyle name="Normal 3 3 6 2 4" xfId="1754" xr:uid="{00000000-0005-0000-0000-00002B080000}"/>
    <cellStyle name="Normal 3 3 6 3" xfId="442" xr:uid="{00000000-0005-0000-0000-00002C080000}"/>
    <cellStyle name="Normal 3 3 6 3 2" xfId="1909" xr:uid="{00000000-0005-0000-0000-00002D080000}"/>
    <cellStyle name="Normal 3 3 6 4" xfId="894" xr:uid="{00000000-0005-0000-0000-00002E080000}"/>
    <cellStyle name="Normal 3 3 6 4 2" xfId="2309" xr:uid="{00000000-0005-0000-0000-00002F080000}"/>
    <cellStyle name="Normal 3 3 6 5" xfId="1114" xr:uid="{00000000-0005-0000-0000-000030080000}"/>
    <cellStyle name="Normal 3 3 6 5 2" xfId="2529" xr:uid="{00000000-0005-0000-0000-000031080000}"/>
    <cellStyle name="Normal 3 3 6 6" xfId="1268" xr:uid="{00000000-0005-0000-0000-000032080000}"/>
    <cellStyle name="Normal 3 3 6 7" xfId="1600" xr:uid="{00000000-0005-0000-0000-000033080000}"/>
    <cellStyle name="Normal 3 3 7" xfId="149" xr:uid="{00000000-0005-0000-0000-000034080000}"/>
    <cellStyle name="Normal 3 3 7 2" xfId="303" xr:uid="{00000000-0005-0000-0000-000035080000}"/>
    <cellStyle name="Normal 3 3 7 2 2" xfId="615" xr:uid="{00000000-0005-0000-0000-000036080000}"/>
    <cellStyle name="Normal 3 3 7 2 2 2" xfId="2082" xr:uid="{00000000-0005-0000-0000-000037080000}"/>
    <cellStyle name="Normal 3 3 7 2 3" xfId="1441" xr:uid="{00000000-0005-0000-0000-000038080000}"/>
    <cellStyle name="Normal 3 3 7 2 4" xfId="1773" xr:uid="{00000000-0005-0000-0000-000039080000}"/>
    <cellStyle name="Normal 3 3 7 3" xfId="461" xr:uid="{00000000-0005-0000-0000-00003A080000}"/>
    <cellStyle name="Normal 3 3 7 3 2" xfId="1928" xr:uid="{00000000-0005-0000-0000-00003B080000}"/>
    <cellStyle name="Normal 3 3 7 4" xfId="923" xr:uid="{00000000-0005-0000-0000-00003C080000}"/>
    <cellStyle name="Normal 3 3 7 4 2" xfId="2338" xr:uid="{00000000-0005-0000-0000-00003D080000}"/>
    <cellStyle name="Normal 3 3 7 5" xfId="1143" xr:uid="{00000000-0005-0000-0000-00003E080000}"/>
    <cellStyle name="Normal 3 3 7 5 2" xfId="2558" xr:uid="{00000000-0005-0000-0000-00003F080000}"/>
    <cellStyle name="Normal 3 3 7 6" xfId="1287" xr:uid="{00000000-0005-0000-0000-000040080000}"/>
    <cellStyle name="Normal 3 3 7 7" xfId="1619" xr:uid="{00000000-0005-0000-0000-000041080000}"/>
    <cellStyle name="Normal 3 3 8" xfId="166" xr:uid="{00000000-0005-0000-0000-000042080000}"/>
    <cellStyle name="Normal 3 3 8 2" xfId="320" xr:uid="{00000000-0005-0000-0000-000043080000}"/>
    <cellStyle name="Normal 3 3 8 2 2" xfId="632" xr:uid="{00000000-0005-0000-0000-000044080000}"/>
    <cellStyle name="Normal 3 3 8 2 2 2" xfId="2099" xr:uid="{00000000-0005-0000-0000-000045080000}"/>
    <cellStyle name="Normal 3 3 8 2 3" xfId="1458" xr:uid="{00000000-0005-0000-0000-000046080000}"/>
    <cellStyle name="Normal 3 3 8 2 4" xfId="1790" xr:uid="{00000000-0005-0000-0000-000047080000}"/>
    <cellStyle name="Normal 3 3 8 3" xfId="478" xr:uid="{00000000-0005-0000-0000-000048080000}"/>
    <cellStyle name="Normal 3 3 8 3 2" xfId="1945" xr:uid="{00000000-0005-0000-0000-000049080000}"/>
    <cellStyle name="Normal 3 3 8 4" xfId="1304" xr:uid="{00000000-0005-0000-0000-00004A080000}"/>
    <cellStyle name="Normal 3 3 8 5" xfId="1636" xr:uid="{00000000-0005-0000-0000-00004B080000}"/>
    <cellStyle name="Normal 3 3 9" xfId="183" xr:uid="{00000000-0005-0000-0000-00004C080000}"/>
    <cellStyle name="Normal 3 3 9 2" xfId="495" xr:uid="{00000000-0005-0000-0000-00004D080000}"/>
    <cellStyle name="Normal 3 3 9 2 2" xfId="1962" xr:uid="{00000000-0005-0000-0000-00004E080000}"/>
    <cellStyle name="Normal 3 3 9 3" xfId="1321" xr:uid="{00000000-0005-0000-0000-00004F080000}"/>
    <cellStyle name="Normal 3 3 9 4" xfId="1653" xr:uid="{00000000-0005-0000-0000-000050080000}"/>
    <cellStyle name="Normal 3 4" xfId="27" xr:uid="{00000000-0005-0000-0000-000051080000}"/>
    <cellStyle name="Normal 3 4 10" xfId="342" xr:uid="{00000000-0005-0000-0000-000052080000}"/>
    <cellStyle name="Normal 3 4 10 2" xfId="1809" xr:uid="{00000000-0005-0000-0000-000053080000}"/>
    <cellStyle name="Normal 3 4 11" xfId="728" xr:uid="{00000000-0005-0000-0000-000054080000}"/>
    <cellStyle name="Normal 3 4 11 2" xfId="2143" xr:uid="{00000000-0005-0000-0000-000055080000}"/>
    <cellStyle name="Normal 3 4 12" xfId="948" xr:uid="{00000000-0005-0000-0000-000056080000}"/>
    <cellStyle name="Normal 3 4 12 2" xfId="2363" xr:uid="{00000000-0005-0000-0000-000057080000}"/>
    <cellStyle name="Normal 3 4 13" xfId="1168" xr:uid="{00000000-0005-0000-0000-000058080000}"/>
    <cellStyle name="Normal 3 4 14" xfId="1500" xr:uid="{00000000-0005-0000-0000-000059080000}"/>
    <cellStyle name="Normal 3 4 2" xfId="38" xr:uid="{00000000-0005-0000-0000-00005A080000}"/>
    <cellStyle name="Normal 3 4 2 10" xfId="1178" xr:uid="{00000000-0005-0000-0000-00005B080000}"/>
    <cellStyle name="Normal 3 4 2 11" xfId="1510" xr:uid="{00000000-0005-0000-0000-00005C080000}"/>
    <cellStyle name="Normal 3 4 2 2" xfId="62" xr:uid="{00000000-0005-0000-0000-00005D080000}"/>
    <cellStyle name="Normal 3 4 2 2 2" xfId="218" xr:uid="{00000000-0005-0000-0000-00005E080000}"/>
    <cellStyle name="Normal 3 4 2 2 2 2" xfId="530" xr:uid="{00000000-0005-0000-0000-00005F080000}"/>
    <cellStyle name="Normal 3 4 2 2 2 2 2" xfId="1997" xr:uid="{00000000-0005-0000-0000-000060080000}"/>
    <cellStyle name="Normal 3 4 2 2 2 3" xfId="852" xr:uid="{00000000-0005-0000-0000-000061080000}"/>
    <cellStyle name="Normal 3 4 2 2 2 3 2" xfId="2267" xr:uid="{00000000-0005-0000-0000-000062080000}"/>
    <cellStyle name="Normal 3 4 2 2 2 4" xfId="1072" xr:uid="{00000000-0005-0000-0000-000063080000}"/>
    <cellStyle name="Normal 3 4 2 2 2 4 2" xfId="2487" xr:uid="{00000000-0005-0000-0000-000064080000}"/>
    <cellStyle name="Normal 3 4 2 2 2 5" xfId="1356" xr:uid="{00000000-0005-0000-0000-000065080000}"/>
    <cellStyle name="Normal 3 4 2 2 2 6" xfId="1688" xr:uid="{00000000-0005-0000-0000-000066080000}"/>
    <cellStyle name="Normal 3 4 2 2 3" xfId="376" xr:uid="{00000000-0005-0000-0000-000067080000}"/>
    <cellStyle name="Normal 3 4 2 2 3 2" xfId="1843" xr:uid="{00000000-0005-0000-0000-000068080000}"/>
    <cellStyle name="Normal 3 4 2 2 4" xfId="769" xr:uid="{00000000-0005-0000-0000-000069080000}"/>
    <cellStyle name="Normal 3 4 2 2 4 2" xfId="2184" xr:uid="{00000000-0005-0000-0000-00006A080000}"/>
    <cellStyle name="Normal 3 4 2 2 5" xfId="989" xr:uid="{00000000-0005-0000-0000-00006B080000}"/>
    <cellStyle name="Normal 3 4 2 2 5 2" xfId="2404" xr:uid="{00000000-0005-0000-0000-00006C080000}"/>
    <cellStyle name="Normal 3 4 2 2 6" xfId="1202" xr:uid="{00000000-0005-0000-0000-00006D080000}"/>
    <cellStyle name="Normal 3 4 2 2 7" xfId="1534" xr:uid="{00000000-0005-0000-0000-00006E080000}"/>
    <cellStyle name="Normal 3 4 2 3" xfId="90" xr:uid="{00000000-0005-0000-0000-00006F080000}"/>
    <cellStyle name="Normal 3 4 2 3 2" xfId="244" xr:uid="{00000000-0005-0000-0000-000070080000}"/>
    <cellStyle name="Normal 3 4 2 3 2 2" xfId="556" xr:uid="{00000000-0005-0000-0000-000071080000}"/>
    <cellStyle name="Normal 3 4 2 3 2 2 2" xfId="2023" xr:uid="{00000000-0005-0000-0000-000072080000}"/>
    <cellStyle name="Normal 3 4 2 3 2 3" xfId="881" xr:uid="{00000000-0005-0000-0000-000073080000}"/>
    <cellStyle name="Normal 3 4 2 3 2 3 2" xfId="2296" xr:uid="{00000000-0005-0000-0000-000074080000}"/>
    <cellStyle name="Normal 3 4 2 3 2 4" xfId="1101" xr:uid="{00000000-0005-0000-0000-000075080000}"/>
    <cellStyle name="Normal 3 4 2 3 2 4 2" xfId="2516" xr:uid="{00000000-0005-0000-0000-000076080000}"/>
    <cellStyle name="Normal 3 4 2 3 2 5" xfId="1382" xr:uid="{00000000-0005-0000-0000-000077080000}"/>
    <cellStyle name="Normal 3 4 2 3 2 6" xfId="1714" xr:uid="{00000000-0005-0000-0000-000078080000}"/>
    <cellStyle name="Normal 3 4 2 3 3" xfId="402" xr:uid="{00000000-0005-0000-0000-000079080000}"/>
    <cellStyle name="Normal 3 4 2 3 3 2" xfId="1869" xr:uid="{00000000-0005-0000-0000-00007A080000}"/>
    <cellStyle name="Normal 3 4 2 3 4" xfId="798" xr:uid="{00000000-0005-0000-0000-00007B080000}"/>
    <cellStyle name="Normal 3 4 2 3 4 2" xfId="2213" xr:uid="{00000000-0005-0000-0000-00007C080000}"/>
    <cellStyle name="Normal 3 4 2 3 5" xfId="1018" xr:uid="{00000000-0005-0000-0000-00007D080000}"/>
    <cellStyle name="Normal 3 4 2 3 5 2" xfId="2433" xr:uid="{00000000-0005-0000-0000-00007E080000}"/>
    <cellStyle name="Normal 3 4 2 3 6" xfId="1228" xr:uid="{00000000-0005-0000-0000-00007F080000}"/>
    <cellStyle name="Normal 3 4 2 3 7" xfId="1560" xr:uid="{00000000-0005-0000-0000-000080080000}"/>
    <cellStyle name="Normal 3 4 2 4" xfId="114" xr:uid="{00000000-0005-0000-0000-000081080000}"/>
    <cellStyle name="Normal 3 4 2 4 2" xfId="268" xr:uid="{00000000-0005-0000-0000-000082080000}"/>
    <cellStyle name="Normal 3 4 2 4 2 2" xfId="580" xr:uid="{00000000-0005-0000-0000-000083080000}"/>
    <cellStyle name="Normal 3 4 2 4 2 2 2" xfId="2047" xr:uid="{00000000-0005-0000-0000-000084080000}"/>
    <cellStyle name="Normal 3 4 2 4 2 3" xfId="1406" xr:uid="{00000000-0005-0000-0000-000085080000}"/>
    <cellStyle name="Normal 3 4 2 4 2 4" xfId="1738" xr:uid="{00000000-0005-0000-0000-000086080000}"/>
    <cellStyle name="Normal 3 4 2 4 3" xfId="426" xr:uid="{00000000-0005-0000-0000-000087080000}"/>
    <cellStyle name="Normal 3 4 2 4 3 2" xfId="1893" xr:uid="{00000000-0005-0000-0000-000088080000}"/>
    <cellStyle name="Normal 3 4 2 4 4" xfId="821" xr:uid="{00000000-0005-0000-0000-000089080000}"/>
    <cellStyle name="Normal 3 4 2 4 4 2" xfId="2236" xr:uid="{00000000-0005-0000-0000-00008A080000}"/>
    <cellStyle name="Normal 3 4 2 4 5" xfId="1041" xr:uid="{00000000-0005-0000-0000-00008B080000}"/>
    <cellStyle name="Normal 3 4 2 4 5 2" xfId="2456" xr:uid="{00000000-0005-0000-0000-00008C080000}"/>
    <cellStyle name="Normal 3 4 2 4 6" xfId="1252" xr:uid="{00000000-0005-0000-0000-00008D080000}"/>
    <cellStyle name="Normal 3 4 2 4 7" xfId="1584" xr:uid="{00000000-0005-0000-0000-00008E080000}"/>
    <cellStyle name="Normal 3 4 2 5" xfId="194" xr:uid="{00000000-0005-0000-0000-00008F080000}"/>
    <cellStyle name="Normal 3 4 2 5 2" xfId="506" xr:uid="{00000000-0005-0000-0000-000090080000}"/>
    <cellStyle name="Normal 3 4 2 5 2 2" xfId="1973" xr:uid="{00000000-0005-0000-0000-000091080000}"/>
    <cellStyle name="Normal 3 4 2 5 3" xfId="912" xr:uid="{00000000-0005-0000-0000-000092080000}"/>
    <cellStyle name="Normal 3 4 2 5 3 2" xfId="2327" xr:uid="{00000000-0005-0000-0000-000093080000}"/>
    <cellStyle name="Normal 3 4 2 5 4" xfId="1132" xr:uid="{00000000-0005-0000-0000-000094080000}"/>
    <cellStyle name="Normal 3 4 2 5 4 2" xfId="2547" xr:uid="{00000000-0005-0000-0000-000095080000}"/>
    <cellStyle name="Normal 3 4 2 5 5" xfId="1332" xr:uid="{00000000-0005-0000-0000-000096080000}"/>
    <cellStyle name="Normal 3 4 2 5 6" xfId="1664" xr:uid="{00000000-0005-0000-0000-000097080000}"/>
    <cellStyle name="Normal 3 4 2 6" xfId="713" xr:uid="{00000000-0005-0000-0000-000098080000}"/>
    <cellStyle name="Normal 3 4 2 6 2" xfId="934" xr:uid="{00000000-0005-0000-0000-000099080000}"/>
    <cellStyle name="Normal 3 4 2 6 2 2" xfId="2349" xr:uid="{00000000-0005-0000-0000-00009A080000}"/>
    <cellStyle name="Normal 3 4 2 6 3" xfId="1154" xr:uid="{00000000-0005-0000-0000-00009B080000}"/>
    <cellStyle name="Normal 3 4 2 6 3 2" xfId="2569" xr:uid="{00000000-0005-0000-0000-00009C080000}"/>
    <cellStyle name="Normal 3 4 2 6 4" xfId="1486" xr:uid="{00000000-0005-0000-0000-00009D080000}"/>
    <cellStyle name="Normal 3 4 2 6 5" xfId="2129" xr:uid="{00000000-0005-0000-0000-00009E080000}"/>
    <cellStyle name="Normal 3 4 2 7" xfId="352" xr:uid="{00000000-0005-0000-0000-00009F080000}"/>
    <cellStyle name="Normal 3 4 2 7 2" xfId="1819" xr:uid="{00000000-0005-0000-0000-0000A0080000}"/>
    <cellStyle name="Normal 3 4 2 8" xfId="738" xr:uid="{00000000-0005-0000-0000-0000A1080000}"/>
    <cellStyle name="Normal 3 4 2 8 2" xfId="2153" xr:uid="{00000000-0005-0000-0000-0000A2080000}"/>
    <cellStyle name="Normal 3 4 2 9" xfId="958" xr:uid="{00000000-0005-0000-0000-0000A3080000}"/>
    <cellStyle name="Normal 3 4 2 9 2" xfId="2373" xr:uid="{00000000-0005-0000-0000-0000A4080000}"/>
    <cellStyle name="Normal 3 4 3" xfId="52" xr:uid="{00000000-0005-0000-0000-0000A5080000}"/>
    <cellStyle name="Normal 3 4 3 2" xfId="208" xr:uid="{00000000-0005-0000-0000-0000A6080000}"/>
    <cellStyle name="Normal 3 4 3 2 2" xfId="520" xr:uid="{00000000-0005-0000-0000-0000A7080000}"/>
    <cellStyle name="Normal 3 4 3 2 2 2" xfId="1987" xr:uid="{00000000-0005-0000-0000-0000A8080000}"/>
    <cellStyle name="Normal 3 4 3 2 3" xfId="835" xr:uid="{00000000-0005-0000-0000-0000A9080000}"/>
    <cellStyle name="Normal 3 4 3 2 3 2" xfId="2250" xr:uid="{00000000-0005-0000-0000-0000AA080000}"/>
    <cellStyle name="Normal 3 4 3 2 4" xfId="1055" xr:uid="{00000000-0005-0000-0000-0000AB080000}"/>
    <cellStyle name="Normal 3 4 3 2 4 2" xfId="2470" xr:uid="{00000000-0005-0000-0000-0000AC080000}"/>
    <cellStyle name="Normal 3 4 3 2 5" xfId="1346" xr:uid="{00000000-0005-0000-0000-0000AD080000}"/>
    <cellStyle name="Normal 3 4 3 2 6" xfId="1678" xr:uid="{00000000-0005-0000-0000-0000AE080000}"/>
    <cellStyle name="Normal 3 4 3 3" xfId="366" xr:uid="{00000000-0005-0000-0000-0000AF080000}"/>
    <cellStyle name="Normal 3 4 3 3 2" xfId="1833" xr:uid="{00000000-0005-0000-0000-0000B0080000}"/>
    <cellStyle name="Normal 3 4 3 4" xfId="752" xr:uid="{00000000-0005-0000-0000-0000B1080000}"/>
    <cellStyle name="Normal 3 4 3 4 2" xfId="2167" xr:uid="{00000000-0005-0000-0000-0000B2080000}"/>
    <cellStyle name="Normal 3 4 3 5" xfId="972" xr:uid="{00000000-0005-0000-0000-0000B3080000}"/>
    <cellStyle name="Normal 3 4 3 5 2" xfId="2387" xr:uid="{00000000-0005-0000-0000-0000B4080000}"/>
    <cellStyle name="Normal 3 4 3 6" xfId="1192" xr:uid="{00000000-0005-0000-0000-0000B5080000}"/>
    <cellStyle name="Normal 3 4 3 7" xfId="1524" xr:uid="{00000000-0005-0000-0000-0000B6080000}"/>
    <cellStyle name="Normal 3 4 4" xfId="79" xr:uid="{00000000-0005-0000-0000-0000B7080000}"/>
    <cellStyle name="Normal 3 4 4 2" xfId="235" xr:uid="{00000000-0005-0000-0000-0000B8080000}"/>
    <cellStyle name="Normal 3 4 4 2 2" xfId="547" xr:uid="{00000000-0005-0000-0000-0000B9080000}"/>
    <cellStyle name="Normal 3 4 4 2 2 2" xfId="2014" xr:uid="{00000000-0005-0000-0000-0000BA080000}"/>
    <cellStyle name="Normal 3 4 4 2 3" xfId="864" xr:uid="{00000000-0005-0000-0000-0000BB080000}"/>
    <cellStyle name="Normal 3 4 4 2 3 2" xfId="2279" xr:uid="{00000000-0005-0000-0000-0000BC080000}"/>
    <cellStyle name="Normal 3 4 4 2 4" xfId="1084" xr:uid="{00000000-0005-0000-0000-0000BD080000}"/>
    <cellStyle name="Normal 3 4 4 2 4 2" xfId="2499" xr:uid="{00000000-0005-0000-0000-0000BE080000}"/>
    <cellStyle name="Normal 3 4 4 2 5" xfId="1373" xr:uid="{00000000-0005-0000-0000-0000BF080000}"/>
    <cellStyle name="Normal 3 4 4 2 6" xfId="1705" xr:uid="{00000000-0005-0000-0000-0000C0080000}"/>
    <cellStyle name="Normal 3 4 4 3" xfId="393" xr:uid="{00000000-0005-0000-0000-0000C1080000}"/>
    <cellStyle name="Normal 3 4 4 3 2" xfId="1860" xr:uid="{00000000-0005-0000-0000-0000C2080000}"/>
    <cellStyle name="Normal 3 4 4 4" xfId="781" xr:uid="{00000000-0005-0000-0000-0000C3080000}"/>
    <cellStyle name="Normal 3 4 4 4 2" xfId="2196" xr:uid="{00000000-0005-0000-0000-0000C4080000}"/>
    <cellStyle name="Normal 3 4 4 5" xfId="1001" xr:uid="{00000000-0005-0000-0000-0000C5080000}"/>
    <cellStyle name="Normal 3 4 4 5 2" xfId="2416" xr:uid="{00000000-0005-0000-0000-0000C6080000}"/>
    <cellStyle name="Normal 3 4 4 6" xfId="1219" xr:uid="{00000000-0005-0000-0000-0000C7080000}"/>
    <cellStyle name="Normal 3 4 4 7" xfId="1551" xr:uid="{00000000-0005-0000-0000-0000C8080000}"/>
    <cellStyle name="Normal 3 4 5" xfId="104" xr:uid="{00000000-0005-0000-0000-0000C9080000}"/>
    <cellStyle name="Normal 3 4 5 2" xfId="258" xr:uid="{00000000-0005-0000-0000-0000CA080000}"/>
    <cellStyle name="Normal 3 4 5 2 2" xfId="570" xr:uid="{00000000-0005-0000-0000-0000CB080000}"/>
    <cellStyle name="Normal 3 4 5 2 2 2" xfId="2037" xr:uid="{00000000-0005-0000-0000-0000CC080000}"/>
    <cellStyle name="Normal 3 4 5 2 3" xfId="1396" xr:uid="{00000000-0005-0000-0000-0000CD080000}"/>
    <cellStyle name="Normal 3 4 5 2 4" xfId="1728" xr:uid="{00000000-0005-0000-0000-0000CE080000}"/>
    <cellStyle name="Normal 3 4 5 3" xfId="416" xr:uid="{00000000-0005-0000-0000-0000CF080000}"/>
    <cellStyle name="Normal 3 4 5 3 2" xfId="1883" xr:uid="{00000000-0005-0000-0000-0000D0080000}"/>
    <cellStyle name="Normal 3 4 5 4" xfId="811" xr:uid="{00000000-0005-0000-0000-0000D1080000}"/>
    <cellStyle name="Normal 3 4 5 4 2" xfId="2226" xr:uid="{00000000-0005-0000-0000-0000D2080000}"/>
    <cellStyle name="Normal 3 4 5 5" xfId="1031" xr:uid="{00000000-0005-0000-0000-0000D3080000}"/>
    <cellStyle name="Normal 3 4 5 5 2" xfId="2446" xr:uid="{00000000-0005-0000-0000-0000D4080000}"/>
    <cellStyle name="Normal 3 4 5 6" xfId="1242" xr:uid="{00000000-0005-0000-0000-0000D5080000}"/>
    <cellStyle name="Normal 3 4 5 7" xfId="1574" xr:uid="{00000000-0005-0000-0000-0000D6080000}"/>
    <cellStyle name="Normal 3 4 6" xfId="131" xr:uid="{00000000-0005-0000-0000-0000D7080000}"/>
    <cellStyle name="Normal 3 4 6 2" xfId="285" xr:uid="{00000000-0005-0000-0000-0000D8080000}"/>
    <cellStyle name="Normal 3 4 6 2 2" xfId="597" xr:uid="{00000000-0005-0000-0000-0000D9080000}"/>
    <cellStyle name="Normal 3 4 6 2 2 2" xfId="2064" xr:uid="{00000000-0005-0000-0000-0000DA080000}"/>
    <cellStyle name="Normal 3 4 6 2 3" xfId="1423" xr:uid="{00000000-0005-0000-0000-0000DB080000}"/>
    <cellStyle name="Normal 3 4 6 2 4" xfId="1755" xr:uid="{00000000-0005-0000-0000-0000DC080000}"/>
    <cellStyle name="Normal 3 4 6 3" xfId="443" xr:uid="{00000000-0005-0000-0000-0000DD080000}"/>
    <cellStyle name="Normal 3 4 6 3 2" xfId="1910" xr:uid="{00000000-0005-0000-0000-0000DE080000}"/>
    <cellStyle name="Normal 3 4 6 4" xfId="895" xr:uid="{00000000-0005-0000-0000-0000DF080000}"/>
    <cellStyle name="Normal 3 4 6 4 2" xfId="2310" xr:uid="{00000000-0005-0000-0000-0000E0080000}"/>
    <cellStyle name="Normal 3 4 6 5" xfId="1115" xr:uid="{00000000-0005-0000-0000-0000E1080000}"/>
    <cellStyle name="Normal 3 4 6 5 2" xfId="2530" xr:uid="{00000000-0005-0000-0000-0000E2080000}"/>
    <cellStyle name="Normal 3 4 6 6" xfId="1269" xr:uid="{00000000-0005-0000-0000-0000E3080000}"/>
    <cellStyle name="Normal 3 4 6 7" xfId="1601" xr:uid="{00000000-0005-0000-0000-0000E4080000}"/>
    <cellStyle name="Normal 3 4 7" xfId="150" xr:uid="{00000000-0005-0000-0000-0000E5080000}"/>
    <cellStyle name="Normal 3 4 7 2" xfId="304" xr:uid="{00000000-0005-0000-0000-0000E6080000}"/>
    <cellStyle name="Normal 3 4 7 2 2" xfId="616" xr:uid="{00000000-0005-0000-0000-0000E7080000}"/>
    <cellStyle name="Normal 3 4 7 2 2 2" xfId="2083" xr:uid="{00000000-0005-0000-0000-0000E8080000}"/>
    <cellStyle name="Normal 3 4 7 2 3" xfId="1442" xr:uid="{00000000-0005-0000-0000-0000E9080000}"/>
    <cellStyle name="Normal 3 4 7 2 4" xfId="1774" xr:uid="{00000000-0005-0000-0000-0000EA080000}"/>
    <cellStyle name="Normal 3 4 7 3" xfId="462" xr:uid="{00000000-0005-0000-0000-0000EB080000}"/>
    <cellStyle name="Normal 3 4 7 3 2" xfId="1929" xr:uid="{00000000-0005-0000-0000-0000EC080000}"/>
    <cellStyle name="Normal 3 4 7 4" xfId="924" xr:uid="{00000000-0005-0000-0000-0000ED080000}"/>
    <cellStyle name="Normal 3 4 7 4 2" xfId="2339" xr:uid="{00000000-0005-0000-0000-0000EE080000}"/>
    <cellStyle name="Normal 3 4 7 5" xfId="1144" xr:uid="{00000000-0005-0000-0000-0000EF080000}"/>
    <cellStyle name="Normal 3 4 7 5 2" xfId="2559" xr:uid="{00000000-0005-0000-0000-0000F0080000}"/>
    <cellStyle name="Normal 3 4 7 6" xfId="1288" xr:uid="{00000000-0005-0000-0000-0000F1080000}"/>
    <cellStyle name="Normal 3 4 7 7" xfId="1620" xr:uid="{00000000-0005-0000-0000-0000F2080000}"/>
    <cellStyle name="Normal 3 4 8" xfId="167" xr:uid="{00000000-0005-0000-0000-0000F3080000}"/>
    <cellStyle name="Normal 3 4 8 2" xfId="321" xr:uid="{00000000-0005-0000-0000-0000F4080000}"/>
    <cellStyle name="Normal 3 4 8 2 2" xfId="633" xr:uid="{00000000-0005-0000-0000-0000F5080000}"/>
    <cellStyle name="Normal 3 4 8 2 2 2" xfId="2100" xr:uid="{00000000-0005-0000-0000-0000F6080000}"/>
    <cellStyle name="Normal 3 4 8 2 3" xfId="1459" xr:uid="{00000000-0005-0000-0000-0000F7080000}"/>
    <cellStyle name="Normal 3 4 8 2 4" xfId="1791" xr:uid="{00000000-0005-0000-0000-0000F8080000}"/>
    <cellStyle name="Normal 3 4 8 3" xfId="479" xr:uid="{00000000-0005-0000-0000-0000F9080000}"/>
    <cellStyle name="Normal 3 4 8 3 2" xfId="1946" xr:uid="{00000000-0005-0000-0000-0000FA080000}"/>
    <cellStyle name="Normal 3 4 8 4" xfId="1305" xr:uid="{00000000-0005-0000-0000-0000FB080000}"/>
    <cellStyle name="Normal 3 4 8 5" xfId="1637" xr:uid="{00000000-0005-0000-0000-0000FC080000}"/>
    <cellStyle name="Normal 3 4 9" xfId="184" xr:uid="{00000000-0005-0000-0000-0000FD080000}"/>
    <cellStyle name="Normal 3 4 9 2" xfId="496" xr:uid="{00000000-0005-0000-0000-0000FE080000}"/>
    <cellStyle name="Normal 3 4 9 2 2" xfId="1963" xr:uid="{00000000-0005-0000-0000-0000FF080000}"/>
    <cellStyle name="Normal 3 4 9 3" xfId="1322" xr:uid="{00000000-0005-0000-0000-000000090000}"/>
    <cellStyle name="Normal 3 4 9 4" xfId="1654" xr:uid="{00000000-0005-0000-0000-000001090000}"/>
    <cellStyle name="Normal 3 5" xfId="30" xr:uid="{00000000-0005-0000-0000-000002090000}"/>
    <cellStyle name="Normal 3 5 10" xfId="1170" xr:uid="{00000000-0005-0000-0000-000003090000}"/>
    <cellStyle name="Normal 3 5 11" xfId="1502" xr:uid="{00000000-0005-0000-0000-000004090000}"/>
    <cellStyle name="Normal 3 5 2" xfId="54" xr:uid="{00000000-0005-0000-0000-000005090000}"/>
    <cellStyle name="Normal 3 5 2 2" xfId="210" xr:uid="{00000000-0005-0000-0000-000006090000}"/>
    <cellStyle name="Normal 3 5 2 2 2" xfId="522" xr:uid="{00000000-0005-0000-0000-000007090000}"/>
    <cellStyle name="Normal 3 5 2 2 2 2" xfId="1989" xr:uid="{00000000-0005-0000-0000-000008090000}"/>
    <cellStyle name="Normal 3 5 2 2 3" xfId="1348" xr:uid="{00000000-0005-0000-0000-000009090000}"/>
    <cellStyle name="Normal 3 5 2 2 4" xfId="1680" xr:uid="{00000000-0005-0000-0000-00000A090000}"/>
    <cellStyle name="Normal 3 5 2 3" xfId="640" xr:uid="{00000000-0005-0000-0000-00000B090000}"/>
    <cellStyle name="Normal 3 5 2 4" xfId="368" xr:uid="{00000000-0005-0000-0000-00000C090000}"/>
    <cellStyle name="Normal 3 5 2 4 2" xfId="1835" xr:uid="{00000000-0005-0000-0000-00000D090000}"/>
    <cellStyle name="Normal 3 5 2 5" xfId="1194" xr:uid="{00000000-0005-0000-0000-00000E090000}"/>
    <cellStyle name="Normal 3 5 2 6" xfId="1526" xr:uid="{00000000-0005-0000-0000-00000F090000}"/>
    <cellStyle name="Normal 3 5 3" xfId="82" xr:uid="{00000000-0005-0000-0000-000010090000}"/>
    <cellStyle name="Normal 3 5 3 2" xfId="646" xr:uid="{00000000-0005-0000-0000-000011090000}"/>
    <cellStyle name="Normal 3 5 3 2 2" xfId="1465" xr:uid="{00000000-0005-0000-0000-000012090000}"/>
    <cellStyle name="Normal 3 5 3 2 3" xfId="2107" xr:uid="{00000000-0005-0000-0000-000013090000}"/>
    <cellStyle name="Normal 3 5 3 3" xfId="813" xr:uid="{00000000-0005-0000-0000-000014090000}"/>
    <cellStyle name="Normal 3 5 3 3 2" xfId="2228" xr:uid="{00000000-0005-0000-0000-000015090000}"/>
    <cellStyle name="Normal 3 5 3 4" xfId="1033" xr:uid="{00000000-0005-0000-0000-000016090000}"/>
    <cellStyle name="Normal 3 5 3 4 2" xfId="2448" xr:uid="{00000000-0005-0000-0000-000017090000}"/>
    <cellStyle name="Normal 3 5 4" xfId="65" xr:uid="{00000000-0005-0000-0000-000018090000}"/>
    <cellStyle name="Normal 3 5 4 2" xfId="221" xr:uid="{00000000-0005-0000-0000-000019090000}"/>
    <cellStyle name="Normal 3 5 4 2 2" xfId="533" xr:uid="{00000000-0005-0000-0000-00001A090000}"/>
    <cellStyle name="Normal 3 5 4 2 2 2" xfId="2000" xr:uid="{00000000-0005-0000-0000-00001B090000}"/>
    <cellStyle name="Normal 3 5 4 2 3" xfId="1359" xr:uid="{00000000-0005-0000-0000-00001C090000}"/>
    <cellStyle name="Normal 3 5 4 2 4" xfId="1691" xr:uid="{00000000-0005-0000-0000-00001D090000}"/>
    <cellStyle name="Normal 3 5 4 3" xfId="379" xr:uid="{00000000-0005-0000-0000-00001E090000}"/>
    <cellStyle name="Normal 3 5 4 3 2" xfId="1846" xr:uid="{00000000-0005-0000-0000-00001F090000}"/>
    <cellStyle name="Normal 3 5 4 4" xfId="926" xr:uid="{00000000-0005-0000-0000-000020090000}"/>
    <cellStyle name="Normal 3 5 4 4 2" xfId="2341" xr:uid="{00000000-0005-0000-0000-000021090000}"/>
    <cellStyle name="Normal 3 5 4 5" xfId="1146" xr:uid="{00000000-0005-0000-0000-000022090000}"/>
    <cellStyle name="Normal 3 5 4 5 2" xfId="2561" xr:uid="{00000000-0005-0000-0000-000023090000}"/>
    <cellStyle name="Normal 3 5 4 6" xfId="1205" xr:uid="{00000000-0005-0000-0000-000024090000}"/>
    <cellStyle name="Normal 3 5 4 7" xfId="1537" xr:uid="{00000000-0005-0000-0000-000025090000}"/>
    <cellStyle name="Normal 3 5 5" xfId="106" xr:uid="{00000000-0005-0000-0000-000026090000}"/>
    <cellStyle name="Normal 3 5 5 2" xfId="260" xr:uid="{00000000-0005-0000-0000-000027090000}"/>
    <cellStyle name="Normal 3 5 5 2 2" xfId="572" xr:uid="{00000000-0005-0000-0000-000028090000}"/>
    <cellStyle name="Normal 3 5 5 2 2 2" xfId="2039" xr:uid="{00000000-0005-0000-0000-000029090000}"/>
    <cellStyle name="Normal 3 5 5 2 3" xfId="1398" xr:uid="{00000000-0005-0000-0000-00002A090000}"/>
    <cellStyle name="Normal 3 5 5 2 4" xfId="1730" xr:uid="{00000000-0005-0000-0000-00002B090000}"/>
    <cellStyle name="Normal 3 5 5 3" xfId="418" xr:uid="{00000000-0005-0000-0000-00002C090000}"/>
    <cellStyle name="Normal 3 5 5 3 2" xfId="1885" xr:uid="{00000000-0005-0000-0000-00002D090000}"/>
    <cellStyle name="Normal 3 5 5 4" xfId="1244" xr:uid="{00000000-0005-0000-0000-00002E090000}"/>
    <cellStyle name="Normal 3 5 5 5" xfId="1576" xr:uid="{00000000-0005-0000-0000-00002F090000}"/>
    <cellStyle name="Normal 3 5 6" xfId="186" xr:uid="{00000000-0005-0000-0000-000030090000}"/>
    <cellStyle name="Normal 3 5 6 2" xfId="498" xr:uid="{00000000-0005-0000-0000-000031090000}"/>
    <cellStyle name="Normal 3 5 6 2 2" xfId="1965" xr:uid="{00000000-0005-0000-0000-000032090000}"/>
    <cellStyle name="Normal 3 5 6 3" xfId="1324" xr:uid="{00000000-0005-0000-0000-000033090000}"/>
    <cellStyle name="Normal 3 5 6 4" xfId="1656" xr:uid="{00000000-0005-0000-0000-000034090000}"/>
    <cellStyle name="Normal 3 5 7" xfId="344" xr:uid="{00000000-0005-0000-0000-000035090000}"/>
    <cellStyle name="Normal 3 5 7 2" xfId="1811" xr:uid="{00000000-0005-0000-0000-000036090000}"/>
    <cellStyle name="Normal 3 5 8" xfId="730" xr:uid="{00000000-0005-0000-0000-000037090000}"/>
    <cellStyle name="Normal 3 5 8 2" xfId="2145" xr:uid="{00000000-0005-0000-0000-000038090000}"/>
    <cellStyle name="Normal 3 5 9" xfId="950" xr:uid="{00000000-0005-0000-0000-000039090000}"/>
    <cellStyle name="Normal 3 5 9 2" xfId="2365" xr:uid="{00000000-0005-0000-0000-00003A090000}"/>
    <cellStyle name="Normal 3 6" xfId="42" xr:uid="{00000000-0005-0000-0000-00003B090000}"/>
    <cellStyle name="Normal 3 6 10" xfId="1182" xr:uid="{00000000-0005-0000-0000-00003C090000}"/>
    <cellStyle name="Normal 3 6 11" xfId="1514" xr:uid="{00000000-0005-0000-0000-00003D090000}"/>
    <cellStyle name="Normal 3 6 2" xfId="85" xr:uid="{00000000-0005-0000-0000-00003E090000}"/>
    <cellStyle name="Normal 3 6 2 2" xfId="239" xr:uid="{00000000-0005-0000-0000-00003F090000}"/>
    <cellStyle name="Normal 3 6 2 2 2" xfId="551" xr:uid="{00000000-0005-0000-0000-000040090000}"/>
    <cellStyle name="Normal 3 6 2 2 2 2" xfId="2018" xr:uid="{00000000-0005-0000-0000-000041090000}"/>
    <cellStyle name="Normal 3 6 2 2 3" xfId="867" xr:uid="{00000000-0005-0000-0000-000042090000}"/>
    <cellStyle name="Normal 3 6 2 2 3 2" xfId="2282" xr:uid="{00000000-0005-0000-0000-000043090000}"/>
    <cellStyle name="Normal 3 6 2 2 4" xfId="1087" xr:uid="{00000000-0005-0000-0000-000044090000}"/>
    <cellStyle name="Normal 3 6 2 2 4 2" xfId="2502" xr:uid="{00000000-0005-0000-0000-000045090000}"/>
    <cellStyle name="Normal 3 6 2 2 5" xfId="1377" xr:uid="{00000000-0005-0000-0000-000046090000}"/>
    <cellStyle name="Normal 3 6 2 2 6" xfId="1709" xr:uid="{00000000-0005-0000-0000-000047090000}"/>
    <cellStyle name="Normal 3 6 2 3" xfId="397" xr:uid="{00000000-0005-0000-0000-000048090000}"/>
    <cellStyle name="Normal 3 6 2 3 2" xfId="1864" xr:uid="{00000000-0005-0000-0000-000049090000}"/>
    <cellStyle name="Normal 3 6 2 4" xfId="784" xr:uid="{00000000-0005-0000-0000-00004A090000}"/>
    <cellStyle name="Normal 3 6 2 4 2" xfId="2199" xr:uid="{00000000-0005-0000-0000-00004B090000}"/>
    <cellStyle name="Normal 3 6 2 5" xfId="1004" xr:uid="{00000000-0005-0000-0000-00004C090000}"/>
    <cellStyle name="Normal 3 6 2 5 2" xfId="2419" xr:uid="{00000000-0005-0000-0000-00004D090000}"/>
    <cellStyle name="Normal 3 6 2 6" xfId="1223" xr:uid="{00000000-0005-0000-0000-00004E090000}"/>
    <cellStyle name="Normal 3 6 2 7" xfId="1555" xr:uid="{00000000-0005-0000-0000-00004F090000}"/>
    <cellStyle name="Normal 3 6 3" xfId="134" xr:uid="{00000000-0005-0000-0000-000050090000}"/>
    <cellStyle name="Normal 3 6 3 2" xfId="288" xr:uid="{00000000-0005-0000-0000-000051090000}"/>
    <cellStyle name="Normal 3 6 3 2 2" xfId="600" xr:uid="{00000000-0005-0000-0000-000052090000}"/>
    <cellStyle name="Normal 3 6 3 2 2 2" xfId="2067" xr:uid="{00000000-0005-0000-0000-000053090000}"/>
    <cellStyle name="Normal 3 6 3 2 3" xfId="1426" xr:uid="{00000000-0005-0000-0000-000054090000}"/>
    <cellStyle name="Normal 3 6 3 2 4" xfId="1758" xr:uid="{00000000-0005-0000-0000-000055090000}"/>
    <cellStyle name="Normal 3 6 3 3" xfId="446" xr:uid="{00000000-0005-0000-0000-000056090000}"/>
    <cellStyle name="Normal 3 6 3 3 2" xfId="1913" xr:uid="{00000000-0005-0000-0000-000057090000}"/>
    <cellStyle name="Normal 3 6 3 4" xfId="838" xr:uid="{00000000-0005-0000-0000-000058090000}"/>
    <cellStyle name="Normal 3 6 3 4 2" xfId="2253" xr:uid="{00000000-0005-0000-0000-000059090000}"/>
    <cellStyle name="Normal 3 6 3 5" xfId="1058" xr:uid="{00000000-0005-0000-0000-00005A090000}"/>
    <cellStyle name="Normal 3 6 3 5 2" xfId="2473" xr:uid="{00000000-0005-0000-0000-00005B090000}"/>
    <cellStyle name="Normal 3 6 3 6" xfId="1272" xr:uid="{00000000-0005-0000-0000-00005C090000}"/>
    <cellStyle name="Normal 3 6 3 7" xfId="1604" xr:uid="{00000000-0005-0000-0000-00005D090000}"/>
    <cellStyle name="Normal 3 6 4" xfId="153" xr:uid="{00000000-0005-0000-0000-00005E090000}"/>
    <cellStyle name="Normal 3 6 4 2" xfId="307" xr:uid="{00000000-0005-0000-0000-00005F090000}"/>
    <cellStyle name="Normal 3 6 4 2 2" xfId="619" xr:uid="{00000000-0005-0000-0000-000060090000}"/>
    <cellStyle name="Normal 3 6 4 2 2 2" xfId="2086" xr:uid="{00000000-0005-0000-0000-000061090000}"/>
    <cellStyle name="Normal 3 6 4 2 3" xfId="1445" xr:uid="{00000000-0005-0000-0000-000062090000}"/>
    <cellStyle name="Normal 3 6 4 2 4" xfId="1777" xr:uid="{00000000-0005-0000-0000-000063090000}"/>
    <cellStyle name="Normal 3 6 4 3" xfId="465" xr:uid="{00000000-0005-0000-0000-000064090000}"/>
    <cellStyle name="Normal 3 6 4 3 2" xfId="1932" xr:uid="{00000000-0005-0000-0000-000065090000}"/>
    <cellStyle name="Normal 3 6 4 4" xfId="898" xr:uid="{00000000-0005-0000-0000-000066090000}"/>
    <cellStyle name="Normal 3 6 4 4 2" xfId="2313" xr:uid="{00000000-0005-0000-0000-000067090000}"/>
    <cellStyle name="Normal 3 6 4 5" xfId="1118" xr:uid="{00000000-0005-0000-0000-000068090000}"/>
    <cellStyle name="Normal 3 6 4 5 2" xfId="2533" xr:uid="{00000000-0005-0000-0000-000069090000}"/>
    <cellStyle name="Normal 3 6 4 6" xfId="1291" xr:uid="{00000000-0005-0000-0000-00006A090000}"/>
    <cellStyle name="Normal 3 6 4 7" xfId="1623" xr:uid="{00000000-0005-0000-0000-00006B090000}"/>
    <cellStyle name="Normal 3 6 5" xfId="170" xr:uid="{00000000-0005-0000-0000-00006C090000}"/>
    <cellStyle name="Normal 3 6 5 2" xfId="324" xr:uid="{00000000-0005-0000-0000-00006D090000}"/>
    <cellStyle name="Normal 3 6 5 2 2" xfId="636" xr:uid="{00000000-0005-0000-0000-00006E090000}"/>
    <cellStyle name="Normal 3 6 5 2 2 2" xfId="2103" xr:uid="{00000000-0005-0000-0000-00006F090000}"/>
    <cellStyle name="Normal 3 6 5 2 3" xfId="1462" xr:uid="{00000000-0005-0000-0000-000070090000}"/>
    <cellStyle name="Normal 3 6 5 2 4" xfId="1794" xr:uid="{00000000-0005-0000-0000-000071090000}"/>
    <cellStyle name="Normal 3 6 5 3" xfId="482" xr:uid="{00000000-0005-0000-0000-000072090000}"/>
    <cellStyle name="Normal 3 6 5 3 2" xfId="1949" xr:uid="{00000000-0005-0000-0000-000073090000}"/>
    <cellStyle name="Normal 3 6 5 4" xfId="1308" xr:uid="{00000000-0005-0000-0000-000074090000}"/>
    <cellStyle name="Normal 3 6 5 5" xfId="1640" xr:uid="{00000000-0005-0000-0000-000075090000}"/>
    <cellStyle name="Normal 3 6 6" xfId="198" xr:uid="{00000000-0005-0000-0000-000076090000}"/>
    <cellStyle name="Normal 3 6 6 2" xfId="510" xr:uid="{00000000-0005-0000-0000-000077090000}"/>
    <cellStyle name="Normal 3 6 6 2 2" xfId="1977" xr:uid="{00000000-0005-0000-0000-000078090000}"/>
    <cellStyle name="Normal 3 6 6 3" xfId="1336" xr:uid="{00000000-0005-0000-0000-000079090000}"/>
    <cellStyle name="Normal 3 6 6 4" xfId="1668" xr:uid="{00000000-0005-0000-0000-00007A090000}"/>
    <cellStyle name="Normal 3 6 7" xfId="356" xr:uid="{00000000-0005-0000-0000-00007B090000}"/>
    <cellStyle name="Normal 3 6 7 2" xfId="1823" xr:uid="{00000000-0005-0000-0000-00007C090000}"/>
    <cellStyle name="Normal 3 6 8" xfId="755" xr:uid="{00000000-0005-0000-0000-00007D090000}"/>
    <cellStyle name="Normal 3 6 8 2" xfId="2170" xr:uid="{00000000-0005-0000-0000-00007E090000}"/>
    <cellStyle name="Normal 3 6 9" xfId="975" xr:uid="{00000000-0005-0000-0000-00007F090000}"/>
    <cellStyle name="Normal 3 6 9 2" xfId="2390" xr:uid="{00000000-0005-0000-0000-000080090000}"/>
    <cellStyle name="Normal 3 7" xfId="68" xr:uid="{00000000-0005-0000-0000-000081090000}"/>
    <cellStyle name="Normal 3 7 2" xfId="224" xr:uid="{00000000-0005-0000-0000-000082090000}"/>
    <cellStyle name="Normal 3 7 2 2" xfId="652" xr:uid="{00000000-0005-0000-0000-000083090000}"/>
    <cellStyle name="Normal 3 7 2 2 2" xfId="871" xr:uid="{00000000-0005-0000-0000-000084090000}"/>
    <cellStyle name="Normal 3 7 2 2 2 2" xfId="2286" xr:uid="{00000000-0005-0000-0000-000085090000}"/>
    <cellStyle name="Normal 3 7 2 2 3" xfId="1091" xr:uid="{00000000-0005-0000-0000-000086090000}"/>
    <cellStyle name="Normal 3 7 2 2 3 2" xfId="2506" xr:uid="{00000000-0005-0000-0000-000087090000}"/>
    <cellStyle name="Normal 3 7 2 2 4" xfId="1471" xr:uid="{00000000-0005-0000-0000-000088090000}"/>
    <cellStyle name="Normal 3 7 2 2 5" xfId="2113" xr:uid="{00000000-0005-0000-0000-000089090000}"/>
    <cellStyle name="Normal 3 7 2 3" xfId="536" xr:uid="{00000000-0005-0000-0000-00008A090000}"/>
    <cellStyle name="Normal 3 7 2 3 2" xfId="2003" xr:uid="{00000000-0005-0000-0000-00008B090000}"/>
    <cellStyle name="Normal 3 7 2 4" xfId="788" xr:uid="{00000000-0005-0000-0000-00008C090000}"/>
    <cellStyle name="Normal 3 7 2 4 2" xfId="2203" xr:uid="{00000000-0005-0000-0000-00008D090000}"/>
    <cellStyle name="Normal 3 7 2 5" xfId="1008" xr:uid="{00000000-0005-0000-0000-00008E090000}"/>
    <cellStyle name="Normal 3 7 2 5 2" xfId="2423" xr:uid="{00000000-0005-0000-0000-00008F090000}"/>
    <cellStyle name="Normal 3 7 2 6" xfId="1362" xr:uid="{00000000-0005-0000-0000-000090090000}"/>
    <cellStyle name="Normal 3 7 2 7" xfId="1694" xr:uid="{00000000-0005-0000-0000-000091090000}"/>
    <cellStyle name="Normal 3 7 3" xfId="648" xr:uid="{00000000-0005-0000-0000-000092090000}"/>
    <cellStyle name="Normal 3 7 3 2" xfId="842" xr:uid="{00000000-0005-0000-0000-000093090000}"/>
    <cellStyle name="Normal 3 7 3 2 2" xfId="2257" xr:uid="{00000000-0005-0000-0000-000094090000}"/>
    <cellStyle name="Normal 3 7 3 3" xfId="1062" xr:uid="{00000000-0005-0000-0000-000095090000}"/>
    <cellStyle name="Normal 3 7 3 3 2" xfId="2477" xr:uid="{00000000-0005-0000-0000-000096090000}"/>
    <cellStyle name="Normal 3 7 3 4" xfId="1467" xr:uid="{00000000-0005-0000-0000-000097090000}"/>
    <cellStyle name="Normal 3 7 3 5" xfId="2109" xr:uid="{00000000-0005-0000-0000-000098090000}"/>
    <cellStyle name="Normal 3 7 4" xfId="704" xr:uid="{00000000-0005-0000-0000-000099090000}"/>
    <cellStyle name="Normal 3 7 4 2" xfId="902" xr:uid="{00000000-0005-0000-0000-00009A090000}"/>
    <cellStyle name="Normal 3 7 4 2 2" xfId="2317" xr:uid="{00000000-0005-0000-0000-00009B090000}"/>
    <cellStyle name="Normal 3 7 4 3" xfId="1122" xr:uid="{00000000-0005-0000-0000-00009C090000}"/>
    <cellStyle name="Normal 3 7 4 3 2" xfId="2537" xr:uid="{00000000-0005-0000-0000-00009D090000}"/>
    <cellStyle name="Normal 3 7 4 4" xfId="1477" xr:uid="{00000000-0005-0000-0000-00009E090000}"/>
    <cellStyle name="Normal 3 7 4 5" xfId="2120" xr:uid="{00000000-0005-0000-0000-00009F090000}"/>
    <cellStyle name="Normal 3 7 5" xfId="382" xr:uid="{00000000-0005-0000-0000-0000A0090000}"/>
    <cellStyle name="Normal 3 7 5 2" xfId="1849" xr:uid="{00000000-0005-0000-0000-0000A1090000}"/>
    <cellStyle name="Normal 3 7 6" xfId="759" xr:uid="{00000000-0005-0000-0000-0000A2090000}"/>
    <cellStyle name="Normal 3 7 6 2" xfId="2174" xr:uid="{00000000-0005-0000-0000-0000A3090000}"/>
    <cellStyle name="Normal 3 7 7" xfId="979" xr:uid="{00000000-0005-0000-0000-0000A4090000}"/>
    <cellStyle name="Normal 3 7 7 2" xfId="2394" xr:uid="{00000000-0005-0000-0000-0000A5090000}"/>
    <cellStyle name="Normal 3 7 8" xfId="1208" xr:uid="{00000000-0005-0000-0000-0000A6090000}"/>
    <cellStyle name="Normal 3 7 9" xfId="1540" xr:uid="{00000000-0005-0000-0000-0000A7090000}"/>
    <cellStyle name="Normal 3 8" xfId="94" xr:uid="{00000000-0005-0000-0000-0000A8090000}"/>
    <cellStyle name="Normal 3 8 2" xfId="248" xr:uid="{00000000-0005-0000-0000-0000A9090000}"/>
    <cellStyle name="Normal 3 8 2 2" xfId="560" xr:uid="{00000000-0005-0000-0000-0000AA090000}"/>
    <cellStyle name="Normal 3 8 2 2 2" xfId="2027" xr:uid="{00000000-0005-0000-0000-0000AB090000}"/>
    <cellStyle name="Normal 3 8 2 3" xfId="825" xr:uid="{00000000-0005-0000-0000-0000AC090000}"/>
    <cellStyle name="Normal 3 8 2 3 2" xfId="2240" xr:uid="{00000000-0005-0000-0000-0000AD090000}"/>
    <cellStyle name="Normal 3 8 2 4" xfId="1045" xr:uid="{00000000-0005-0000-0000-0000AE090000}"/>
    <cellStyle name="Normal 3 8 2 4 2" xfId="2460" xr:uid="{00000000-0005-0000-0000-0000AF090000}"/>
    <cellStyle name="Normal 3 8 2 5" xfId="1386" xr:uid="{00000000-0005-0000-0000-0000B0090000}"/>
    <cellStyle name="Normal 3 8 2 6" xfId="1718" xr:uid="{00000000-0005-0000-0000-0000B1090000}"/>
    <cellStyle name="Normal 3 8 3" xfId="406" xr:uid="{00000000-0005-0000-0000-0000B2090000}"/>
    <cellStyle name="Normal 3 8 3 2" xfId="1873" xr:uid="{00000000-0005-0000-0000-0000B3090000}"/>
    <cellStyle name="Normal 3 8 4" xfId="742" xr:uid="{00000000-0005-0000-0000-0000B4090000}"/>
    <cellStyle name="Normal 3 8 4 2" xfId="2157" xr:uid="{00000000-0005-0000-0000-0000B5090000}"/>
    <cellStyle name="Normal 3 8 5" xfId="962" xr:uid="{00000000-0005-0000-0000-0000B6090000}"/>
    <cellStyle name="Normal 3 8 5 2" xfId="2377" xr:uid="{00000000-0005-0000-0000-0000B7090000}"/>
    <cellStyle name="Normal 3 8 6" xfId="1232" xr:uid="{00000000-0005-0000-0000-0000B8090000}"/>
    <cellStyle name="Normal 3 8 7" xfId="1564" xr:uid="{00000000-0005-0000-0000-0000B9090000}"/>
    <cellStyle name="Normal 3 9" xfId="121" xr:uid="{00000000-0005-0000-0000-0000BA090000}"/>
    <cellStyle name="Normal 3 9 2" xfId="275" xr:uid="{00000000-0005-0000-0000-0000BB090000}"/>
    <cellStyle name="Normal 3 9 2 2" xfId="587" xr:uid="{00000000-0005-0000-0000-0000BC090000}"/>
    <cellStyle name="Normal 3 9 2 2 2" xfId="2054" xr:uid="{00000000-0005-0000-0000-0000BD090000}"/>
    <cellStyle name="Normal 3 9 2 3" xfId="854" xr:uid="{00000000-0005-0000-0000-0000BE090000}"/>
    <cellStyle name="Normal 3 9 2 3 2" xfId="2269" xr:uid="{00000000-0005-0000-0000-0000BF090000}"/>
    <cellStyle name="Normal 3 9 2 4" xfId="1074" xr:uid="{00000000-0005-0000-0000-0000C0090000}"/>
    <cellStyle name="Normal 3 9 2 4 2" xfId="2489" xr:uid="{00000000-0005-0000-0000-0000C1090000}"/>
    <cellStyle name="Normal 3 9 2 5" xfId="1413" xr:uid="{00000000-0005-0000-0000-0000C2090000}"/>
    <cellStyle name="Normal 3 9 2 6" xfId="1745" xr:uid="{00000000-0005-0000-0000-0000C3090000}"/>
    <cellStyle name="Normal 3 9 3" xfId="433" xr:uid="{00000000-0005-0000-0000-0000C4090000}"/>
    <cellStyle name="Normal 3 9 3 2" xfId="1900" xr:uid="{00000000-0005-0000-0000-0000C5090000}"/>
    <cellStyle name="Normal 3 9 4" xfId="771" xr:uid="{00000000-0005-0000-0000-0000C6090000}"/>
    <cellStyle name="Normal 3 9 4 2" xfId="2186" xr:uid="{00000000-0005-0000-0000-0000C7090000}"/>
    <cellStyle name="Normal 3 9 5" xfId="991" xr:uid="{00000000-0005-0000-0000-0000C8090000}"/>
    <cellStyle name="Normal 3 9 5 2" xfId="2406" xr:uid="{00000000-0005-0000-0000-0000C9090000}"/>
    <cellStyle name="Normal 3 9 6" xfId="1259" xr:uid="{00000000-0005-0000-0000-0000CA090000}"/>
    <cellStyle name="Normal 3 9 7" xfId="1591" xr:uid="{00000000-0005-0000-0000-0000CB090000}"/>
    <cellStyle name="Normal 4" xfId="15" xr:uid="{00000000-0005-0000-0000-0000CC090000}"/>
    <cellStyle name="Normal 4 2" xfId="28" xr:uid="{00000000-0005-0000-0000-0000CD090000}"/>
    <cellStyle name="Normal 5" xfId="18" xr:uid="{00000000-0005-0000-0000-0000CE090000}"/>
    <cellStyle name="Normal 6" xfId="83" xr:uid="{00000000-0005-0000-0000-0000CF090000}"/>
    <cellStyle name="Normal 7" xfId="117" xr:uid="{00000000-0005-0000-0000-0000D0090000}"/>
    <cellStyle name="Normal 7 2" xfId="271" xr:uid="{00000000-0005-0000-0000-0000D1090000}"/>
    <cellStyle name="Normal 7 2 2" xfId="583" xr:uid="{00000000-0005-0000-0000-0000D2090000}"/>
    <cellStyle name="Normal 7 2 2 2" xfId="2050" xr:uid="{00000000-0005-0000-0000-0000D3090000}"/>
    <cellStyle name="Normal 7 2 3" xfId="1409" xr:uid="{00000000-0005-0000-0000-0000D4090000}"/>
    <cellStyle name="Normal 7 2 4" xfId="1741" xr:uid="{00000000-0005-0000-0000-0000D5090000}"/>
    <cellStyle name="Normal 7 3" xfId="641" xr:uid="{00000000-0005-0000-0000-0000D6090000}"/>
    <cellStyle name="Normal 7 4" xfId="429" xr:uid="{00000000-0005-0000-0000-0000D7090000}"/>
    <cellStyle name="Normal 7 4 2" xfId="1896" xr:uid="{00000000-0005-0000-0000-0000D8090000}"/>
    <cellStyle name="Normal 7 5" xfId="1255" xr:uid="{00000000-0005-0000-0000-0000D9090000}"/>
    <cellStyle name="Normal 7 6" xfId="1587" xr:uid="{00000000-0005-0000-0000-0000DA090000}"/>
    <cellStyle name="Normal 8" xfId="119" xr:uid="{00000000-0005-0000-0000-0000DB090000}"/>
    <cellStyle name="Normal 8 2" xfId="273" xr:uid="{00000000-0005-0000-0000-0000DC090000}"/>
    <cellStyle name="Normal 8 2 2" xfId="655" xr:uid="{00000000-0005-0000-0000-0000DD090000}"/>
    <cellStyle name="Normal 8 2 3" xfId="585" xr:uid="{00000000-0005-0000-0000-0000DE090000}"/>
    <cellStyle name="Normal 8 2 3 2" xfId="2052" xr:uid="{00000000-0005-0000-0000-0000DF090000}"/>
    <cellStyle name="Normal 8 2 4" xfId="1411" xr:uid="{00000000-0005-0000-0000-0000E0090000}"/>
    <cellStyle name="Normal 8 2 5" xfId="1743" xr:uid="{00000000-0005-0000-0000-0000E1090000}"/>
    <cellStyle name="Normal 8 3" xfId="642" xr:uid="{00000000-0005-0000-0000-0000E2090000}"/>
    <cellStyle name="Normal 8 3 2" xfId="2106" xr:uid="{00000000-0005-0000-0000-0000E3090000}"/>
    <cellStyle name="Normal 8 4" xfId="431" xr:uid="{00000000-0005-0000-0000-0000E4090000}"/>
    <cellStyle name="Normal 8 4 2" xfId="1898" xr:uid="{00000000-0005-0000-0000-0000E5090000}"/>
    <cellStyle name="Normal 8 5" xfId="1257" xr:uid="{00000000-0005-0000-0000-0000E6090000}"/>
    <cellStyle name="Normal 8 6" xfId="1589" xr:uid="{00000000-0005-0000-0000-0000E7090000}"/>
    <cellStyle name="Normal 9" xfId="137" xr:uid="{00000000-0005-0000-0000-0000E8090000}"/>
    <cellStyle name="Normal 9 2" xfId="291" xr:uid="{00000000-0005-0000-0000-0000E9090000}"/>
    <cellStyle name="Normal 9 2 2" xfId="603" xr:uid="{00000000-0005-0000-0000-0000EA090000}"/>
    <cellStyle name="Normal 9 2 2 2" xfId="2070" xr:uid="{00000000-0005-0000-0000-0000EB090000}"/>
    <cellStyle name="Normal 9 2 3" xfId="1429" xr:uid="{00000000-0005-0000-0000-0000EC090000}"/>
    <cellStyle name="Normal 9 2 4" xfId="1761" xr:uid="{00000000-0005-0000-0000-0000ED090000}"/>
    <cellStyle name="Normal 9 3" xfId="643" xr:uid="{00000000-0005-0000-0000-0000EE090000}"/>
    <cellStyle name="Normal 9 4" xfId="449" xr:uid="{00000000-0005-0000-0000-0000EF090000}"/>
    <cellStyle name="Normal 9 4 2" xfId="1916" xr:uid="{00000000-0005-0000-0000-0000F0090000}"/>
    <cellStyle name="Normal 9 5" xfId="1275" xr:uid="{00000000-0005-0000-0000-0000F1090000}"/>
    <cellStyle name="Normal 9 6" xfId="1607" xr:uid="{00000000-0005-0000-0000-0000F2090000}"/>
    <cellStyle name="Normal_3crit_2002-03.xls" xfId="11" xr:uid="{00000000-0005-0000-0000-0000F3090000}"/>
    <cellStyle name="Pourcentage" xfId="12" builtinId="5"/>
    <cellStyle name="Pourcentage 2" xfId="13" xr:uid="{00000000-0005-0000-0000-0000F5090000}"/>
    <cellStyle name="Pourcentage 3" xfId="138" xr:uid="{00000000-0005-0000-0000-0000F6090000}"/>
    <cellStyle name="Pourcentage 3 2" xfId="292" xr:uid="{00000000-0005-0000-0000-0000F7090000}"/>
    <cellStyle name="Pourcentage 3 2 2" xfId="604" xr:uid="{00000000-0005-0000-0000-0000F8090000}"/>
    <cellStyle name="Pourcentage 3 2 2 2" xfId="2071" xr:uid="{00000000-0005-0000-0000-0000F9090000}"/>
    <cellStyle name="Pourcentage 3 2 3" xfId="1430" xr:uid="{00000000-0005-0000-0000-0000FA090000}"/>
    <cellStyle name="Pourcentage 3 2 4" xfId="1762" xr:uid="{00000000-0005-0000-0000-0000FB090000}"/>
    <cellStyle name="Pourcentage 3 3" xfId="645" xr:uid="{00000000-0005-0000-0000-0000FC090000}"/>
    <cellStyle name="Pourcentage 3 4" xfId="450" xr:uid="{00000000-0005-0000-0000-0000FD090000}"/>
    <cellStyle name="Pourcentage 3 4 2" xfId="1917" xr:uid="{00000000-0005-0000-0000-0000FE090000}"/>
    <cellStyle name="Pourcentage 3 5" xfId="1276" xr:uid="{00000000-0005-0000-0000-0000FF090000}"/>
    <cellStyle name="Pourcentage 3 6" xfId="1608" xr:uid="{00000000-0005-0000-0000-0000000A0000}"/>
    <cellStyle name="Pourcentage 4" xfId="332" xr:uid="{00000000-0005-0000-0000-0000010A0000}"/>
    <cellStyle name="Satisfaisant 2" xfId="689" xr:uid="{00000000-0005-0000-0000-0000020A0000}"/>
    <cellStyle name="Sortie 2" xfId="690" xr:uid="{00000000-0005-0000-0000-0000030A0000}"/>
    <cellStyle name="Texte explicatif 2" xfId="691" xr:uid="{00000000-0005-0000-0000-0000040A0000}"/>
    <cellStyle name="Titre 2" xfId="692" xr:uid="{00000000-0005-0000-0000-0000050A0000}"/>
    <cellStyle name="Titre 1 2" xfId="693" xr:uid="{00000000-0005-0000-0000-0000060A0000}"/>
    <cellStyle name="Titre 2 2" xfId="694" xr:uid="{00000000-0005-0000-0000-0000070A0000}"/>
    <cellStyle name="Titre 3 2" xfId="695" xr:uid="{00000000-0005-0000-0000-0000080A0000}"/>
    <cellStyle name="Titre 4 2" xfId="696" xr:uid="{00000000-0005-0000-0000-0000090A0000}"/>
    <cellStyle name="Total 2" xfId="697" xr:uid="{00000000-0005-0000-0000-00000A0A0000}"/>
    <cellStyle name="Vérification 2" xfId="698" xr:uid="{00000000-0005-0000-0000-00000B0A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00B0F0"/>
  </sheetPr>
  <dimension ref="A1:L544"/>
  <sheetViews>
    <sheetView topLeftCell="A28" zoomScaleNormal="100" workbookViewId="0"/>
  </sheetViews>
  <sheetFormatPr baseColWidth="10" defaultColWidth="10.75" defaultRowHeight="15" x14ac:dyDescent="0.25"/>
  <cols>
    <col min="1" max="1" width="48" style="158" bestFit="1" customWidth="1"/>
    <col min="2" max="2" width="16.25" style="158" bestFit="1" customWidth="1"/>
    <col min="3" max="3" width="16.625" style="158" customWidth="1"/>
    <col min="4" max="4" width="12.25" style="158" customWidth="1"/>
    <col min="5" max="5" width="11" style="158" bestFit="1" customWidth="1"/>
    <col min="6" max="6" width="12.125" style="158" bestFit="1" customWidth="1"/>
    <col min="7" max="7" width="12.5" style="158" bestFit="1" customWidth="1"/>
    <col min="8" max="8" width="15.5" style="158" bestFit="1" customWidth="1"/>
    <col min="9" max="9" width="12.125" style="158" bestFit="1" customWidth="1"/>
    <col min="10" max="10" width="17.75" style="158" bestFit="1" customWidth="1"/>
    <col min="11" max="11" width="14.375" style="158" bestFit="1" customWidth="1"/>
    <col min="12" max="16384" width="10.75" style="158"/>
  </cols>
  <sheetData>
    <row r="1" spans="1:11" ht="31.5" x14ac:dyDescent="0.5">
      <c r="A1" s="198" t="s">
        <v>376</v>
      </c>
    </row>
    <row r="4" spans="1:11" ht="21" x14ac:dyDescent="0.35">
      <c r="A4" s="177" t="s">
        <v>456</v>
      </c>
    </row>
    <row r="5" spans="1:11" x14ac:dyDescent="0.25">
      <c r="A5" s="158" t="s">
        <v>448</v>
      </c>
      <c r="B5" s="347" t="s">
        <v>552</v>
      </c>
    </row>
    <row r="6" spans="1:11" x14ac:dyDescent="0.25">
      <c r="A6" s="158" t="s">
        <v>499</v>
      </c>
      <c r="B6" s="347" t="s">
        <v>548</v>
      </c>
    </row>
    <row r="7" spans="1:11" x14ac:dyDescent="0.25">
      <c r="A7" s="158" t="s">
        <v>495</v>
      </c>
      <c r="B7" s="178">
        <v>42368</v>
      </c>
    </row>
    <row r="8" spans="1:11" x14ac:dyDescent="0.25">
      <c r="A8" s="158" t="s">
        <v>496</v>
      </c>
      <c r="B8" s="240">
        <v>2019</v>
      </c>
    </row>
    <row r="10" spans="1:11" ht="21" x14ac:dyDescent="0.35">
      <c r="A10" s="177" t="s">
        <v>457</v>
      </c>
      <c r="C10" s="160"/>
      <c r="D10" s="160"/>
    </row>
    <row r="11" spans="1:11" x14ac:dyDescent="0.25">
      <c r="A11" s="158" t="s">
        <v>442</v>
      </c>
      <c r="B11" s="179">
        <v>0.5</v>
      </c>
      <c r="C11" s="168"/>
      <c r="D11" s="168"/>
    </row>
    <row r="12" spans="1:11" x14ac:dyDescent="0.25">
      <c r="A12" s="158" t="s">
        <v>504</v>
      </c>
      <c r="B12" s="179">
        <v>0.3</v>
      </c>
      <c r="C12" s="169"/>
      <c r="D12" s="169"/>
      <c r="F12" s="165"/>
    </row>
    <row r="14" spans="1:11" ht="21" x14ac:dyDescent="0.35">
      <c r="A14" s="177" t="s">
        <v>458</v>
      </c>
      <c r="H14" s="418"/>
      <c r="I14" s="418"/>
      <c r="J14" s="418"/>
      <c r="K14" s="418"/>
    </row>
    <row r="15" spans="1:11" x14ac:dyDescent="0.25">
      <c r="B15" s="170" t="s">
        <v>291</v>
      </c>
      <c r="C15" s="170" t="s">
        <v>292</v>
      </c>
      <c r="D15" s="170" t="s">
        <v>408</v>
      </c>
      <c r="E15" s="170" t="s">
        <v>533</v>
      </c>
      <c r="F15" s="170" t="s">
        <v>534</v>
      </c>
      <c r="H15" s="418"/>
      <c r="I15" s="418"/>
      <c r="J15" s="418"/>
      <c r="K15" s="418"/>
    </row>
    <row r="16" spans="1:11" x14ac:dyDescent="0.25">
      <c r="A16" s="158" t="s">
        <v>503</v>
      </c>
      <c r="B16" s="180">
        <v>0.2</v>
      </c>
      <c r="C16" s="180">
        <v>0.3</v>
      </c>
      <c r="D16" s="180">
        <v>0.4</v>
      </c>
      <c r="E16" s="180">
        <v>0.5</v>
      </c>
      <c r="F16" s="180">
        <v>0.6</v>
      </c>
      <c r="G16" s="365"/>
      <c r="H16" s="418"/>
      <c r="I16" s="418"/>
      <c r="J16" s="418"/>
      <c r="K16" s="418"/>
    </row>
    <row r="17" spans="1:12" x14ac:dyDescent="0.25">
      <c r="A17" s="158" t="s">
        <v>459</v>
      </c>
      <c r="B17" s="180">
        <v>1</v>
      </c>
      <c r="C17" s="180">
        <v>1.2</v>
      </c>
      <c r="D17" s="180">
        <v>1.5</v>
      </c>
      <c r="E17" s="270">
        <v>2</v>
      </c>
      <c r="F17" s="420">
        <v>3</v>
      </c>
      <c r="G17" s="365"/>
      <c r="H17" s="418"/>
      <c r="I17" s="418"/>
      <c r="J17" s="418"/>
      <c r="K17" s="418"/>
    </row>
    <row r="18" spans="1:12" x14ac:dyDescent="0.25">
      <c r="F18" s="160"/>
      <c r="I18" s="160"/>
      <c r="J18" s="160"/>
      <c r="K18" s="160"/>
      <c r="L18" s="160"/>
    </row>
    <row r="19" spans="1:12" x14ac:dyDescent="0.25">
      <c r="B19" s="170" t="s">
        <v>553</v>
      </c>
      <c r="D19" s="170" t="s">
        <v>516</v>
      </c>
      <c r="E19" s="170" t="s">
        <v>518</v>
      </c>
      <c r="F19" s="170" t="s">
        <v>554</v>
      </c>
      <c r="I19" s="160"/>
      <c r="J19" s="160"/>
      <c r="K19" s="160"/>
      <c r="L19" s="160"/>
    </row>
    <row r="20" spans="1:12" x14ac:dyDescent="0.25">
      <c r="A20" s="158" t="s">
        <v>517</v>
      </c>
      <c r="B20" s="180">
        <v>0</v>
      </c>
      <c r="D20" s="180">
        <v>0.5</v>
      </c>
      <c r="E20" s="180">
        <v>0</v>
      </c>
      <c r="F20" s="420">
        <v>0</v>
      </c>
      <c r="I20" s="160"/>
      <c r="J20" s="160"/>
      <c r="K20" s="160"/>
      <c r="L20" s="160"/>
    </row>
    <row r="21" spans="1:12" x14ac:dyDescent="0.25">
      <c r="E21" s="158" t="s">
        <v>519</v>
      </c>
      <c r="F21" s="160"/>
      <c r="I21" s="160"/>
      <c r="J21" s="160"/>
      <c r="K21" s="160"/>
      <c r="L21" s="160"/>
    </row>
    <row r="22" spans="1:12" x14ac:dyDescent="0.25">
      <c r="F22" s="160"/>
      <c r="I22" s="160"/>
      <c r="J22" s="160"/>
      <c r="K22" s="160"/>
      <c r="L22" s="160"/>
    </row>
    <row r="23" spans="1:12" ht="21" x14ac:dyDescent="0.35">
      <c r="A23" s="177" t="s">
        <v>460</v>
      </c>
      <c r="B23" s="160"/>
      <c r="C23" s="160"/>
      <c r="D23" s="160"/>
      <c r="E23" s="171"/>
      <c r="F23" s="161"/>
      <c r="I23" s="160"/>
      <c r="J23" s="419"/>
      <c r="K23" s="419"/>
      <c r="L23" s="162"/>
    </row>
    <row r="24" spans="1:12" x14ac:dyDescent="0.25">
      <c r="A24" s="182" t="s">
        <v>500</v>
      </c>
      <c r="B24" s="186">
        <v>0</v>
      </c>
      <c r="C24" s="186">
        <v>1000</v>
      </c>
      <c r="D24" s="186">
        <v>3000</v>
      </c>
      <c r="E24" s="186">
        <v>5000</v>
      </c>
      <c r="F24" s="186">
        <v>9000</v>
      </c>
      <c r="G24" s="186">
        <v>12000</v>
      </c>
      <c r="H24" s="186">
        <v>15000</v>
      </c>
      <c r="I24" s="172"/>
      <c r="J24" s="419"/>
      <c r="K24" s="419"/>
      <c r="L24" s="160"/>
    </row>
    <row r="25" spans="1:12" ht="15" customHeight="1" x14ac:dyDescent="0.25">
      <c r="A25" s="182"/>
      <c r="B25" s="186">
        <v>1000</v>
      </c>
      <c r="C25" s="186">
        <v>3000</v>
      </c>
      <c r="D25" s="186">
        <v>5000</v>
      </c>
      <c r="E25" s="186">
        <v>9000</v>
      </c>
      <c r="F25" s="186">
        <v>12000</v>
      </c>
      <c r="G25" s="186">
        <v>15000</v>
      </c>
      <c r="H25" s="186"/>
      <c r="I25" s="172"/>
      <c r="J25" s="419"/>
      <c r="K25" s="419"/>
      <c r="L25" s="160"/>
    </row>
    <row r="26" spans="1:12" x14ac:dyDescent="0.25">
      <c r="A26" s="183" t="s">
        <v>461</v>
      </c>
      <c r="B26" s="247">
        <v>125</v>
      </c>
      <c r="C26" s="247">
        <v>350</v>
      </c>
      <c r="D26" s="247">
        <v>500</v>
      </c>
      <c r="E26" s="247">
        <v>600</v>
      </c>
      <c r="F26" s="247">
        <v>850</v>
      </c>
      <c r="G26" s="247">
        <v>1000</v>
      </c>
      <c r="H26" s="247">
        <v>1050</v>
      </c>
      <c r="I26" s="173"/>
      <c r="J26" s="419"/>
      <c r="K26" s="419"/>
      <c r="L26" s="160"/>
    </row>
    <row r="27" spans="1:12" x14ac:dyDescent="0.25">
      <c r="A27" s="160" t="s">
        <v>443</v>
      </c>
      <c r="B27" s="262">
        <v>99.4</v>
      </c>
      <c r="C27" s="181"/>
      <c r="D27" s="181"/>
      <c r="E27" s="181"/>
      <c r="F27" s="181"/>
      <c r="G27" s="181"/>
      <c r="H27" s="181"/>
      <c r="I27" s="160"/>
      <c r="J27" s="419"/>
      <c r="K27" s="419"/>
      <c r="L27" s="160"/>
    </row>
    <row r="28" spans="1:12" x14ac:dyDescent="0.25">
      <c r="A28" s="160" t="s">
        <v>444</v>
      </c>
      <c r="B28" s="263">
        <v>99.9</v>
      </c>
      <c r="C28" s="181"/>
      <c r="D28" s="181"/>
      <c r="E28" s="181"/>
      <c r="F28" s="181"/>
      <c r="G28" s="181"/>
      <c r="H28" s="181"/>
      <c r="I28" s="160"/>
      <c r="J28" s="160"/>
      <c r="K28" s="160"/>
      <c r="L28" s="160"/>
    </row>
    <row r="29" spans="1:12" x14ac:dyDescent="0.25">
      <c r="A29" s="160" t="s">
        <v>445</v>
      </c>
      <c r="B29" s="264">
        <f>+B26/$B$27*$B$28</f>
        <v>125.62877263581488</v>
      </c>
      <c r="C29" s="175">
        <f t="shared" ref="C29:H29" si="0">+C26/$B$27*$B$28</f>
        <v>351.76056338028167</v>
      </c>
      <c r="D29" s="175">
        <f t="shared" si="0"/>
        <v>502.51509054325953</v>
      </c>
      <c r="E29" s="175">
        <f t="shared" si="0"/>
        <v>603.01810865191146</v>
      </c>
      <c r="F29" s="175">
        <f t="shared" si="0"/>
        <v>854.2756539235412</v>
      </c>
      <c r="G29" s="175">
        <f t="shared" si="0"/>
        <v>1005.0301810865191</v>
      </c>
      <c r="H29" s="175">
        <f t="shared" si="0"/>
        <v>1055.2816901408451</v>
      </c>
      <c r="I29" s="160"/>
      <c r="J29" s="160"/>
      <c r="K29" s="160"/>
      <c r="L29" s="160"/>
    </row>
    <row r="31" spans="1:12" ht="21" x14ac:dyDescent="0.35">
      <c r="A31" s="177" t="s">
        <v>462</v>
      </c>
    </row>
    <row r="32" spans="1:12" x14ac:dyDescent="0.25">
      <c r="A32" s="158" t="s">
        <v>501</v>
      </c>
      <c r="B32" s="187">
        <v>0.27</v>
      </c>
    </row>
    <row r="34" spans="1:12" ht="21" x14ac:dyDescent="0.35">
      <c r="A34" s="177" t="s">
        <v>463</v>
      </c>
    </row>
    <row r="35" spans="1:12" x14ac:dyDescent="0.25">
      <c r="A35" s="158" t="s">
        <v>378</v>
      </c>
      <c r="C35" s="163"/>
    </row>
    <row r="36" spans="1:12" x14ac:dyDescent="0.25">
      <c r="A36" s="158" t="s">
        <v>419</v>
      </c>
      <c r="B36" s="239">
        <v>-2193241.2525242842</v>
      </c>
      <c r="C36" s="99">
        <f>Synthèse!L314-Synthèse!F314</f>
        <v>450000.00000107288</v>
      </c>
      <c r="D36" s="185">
        <f>+'J) Plafonnement effort'!J313+'K) Plafonnement aide'!J313+'L) Plafonnement taux'!Q314</f>
        <v>-2193241.2525233324</v>
      </c>
      <c r="L36" s="165"/>
    </row>
    <row r="37" spans="1:12" x14ac:dyDescent="0.25">
      <c r="A37" s="158" t="s">
        <v>502</v>
      </c>
      <c r="B37" s="239">
        <v>-450000</v>
      </c>
      <c r="C37" s="164"/>
      <c r="D37" s="165"/>
      <c r="L37" s="165"/>
    </row>
    <row r="38" spans="1:12" x14ac:dyDescent="0.25">
      <c r="G38" s="165"/>
      <c r="H38" s="166"/>
      <c r="L38" s="165"/>
    </row>
    <row r="39" spans="1:12" ht="21" x14ac:dyDescent="0.35">
      <c r="A39" s="177" t="s">
        <v>464</v>
      </c>
      <c r="G39" s="165"/>
      <c r="H39" s="166"/>
      <c r="L39" s="165"/>
    </row>
    <row r="40" spans="1:12" x14ac:dyDescent="0.25">
      <c r="A40" s="176"/>
      <c r="B40" s="189" t="s">
        <v>379</v>
      </c>
      <c r="C40" s="189" t="s">
        <v>377</v>
      </c>
      <c r="E40" s="174" t="s">
        <v>536</v>
      </c>
      <c r="F40" s="174"/>
      <c r="G40" s="191">
        <f>+'D) Ecrêtage'!C313</f>
        <v>37080520.101833388</v>
      </c>
      <c r="H40" s="193"/>
      <c r="I40" s="192" t="s">
        <v>441</v>
      </c>
      <c r="J40" s="174"/>
      <c r="K40" s="99">
        <f>+'I) Dépenses thématiques'!I313</f>
        <v>225367049.79639143</v>
      </c>
    </row>
    <row r="41" spans="1:12" x14ac:dyDescent="0.25">
      <c r="A41" s="158" t="s">
        <v>465</v>
      </c>
      <c r="B41" s="188">
        <v>8</v>
      </c>
      <c r="C41" s="170">
        <f>+H42</f>
        <v>0.72008299436455969</v>
      </c>
      <c r="E41" s="174" t="s">
        <v>520</v>
      </c>
      <c r="F41" s="174"/>
      <c r="G41" s="318">
        <v>4.5</v>
      </c>
      <c r="H41" s="289">
        <v>0.75</v>
      </c>
      <c r="I41" s="192" t="s">
        <v>214</v>
      </c>
      <c r="J41" s="174"/>
      <c r="K41" s="99">
        <f>+'I) Dépenses thématiques'!M313</f>
        <v>6359489.733261887</v>
      </c>
    </row>
    <row r="42" spans="1:12" x14ac:dyDescent="0.25">
      <c r="A42" s="158" t="s">
        <v>505</v>
      </c>
      <c r="B42" s="188">
        <v>1</v>
      </c>
      <c r="C42" s="170">
        <f>+H42</f>
        <v>0.72008299436455969</v>
      </c>
      <c r="E42" s="174" t="s">
        <v>466</v>
      </c>
      <c r="F42" s="174"/>
      <c r="G42" s="190">
        <f>+G40*G41</f>
        <v>166862340.45825025</v>
      </c>
      <c r="H42" s="261">
        <f>IF((G42/K42)&gt;H41,H41,(G42/K42))</f>
        <v>0.72008299436455969</v>
      </c>
      <c r="I42" s="174" t="s">
        <v>137</v>
      </c>
      <c r="J42" s="174"/>
      <c r="K42" s="99">
        <f>SUM(K40:K41)</f>
        <v>231726539.52965331</v>
      </c>
    </row>
    <row r="43" spans="1:12" x14ac:dyDescent="0.25">
      <c r="E43" s="158" t="s">
        <v>544</v>
      </c>
    </row>
    <row r="44" spans="1:12" ht="21" x14ac:dyDescent="0.35">
      <c r="A44" s="177" t="s">
        <v>468</v>
      </c>
      <c r="H44" s="290"/>
      <c r="K44" s="382"/>
    </row>
    <row r="46" spans="1:12" x14ac:dyDescent="0.25">
      <c r="A46" s="158" t="s">
        <v>526</v>
      </c>
      <c r="B46" s="441">
        <v>48</v>
      </c>
      <c r="H46" s="359"/>
    </row>
    <row r="47" spans="1:12" x14ac:dyDescent="0.25">
      <c r="A47" s="158" t="s">
        <v>506</v>
      </c>
      <c r="B47" s="406">
        <v>48</v>
      </c>
      <c r="C47" s="271" t="s">
        <v>522</v>
      </c>
      <c r="D47" s="319">
        <v>45</v>
      </c>
      <c r="E47" s="271" t="s">
        <v>525</v>
      </c>
      <c r="F47" s="319">
        <v>45</v>
      </c>
      <c r="G47" s="271" t="s">
        <v>546</v>
      </c>
      <c r="H47" s="319">
        <v>48</v>
      </c>
      <c r="I47" s="271" t="s">
        <v>553</v>
      </c>
      <c r="J47" s="319">
        <v>48</v>
      </c>
    </row>
    <row r="48" spans="1:12" x14ac:dyDescent="0.25">
      <c r="A48" s="158" t="s">
        <v>507</v>
      </c>
      <c r="B48" s="407">
        <v>-8</v>
      </c>
      <c r="C48" s="271" t="s">
        <v>522</v>
      </c>
      <c r="D48" s="319">
        <v>-6.5</v>
      </c>
      <c r="E48" s="271" t="s">
        <v>523</v>
      </c>
      <c r="F48" s="319">
        <v>8</v>
      </c>
      <c r="G48" s="271" t="s">
        <v>547</v>
      </c>
      <c r="H48" s="319">
        <v>8</v>
      </c>
      <c r="I48" s="271" t="s">
        <v>555</v>
      </c>
      <c r="J48" s="319">
        <v>8</v>
      </c>
    </row>
    <row r="49" spans="1:9" x14ac:dyDescent="0.25">
      <c r="A49" s="158" t="s">
        <v>527</v>
      </c>
      <c r="B49" s="406">
        <v>92.43053466750689</v>
      </c>
      <c r="C49" s="387"/>
      <c r="E49" s="316"/>
    </row>
    <row r="50" spans="1:9" x14ac:dyDescent="0.25">
      <c r="A50" s="158" t="s">
        <v>532</v>
      </c>
      <c r="B50" s="269">
        <f>+B49+B63</f>
        <v>92.188048856215488</v>
      </c>
    </row>
    <row r="51" spans="1:9" x14ac:dyDescent="0.25">
      <c r="A51" s="158" t="s">
        <v>514</v>
      </c>
      <c r="B51" s="268">
        <v>48</v>
      </c>
      <c r="I51" s="164"/>
    </row>
    <row r="52" spans="1:9" x14ac:dyDescent="0.25">
      <c r="A52" s="158" t="s">
        <v>515</v>
      </c>
      <c r="B52" s="268">
        <v>85</v>
      </c>
    </row>
    <row r="54" spans="1:9" x14ac:dyDescent="0.25">
      <c r="A54" s="167"/>
      <c r="B54" s="159"/>
    </row>
    <row r="55" spans="1:9" ht="21" x14ac:dyDescent="0.35">
      <c r="A55" s="199" t="s">
        <v>467</v>
      </c>
      <c r="B55" s="160"/>
      <c r="E55" s="386"/>
    </row>
    <row r="56" spans="1:9" ht="30" x14ac:dyDescent="0.25">
      <c r="B56" s="197" t="s">
        <v>543</v>
      </c>
      <c r="C56" s="160"/>
      <c r="D56" s="160"/>
      <c r="E56" s="160"/>
    </row>
    <row r="57" spans="1:9" x14ac:dyDescent="0.25">
      <c r="A57" s="160" t="s">
        <v>562</v>
      </c>
      <c r="B57" s="184">
        <v>824863600</v>
      </c>
      <c r="C57" s="160"/>
      <c r="D57" s="160"/>
      <c r="E57" s="160"/>
    </row>
    <row r="58" spans="1:9" x14ac:dyDescent="0.25">
      <c r="A58" s="160" t="s">
        <v>563</v>
      </c>
      <c r="B58" s="184">
        <v>815872100</v>
      </c>
      <c r="C58" s="172"/>
      <c r="D58" s="160"/>
      <c r="E58" s="160"/>
    </row>
    <row r="59" spans="1:9" x14ac:dyDescent="0.25">
      <c r="A59" s="160" t="s">
        <v>545</v>
      </c>
      <c r="B59" s="184">
        <f>'L) Plafonnement taux'!I314</f>
        <v>35867504.311676666</v>
      </c>
      <c r="C59" s="418"/>
      <c r="D59" s="418"/>
      <c r="E59" s="160"/>
    </row>
    <row r="60" spans="1:9" x14ac:dyDescent="0.25">
      <c r="A60" s="160" t="s">
        <v>556</v>
      </c>
      <c r="B60" s="184">
        <f>'D) Ecrêtage'!C313</f>
        <v>37080520.101833388</v>
      </c>
      <c r="C60" s="418"/>
      <c r="D60" s="418"/>
      <c r="E60" s="160"/>
    </row>
    <row r="61" spans="1:9" x14ac:dyDescent="0.25">
      <c r="A61" s="160" t="s">
        <v>564</v>
      </c>
      <c r="B61" s="195">
        <f>(B58-B57)*100/B57</f>
        <v>-1.0900590109686012</v>
      </c>
      <c r="C61" s="160"/>
      <c r="D61" s="160"/>
      <c r="E61" s="160"/>
    </row>
    <row r="62" spans="1:9" x14ac:dyDescent="0.25">
      <c r="A62" s="160" t="s">
        <v>435</v>
      </c>
      <c r="B62" s="195">
        <f>(B60-B59)*100/B59</f>
        <v>3.3819353017037899</v>
      </c>
      <c r="C62" s="172"/>
      <c r="D62" s="160"/>
      <c r="E62" s="160"/>
    </row>
    <row r="63" spans="1:9" x14ac:dyDescent="0.25">
      <c r="A63" s="160" t="s">
        <v>436</v>
      </c>
      <c r="B63" s="196">
        <f>(B58-B57)/B60</f>
        <v>-0.24248581129139635</v>
      </c>
      <c r="C63" s="194"/>
      <c r="D63" s="160"/>
      <c r="E63" s="160"/>
    </row>
    <row r="64" spans="1:9" x14ac:dyDescent="0.25">
      <c r="A64" s="160"/>
      <c r="B64" s="160"/>
      <c r="C64" s="160"/>
      <c r="D64" s="160"/>
      <c r="E64" s="160"/>
    </row>
    <row r="65" spans="1:10" ht="21" x14ac:dyDescent="0.35">
      <c r="A65" s="199" t="s">
        <v>490</v>
      </c>
      <c r="B65" s="160"/>
      <c r="C65" s="160"/>
      <c r="D65" s="160"/>
      <c r="E65" s="160"/>
    </row>
    <row r="66" spans="1:10" x14ac:dyDescent="0.25">
      <c r="A66" s="160" t="s">
        <v>491</v>
      </c>
      <c r="B66" s="230">
        <v>2</v>
      </c>
      <c r="C66" s="160">
        <v>2013</v>
      </c>
      <c r="D66" s="246">
        <v>62118300</v>
      </c>
      <c r="E66" s="158">
        <v>2016</v>
      </c>
      <c r="F66" s="246">
        <f>D68*101.5%</f>
        <v>64955763.00176248</v>
      </c>
      <c r="G66" s="381" t="s">
        <v>535</v>
      </c>
      <c r="H66" s="203">
        <f>+F68*101.5/100</f>
        <v>67922836.702568099</v>
      </c>
    </row>
    <row r="67" spans="1:10" x14ac:dyDescent="0.25">
      <c r="A67" s="160" t="s">
        <v>494</v>
      </c>
      <c r="B67" s="239">
        <f>+H68</f>
        <v>69975804.441903219</v>
      </c>
      <c r="C67" s="160">
        <v>2014</v>
      </c>
      <c r="D67" s="246">
        <f>D66*101.5%</f>
        <v>63050074.499999993</v>
      </c>
      <c r="E67" s="160">
        <v>2017</v>
      </c>
      <c r="F67" s="203">
        <f>+F66*1.015</f>
        <v>65930099.446788907</v>
      </c>
      <c r="G67" s="381" t="s">
        <v>551</v>
      </c>
      <c r="H67" s="203">
        <f>+H66*101.5/100</f>
        <v>68941679.253106624</v>
      </c>
      <c r="J67" s="443"/>
    </row>
    <row r="68" spans="1:10" x14ac:dyDescent="0.25">
      <c r="A68" s="160"/>
      <c r="B68" s="160"/>
      <c r="C68" s="160">
        <v>2015</v>
      </c>
      <c r="D68" s="246">
        <f>D67*101.5%</f>
        <v>63995825.617499985</v>
      </c>
      <c r="E68" s="160">
        <v>2018</v>
      </c>
      <c r="F68" s="203">
        <f>+F67*101.5/100</f>
        <v>66919050.938490741</v>
      </c>
      <c r="G68" s="158">
        <v>2021</v>
      </c>
      <c r="H68" s="442">
        <f>+H67*101.5/100</f>
        <v>69975804.441903219</v>
      </c>
      <c r="J68" s="443"/>
    </row>
    <row r="69" spans="1:10" ht="21" x14ac:dyDescent="0.35">
      <c r="A69" s="199" t="s">
        <v>472</v>
      </c>
    </row>
    <row r="70" spans="1:10" x14ac:dyDescent="0.25">
      <c r="A70" s="158" t="s">
        <v>403</v>
      </c>
      <c r="B70" s="158">
        <v>5621</v>
      </c>
    </row>
    <row r="71" spans="1:10" x14ac:dyDescent="0.25">
      <c r="A71" s="158" t="s">
        <v>326</v>
      </c>
      <c r="B71" s="158">
        <v>5742</v>
      </c>
    </row>
    <row r="72" spans="1:10" x14ac:dyDescent="0.25">
      <c r="A72" s="158" t="s">
        <v>260</v>
      </c>
      <c r="B72" s="158">
        <v>5401</v>
      </c>
    </row>
    <row r="73" spans="1:10" x14ac:dyDescent="0.25">
      <c r="A73" s="158" t="s">
        <v>16</v>
      </c>
      <c r="B73" s="158">
        <v>5851</v>
      </c>
    </row>
    <row r="74" spans="1:10" x14ac:dyDescent="0.25">
      <c r="A74" s="158" t="s">
        <v>73</v>
      </c>
      <c r="B74" s="158">
        <v>5421</v>
      </c>
    </row>
    <row r="75" spans="1:10" x14ac:dyDescent="0.25">
      <c r="A75" s="158" t="s">
        <v>109</v>
      </c>
      <c r="B75" s="158">
        <v>5701</v>
      </c>
    </row>
    <row r="76" spans="1:10" x14ac:dyDescent="0.25">
      <c r="A76" s="158" t="s">
        <v>264</v>
      </c>
      <c r="B76" s="158">
        <v>5743</v>
      </c>
    </row>
    <row r="77" spans="1:10" x14ac:dyDescent="0.25">
      <c r="A77" s="158" t="s">
        <v>439</v>
      </c>
      <c r="B77" s="158">
        <v>5702</v>
      </c>
    </row>
    <row r="78" spans="1:10" x14ac:dyDescent="0.25">
      <c r="A78" s="158" t="s">
        <v>175</v>
      </c>
      <c r="B78" s="158">
        <v>5511</v>
      </c>
    </row>
    <row r="79" spans="1:10" x14ac:dyDescent="0.25">
      <c r="A79" s="158" t="s">
        <v>74</v>
      </c>
      <c r="B79" s="158">
        <v>5422</v>
      </c>
    </row>
    <row r="80" spans="1:10" x14ac:dyDescent="0.25">
      <c r="A80" s="158" t="s">
        <v>346</v>
      </c>
      <c r="B80" s="158">
        <v>5451</v>
      </c>
    </row>
    <row r="81" spans="1:2" x14ac:dyDescent="0.25">
      <c r="A81" s="158" t="s">
        <v>265</v>
      </c>
      <c r="B81" s="158">
        <v>5744</v>
      </c>
    </row>
    <row r="82" spans="1:2" x14ac:dyDescent="0.25">
      <c r="A82" s="158" t="s">
        <v>75</v>
      </c>
      <c r="B82" s="158">
        <v>5423</v>
      </c>
    </row>
    <row r="83" spans="1:2" x14ac:dyDescent="0.25">
      <c r="A83" s="158" t="s">
        <v>110</v>
      </c>
      <c r="B83" s="158">
        <v>5703</v>
      </c>
    </row>
    <row r="84" spans="1:2" x14ac:dyDescent="0.25">
      <c r="A84" s="158" t="s">
        <v>266</v>
      </c>
      <c r="B84" s="158">
        <v>5745</v>
      </c>
    </row>
    <row r="85" spans="1:2" x14ac:dyDescent="0.25">
      <c r="A85" s="158" t="s">
        <v>267</v>
      </c>
      <c r="B85" s="158">
        <v>5746</v>
      </c>
    </row>
    <row r="86" spans="1:2" x14ac:dyDescent="0.25">
      <c r="A86" s="158" t="s">
        <v>220</v>
      </c>
      <c r="B86" s="158">
        <v>5704</v>
      </c>
    </row>
    <row r="87" spans="1:2" x14ac:dyDescent="0.25">
      <c r="A87" s="158" t="s">
        <v>387</v>
      </c>
      <c r="B87" s="158">
        <v>5581</v>
      </c>
    </row>
    <row r="88" spans="1:2" x14ac:dyDescent="0.25">
      <c r="A88" s="158" t="s">
        <v>55</v>
      </c>
      <c r="B88" s="158">
        <v>5902</v>
      </c>
    </row>
    <row r="89" spans="1:2" x14ac:dyDescent="0.25">
      <c r="A89" s="158" t="s">
        <v>176</v>
      </c>
      <c r="B89" s="158">
        <v>5512</v>
      </c>
    </row>
    <row r="90" spans="1:2" x14ac:dyDescent="0.25">
      <c r="A90" s="158" t="s">
        <v>76</v>
      </c>
      <c r="B90" s="158">
        <v>5424</v>
      </c>
    </row>
    <row r="91" spans="1:2" x14ac:dyDescent="0.25">
      <c r="A91" s="158" t="s">
        <v>349</v>
      </c>
      <c r="B91" s="158">
        <v>5471</v>
      </c>
    </row>
    <row r="92" spans="1:2" x14ac:dyDescent="0.25">
      <c r="A92" s="158" t="s">
        <v>261</v>
      </c>
      <c r="B92" s="158">
        <v>5402</v>
      </c>
    </row>
    <row r="93" spans="1:2" x14ac:dyDescent="0.25">
      <c r="A93" s="158" t="s">
        <v>77</v>
      </c>
      <c r="B93" s="158">
        <v>5425</v>
      </c>
    </row>
    <row r="94" spans="1:2" x14ac:dyDescent="0.25">
      <c r="A94" s="158" t="s">
        <v>56</v>
      </c>
      <c r="B94" s="158">
        <v>5903</v>
      </c>
    </row>
    <row r="95" spans="1:2" x14ac:dyDescent="0.25">
      <c r="A95" s="158" t="s">
        <v>177</v>
      </c>
      <c r="B95" s="158">
        <v>5513</v>
      </c>
    </row>
    <row r="96" spans="1:2" x14ac:dyDescent="0.25">
      <c r="A96" s="158" t="s">
        <v>205</v>
      </c>
      <c r="B96" s="158">
        <v>5881</v>
      </c>
    </row>
    <row r="97" spans="1:2" x14ac:dyDescent="0.25">
      <c r="A97" s="158" t="s">
        <v>268</v>
      </c>
      <c r="B97" s="158">
        <v>5747</v>
      </c>
    </row>
    <row r="98" spans="1:2" x14ac:dyDescent="0.25">
      <c r="A98" s="158" t="s">
        <v>221</v>
      </c>
      <c r="B98" s="158">
        <v>5705</v>
      </c>
    </row>
    <row r="99" spans="1:2" x14ac:dyDescent="0.25">
      <c r="A99" s="158" t="s">
        <v>33</v>
      </c>
      <c r="B99" s="158">
        <v>5551</v>
      </c>
    </row>
    <row r="100" spans="1:2" x14ac:dyDescent="0.25">
      <c r="A100" s="158" t="s">
        <v>222</v>
      </c>
      <c r="B100" s="158">
        <v>5706</v>
      </c>
    </row>
    <row r="101" spans="1:2" x14ac:dyDescent="0.25">
      <c r="A101" s="158" t="s">
        <v>178</v>
      </c>
      <c r="B101" s="158">
        <v>5514</v>
      </c>
    </row>
    <row r="102" spans="1:2" x14ac:dyDescent="0.25">
      <c r="A102" s="158" t="s">
        <v>71</v>
      </c>
      <c r="B102" s="158">
        <v>5426</v>
      </c>
    </row>
    <row r="103" spans="1:2" x14ac:dyDescent="0.25">
      <c r="A103" s="158" t="s">
        <v>201</v>
      </c>
      <c r="B103" s="158">
        <v>5661</v>
      </c>
    </row>
    <row r="104" spans="1:2" x14ac:dyDescent="0.25">
      <c r="A104" s="158" t="s">
        <v>426</v>
      </c>
      <c r="B104" s="158">
        <v>5613</v>
      </c>
    </row>
    <row r="105" spans="1:2" x14ac:dyDescent="0.25">
      <c r="A105" s="158" t="s">
        <v>350</v>
      </c>
      <c r="B105" s="158">
        <v>5472</v>
      </c>
    </row>
    <row r="106" spans="1:2" x14ac:dyDescent="0.25">
      <c r="A106" s="158" t="s">
        <v>208</v>
      </c>
      <c r="B106" s="158">
        <v>5473</v>
      </c>
    </row>
    <row r="107" spans="1:2" x14ac:dyDescent="0.25">
      <c r="A107" s="158" t="s">
        <v>146</v>
      </c>
      <c r="B107" s="158">
        <v>5622</v>
      </c>
    </row>
    <row r="108" spans="1:2" x14ac:dyDescent="0.25">
      <c r="A108" s="158" t="s">
        <v>179</v>
      </c>
      <c r="B108" s="158">
        <v>5515</v>
      </c>
    </row>
    <row r="109" spans="1:2" x14ac:dyDescent="0.25">
      <c r="A109" s="158" t="s">
        <v>269</v>
      </c>
      <c r="B109" s="158">
        <v>5748</v>
      </c>
    </row>
    <row r="110" spans="1:2" x14ac:dyDescent="0.25">
      <c r="A110" s="158" t="s">
        <v>147</v>
      </c>
      <c r="B110" s="158">
        <v>5623</v>
      </c>
    </row>
    <row r="111" spans="1:2" x14ac:dyDescent="0.25">
      <c r="A111" s="158" t="s">
        <v>34</v>
      </c>
      <c r="B111" s="158">
        <v>5552</v>
      </c>
    </row>
    <row r="112" spans="1:2" x14ac:dyDescent="0.25">
      <c r="A112" s="158" t="s">
        <v>17</v>
      </c>
      <c r="B112" s="158">
        <v>5852</v>
      </c>
    </row>
    <row r="113" spans="1:2" x14ac:dyDescent="0.25">
      <c r="A113" s="158" t="s">
        <v>18</v>
      </c>
      <c r="B113" s="158">
        <v>5853</v>
      </c>
    </row>
    <row r="114" spans="1:2" x14ac:dyDescent="0.25">
      <c r="A114" s="158" t="s">
        <v>19</v>
      </c>
      <c r="B114" s="158">
        <v>5854</v>
      </c>
    </row>
    <row r="115" spans="1:2" x14ac:dyDescent="0.25">
      <c r="A115" s="158" t="s">
        <v>438</v>
      </c>
      <c r="B115" s="158">
        <v>5624</v>
      </c>
    </row>
    <row r="116" spans="1:2" x14ac:dyDescent="0.25">
      <c r="A116" s="158" t="s">
        <v>300</v>
      </c>
      <c r="B116" s="158">
        <v>5625</v>
      </c>
    </row>
    <row r="117" spans="1:2" x14ac:dyDescent="0.25">
      <c r="A117" s="158" t="s">
        <v>202</v>
      </c>
      <c r="B117" s="158">
        <v>5663</v>
      </c>
    </row>
    <row r="118" spans="1:2" x14ac:dyDescent="0.25">
      <c r="A118" s="158" t="s">
        <v>57</v>
      </c>
      <c r="B118" s="158">
        <v>5904</v>
      </c>
    </row>
    <row r="119" spans="1:2" x14ac:dyDescent="0.25">
      <c r="A119" s="158" t="s">
        <v>35</v>
      </c>
      <c r="B119" s="158">
        <v>5553</v>
      </c>
    </row>
    <row r="120" spans="1:2" x14ac:dyDescent="0.25">
      <c r="A120" s="158" t="s">
        <v>385</v>
      </c>
      <c r="B120" s="158">
        <v>5812</v>
      </c>
    </row>
    <row r="121" spans="1:2" x14ac:dyDescent="0.25">
      <c r="A121" s="158" t="s">
        <v>58</v>
      </c>
      <c r="B121" s="158">
        <v>5905</v>
      </c>
    </row>
    <row r="122" spans="1:2" x14ac:dyDescent="0.25">
      <c r="A122" s="158" t="s">
        <v>206</v>
      </c>
      <c r="B122" s="158">
        <v>5882</v>
      </c>
    </row>
    <row r="123" spans="1:2" x14ac:dyDescent="0.25">
      <c r="A123" s="158" t="s">
        <v>13</v>
      </c>
      <c r="B123" s="158">
        <v>5841</v>
      </c>
    </row>
    <row r="124" spans="1:2" x14ac:dyDescent="0.25">
      <c r="A124" s="158" t="s">
        <v>223</v>
      </c>
      <c r="B124" s="158">
        <v>5707</v>
      </c>
    </row>
    <row r="125" spans="1:2" x14ac:dyDescent="0.25">
      <c r="A125" s="158" t="s">
        <v>224</v>
      </c>
      <c r="B125" s="158">
        <v>5708</v>
      </c>
    </row>
    <row r="126" spans="1:2" x14ac:dyDescent="0.25">
      <c r="A126" s="158" t="s">
        <v>59</v>
      </c>
      <c r="B126" s="158">
        <v>5907</v>
      </c>
    </row>
    <row r="127" spans="1:2" x14ac:dyDescent="0.25">
      <c r="A127" s="158" t="s">
        <v>371</v>
      </c>
      <c r="B127" s="158">
        <v>5475</v>
      </c>
    </row>
    <row r="128" spans="1:2" x14ac:dyDescent="0.25">
      <c r="A128" s="158" t="s">
        <v>254</v>
      </c>
      <c r="B128" s="158">
        <v>5627</v>
      </c>
    </row>
    <row r="129" spans="1:2" x14ac:dyDescent="0.25">
      <c r="A129" s="158" t="s">
        <v>96</v>
      </c>
      <c r="B129" s="158">
        <v>5665</v>
      </c>
    </row>
    <row r="130" spans="1:2" x14ac:dyDescent="0.25">
      <c r="A130" s="158" t="s">
        <v>270</v>
      </c>
      <c r="B130" s="158">
        <v>5749</v>
      </c>
    </row>
    <row r="131" spans="1:2" x14ac:dyDescent="0.25">
      <c r="A131" s="158" t="s">
        <v>60</v>
      </c>
      <c r="B131" s="158">
        <v>5908</v>
      </c>
    </row>
    <row r="132" spans="1:2" x14ac:dyDescent="0.25">
      <c r="A132" s="158" t="s">
        <v>61</v>
      </c>
      <c r="B132" s="158">
        <v>5909</v>
      </c>
    </row>
    <row r="133" spans="1:2" x14ac:dyDescent="0.25">
      <c r="A133" s="158" t="s">
        <v>388</v>
      </c>
      <c r="B133" s="158">
        <v>5582</v>
      </c>
    </row>
    <row r="134" spans="1:2" x14ac:dyDescent="0.25">
      <c r="A134" s="158" t="s">
        <v>225</v>
      </c>
      <c r="B134" s="158">
        <v>5709</v>
      </c>
    </row>
    <row r="135" spans="1:2" x14ac:dyDescent="0.25">
      <c r="A135" s="158" t="s">
        <v>111</v>
      </c>
      <c r="B135" s="158">
        <v>5403</v>
      </c>
    </row>
    <row r="136" spans="1:2" x14ac:dyDescent="0.25">
      <c r="A136" s="158" t="s">
        <v>372</v>
      </c>
      <c r="B136" s="158">
        <v>5476</v>
      </c>
    </row>
    <row r="137" spans="1:2" x14ac:dyDescent="0.25">
      <c r="A137" s="158" t="s">
        <v>386</v>
      </c>
      <c r="B137" s="158">
        <v>5813</v>
      </c>
    </row>
    <row r="138" spans="1:2" x14ac:dyDescent="0.25">
      <c r="A138" s="158" t="s">
        <v>297</v>
      </c>
      <c r="B138" s="158">
        <v>5601</v>
      </c>
    </row>
    <row r="139" spans="1:2" x14ac:dyDescent="0.25">
      <c r="A139" s="158" t="s">
        <v>255</v>
      </c>
      <c r="B139" s="158">
        <v>5628</v>
      </c>
    </row>
    <row r="140" spans="1:2" x14ac:dyDescent="0.25">
      <c r="A140" s="158" t="s">
        <v>150</v>
      </c>
      <c r="B140" s="158">
        <v>5629</v>
      </c>
    </row>
    <row r="141" spans="1:2" x14ac:dyDescent="0.25">
      <c r="A141" s="158" t="s">
        <v>226</v>
      </c>
      <c r="B141" s="158">
        <v>5710</v>
      </c>
    </row>
    <row r="142" spans="1:2" x14ac:dyDescent="0.25">
      <c r="A142" s="158" t="s">
        <v>227</v>
      </c>
      <c r="B142" s="158">
        <v>5711</v>
      </c>
    </row>
    <row r="143" spans="1:2" x14ac:dyDescent="0.25">
      <c r="A143" s="158" t="s">
        <v>36</v>
      </c>
      <c r="B143" s="158">
        <v>5554</v>
      </c>
    </row>
    <row r="144" spans="1:2" x14ac:dyDescent="0.25">
      <c r="A144" s="158" t="s">
        <v>228</v>
      </c>
      <c r="B144" s="158">
        <v>5712</v>
      </c>
    </row>
    <row r="145" spans="1:2" x14ac:dyDescent="0.25">
      <c r="A145" s="158" t="s">
        <v>112</v>
      </c>
      <c r="B145" s="158">
        <v>5404</v>
      </c>
    </row>
    <row r="146" spans="1:2" x14ac:dyDescent="0.25">
      <c r="A146" s="158" t="s">
        <v>278</v>
      </c>
      <c r="B146" s="158">
        <v>5785</v>
      </c>
    </row>
    <row r="147" spans="1:2" x14ac:dyDescent="0.25">
      <c r="A147" s="158" t="s">
        <v>37</v>
      </c>
      <c r="B147" s="158">
        <v>5555</v>
      </c>
    </row>
    <row r="148" spans="1:2" x14ac:dyDescent="0.25">
      <c r="A148" s="158" t="s">
        <v>6</v>
      </c>
      <c r="B148" s="158">
        <v>5816</v>
      </c>
    </row>
    <row r="149" spans="1:2" x14ac:dyDescent="0.25">
      <c r="A149" s="158" t="s">
        <v>207</v>
      </c>
      <c r="B149" s="158">
        <v>5883</v>
      </c>
    </row>
    <row r="150" spans="1:2" x14ac:dyDescent="0.25">
      <c r="A150" s="158" t="s">
        <v>49</v>
      </c>
      <c r="B150" s="158">
        <v>5884</v>
      </c>
    </row>
    <row r="151" spans="1:2" x14ac:dyDescent="0.25">
      <c r="A151" s="158" t="s">
        <v>373</v>
      </c>
      <c r="B151" s="158">
        <v>5477</v>
      </c>
    </row>
    <row r="152" spans="1:2" x14ac:dyDescent="0.25">
      <c r="A152" s="158" t="s">
        <v>240</v>
      </c>
      <c r="B152" s="158">
        <v>5478</v>
      </c>
    </row>
    <row r="153" spans="1:2" x14ac:dyDescent="0.25">
      <c r="A153" s="158" t="s">
        <v>229</v>
      </c>
      <c r="B153" s="158">
        <v>5713</v>
      </c>
    </row>
    <row r="154" spans="1:2" x14ac:dyDescent="0.25">
      <c r="A154" s="158" t="s">
        <v>230</v>
      </c>
      <c r="B154" s="158">
        <v>5714</v>
      </c>
    </row>
    <row r="155" spans="1:2" x14ac:dyDescent="0.25">
      <c r="A155" s="158" t="s">
        <v>389</v>
      </c>
      <c r="B155" s="158">
        <v>5583</v>
      </c>
    </row>
    <row r="156" spans="1:2" x14ac:dyDescent="0.25">
      <c r="A156" s="158" t="s">
        <v>62</v>
      </c>
      <c r="B156" s="158">
        <v>5910</v>
      </c>
    </row>
    <row r="157" spans="1:2" x14ac:dyDescent="0.25">
      <c r="A157" s="158" t="s">
        <v>331</v>
      </c>
      <c r="B157" s="158">
        <v>5752</v>
      </c>
    </row>
    <row r="158" spans="1:2" x14ac:dyDescent="0.25">
      <c r="A158" s="158" t="s">
        <v>241</v>
      </c>
      <c r="B158" s="158">
        <v>5479</v>
      </c>
    </row>
    <row r="159" spans="1:2" x14ac:dyDescent="0.25">
      <c r="A159" s="158" t="s">
        <v>63</v>
      </c>
      <c r="B159" s="158">
        <v>5911</v>
      </c>
    </row>
    <row r="160" spans="1:2" x14ac:dyDescent="0.25">
      <c r="A160" s="158" t="s">
        <v>347</v>
      </c>
      <c r="B160" s="158">
        <v>5456</v>
      </c>
    </row>
    <row r="161" spans="1:2" x14ac:dyDescent="0.25">
      <c r="A161" s="158" t="s">
        <v>180</v>
      </c>
      <c r="B161" s="158">
        <v>5516</v>
      </c>
    </row>
    <row r="162" spans="1:2" x14ac:dyDescent="0.25">
      <c r="A162" s="158" t="s">
        <v>97</v>
      </c>
      <c r="B162" s="158">
        <v>5669</v>
      </c>
    </row>
    <row r="163" spans="1:2" x14ac:dyDescent="0.25">
      <c r="A163" s="158" t="s">
        <v>242</v>
      </c>
      <c r="B163" s="158">
        <v>5480</v>
      </c>
    </row>
    <row r="164" spans="1:2" x14ac:dyDescent="0.25">
      <c r="A164" s="158" t="s">
        <v>64</v>
      </c>
      <c r="B164" s="158">
        <v>5912</v>
      </c>
    </row>
    <row r="165" spans="1:2" x14ac:dyDescent="0.25">
      <c r="A165" s="158" t="s">
        <v>151</v>
      </c>
      <c r="B165" s="158">
        <v>5631</v>
      </c>
    </row>
    <row r="166" spans="1:2" x14ac:dyDescent="0.25">
      <c r="A166" s="158" t="s">
        <v>152</v>
      </c>
      <c r="B166" s="158">
        <v>5632</v>
      </c>
    </row>
    <row r="167" spans="1:2" x14ac:dyDescent="0.25">
      <c r="A167" s="158" t="s">
        <v>243</v>
      </c>
      <c r="B167" s="158">
        <v>5481</v>
      </c>
    </row>
    <row r="168" spans="1:2" x14ac:dyDescent="0.25">
      <c r="A168" s="158" t="s">
        <v>98</v>
      </c>
      <c r="B168" s="158">
        <v>5671</v>
      </c>
    </row>
    <row r="169" spans="1:2" x14ac:dyDescent="0.25">
      <c r="A169" s="158" t="s">
        <v>65</v>
      </c>
      <c r="B169" s="158">
        <v>5913</v>
      </c>
    </row>
    <row r="170" spans="1:2" x14ac:dyDescent="0.25">
      <c r="A170" s="158" t="s">
        <v>231</v>
      </c>
      <c r="B170" s="158">
        <v>5715</v>
      </c>
    </row>
    <row r="171" spans="1:2" x14ac:dyDescent="0.25">
      <c r="A171" s="158" t="s">
        <v>20</v>
      </c>
      <c r="B171" s="158">
        <v>5855</v>
      </c>
    </row>
    <row r="172" spans="1:2" x14ac:dyDescent="0.25">
      <c r="A172" s="158" t="s">
        <v>181</v>
      </c>
      <c r="B172" s="158">
        <v>5518</v>
      </c>
    </row>
    <row r="173" spans="1:2" x14ac:dyDescent="0.25">
      <c r="A173" s="158" t="s">
        <v>153</v>
      </c>
      <c r="B173" s="158">
        <v>5633</v>
      </c>
    </row>
    <row r="174" spans="1:2" x14ac:dyDescent="0.25">
      <c r="A174" s="158" t="s">
        <v>154</v>
      </c>
      <c r="B174" s="158">
        <v>5634</v>
      </c>
    </row>
    <row r="175" spans="1:2" x14ac:dyDescent="0.25">
      <c r="A175" s="158" t="s">
        <v>244</v>
      </c>
      <c r="B175" s="158">
        <v>5482</v>
      </c>
    </row>
    <row r="176" spans="1:2" x14ac:dyDescent="0.25">
      <c r="A176" s="158" t="s">
        <v>155</v>
      </c>
      <c r="B176" s="158">
        <v>5635</v>
      </c>
    </row>
    <row r="177" spans="1:2" x14ac:dyDescent="0.25">
      <c r="A177" s="158" t="s">
        <v>390</v>
      </c>
      <c r="B177" s="158">
        <v>5584</v>
      </c>
    </row>
    <row r="178" spans="1:2" x14ac:dyDescent="0.25">
      <c r="A178" s="158" t="s">
        <v>66</v>
      </c>
      <c r="B178" s="158">
        <v>5914</v>
      </c>
    </row>
    <row r="179" spans="1:2" x14ac:dyDescent="0.25">
      <c r="A179" s="158" t="s">
        <v>279</v>
      </c>
      <c r="B179" s="158">
        <v>5788</v>
      </c>
    </row>
    <row r="180" spans="1:2" x14ac:dyDescent="0.25">
      <c r="A180" s="158" t="s">
        <v>21</v>
      </c>
      <c r="B180" s="158">
        <v>5856</v>
      </c>
    </row>
    <row r="181" spans="1:2" x14ac:dyDescent="0.25">
      <c r="A181" s="158" t="s">
        <v>182</v>
      </c>
      <c r="B181" s="158">
        <v>5520</v>
      </c>
    </row>
    <row r="182" spans="1:2" x14ac:dyDescent="0.25">
      <c r="A182" s="158" t="s">
        <v>183</v>
      </c>
      <c r="B182" s="158">
        <v>5521</v>
      </c>
    </row>
    <row r="183" spans="1:2" x14ac:dyDescent="0.25">
      <c r="A183" s="158" t="s">
        <v>156</v>
      </c>
      <c r="B183" s="158">
        <v>5636</v>
      </c>
    </row>
    <row r="184" spans="1:2" x14ac:dyDescent="0.25">
      <c r="A184" s="158" t="s">
        <v>232</v>
      </c>
      <c r="B184" s="158">
        <v>5716</v>
      </c>
    </row>
    <row r="185" spans="1:2" x14ac:dyDescent="0.25">
      <c r="A185" s="158" t="s">
        <v>348</v>
      </c>
      <c r="B185" s="158">
        <v>5458</v>
      </c>
    </row>
    <row r="186" spans="1:2" x14ac:dyDescent="0.25">
      <c r="A186" s="158" t="s">
        <v>341</v>
      </c>
      <c r="B186" s="158">
        <v>5427</v>
      </c>
    </row>
    <row r="187" spans="1:2" x14ac:dyDescent="0.25">
      <c r="A187" s="158" t="s">
        <v>139</v>
      </c>
      <c r="B187" s="158">
        <v>5483</v>
      </c>
    </row>
    <row r="188" spans="1:2" x14ac:dyDescent="0.25">
      <c r="A188" s="158" t="s">
        <v>184</v>
      </c>
      <c r="B188" s="158">
        <v>5522</v>
      </c>
    </row>
    <row r="189" spans="1:2" x14ac:dyDescent="0.25">
      <c r="A189" s="158" t="s">
        <v>38</v>
      </c>
      <c r="B189" s="158">
        <v>5556</v>
      </c>
    </row>
    <row r="190" spans="1:2" x14ac:dyDescent="0.25">
      <c r="A190" s="158" t="s">
        <v>39</v>
      </c>
      <c r="B190" s="158">
        <v>5557</v>
      </c>
    </row>
    <row r="191" spans="1:2" x14ac:dyDescent="0.25">
      <c r="A191" s="158" t="s">
        <v>142</v>
      </c>
      <c r="B191" s="158">
        <v>5604</v>
      </c>
    </row>
    <row r="192" spans="1:2" x14ac:dyDescent="0.25">
      <c r="A192" s="158" t="s">
        <v>233</v>
      </c>
      <c r="B192" s="158">
        <v>5717</v>
      </c>
    </row>
    <row r="193" spans="1:2" x14ac:dyDescent="0.25">
      <c r="A193" s="158" t="s">
        <v>185</v>
      </c>
      <c r="B193" s="158">
        <v>5523</v>
      </c>
    </row>
    <row r="194" spans="1:2" x14ac:dyDescent="0.25">
      <c r="A194" s="158" t="s">
        <v>234</v>
      </c>
      <c r="B194" s="158">
        <v>5718</v>
      </c>
    </row>
    <row r="195" spans="1:2" x14ac:dyDescent="0.25">
      <c r="A195" s="158" t="s">
        <v>40</v>
      </c>
      <c r="B195" s="158">
        <v>5559</v>
      </c>
    </row>
    <row r="196" spans="1:2" x14ac:dyDescent="0.25">
      <c r="A196" s="158" t="s">
        <v>22</v>
      </c>
      <c r="B196" s="158">
        <v>5857</v>
      </c>
    </row>
    <row r="197" spans="1:2" x14ac:dyDescent="0.25">
      <c r="A197" s="158" t="s">
        <v>342</v>
      </c>
      <c r="B197" s="158">
        <v>5428</v>
      </c>
    </row>
    <row r="198" spans="1:2" x14ac:dyDescent="0.25">
      <c r="A198" s="158" t="s">
        <v>235</v>
      </c>
      <c r="B198" s="158">
        <v>5719</v>
      </c>
    </row>
    <row r="199" spans="1:2" x14ac:dyDescent="0.25">
      <c r="A199" s="158" t="s">
        <v>236</v>
      </c>
      <c r="B199" s="158">
        <v>5720</v>
      </c>
    </row>
    <row r="200" spans="1:2" x14ac:dyDescent="0.25">
      <c r="A200" s="158" t="s">
        <v>237</v>
      </c>
      <c r="B200" s="158">
        <v>5721</v>
      </c>
    </row>
    <row r="201" spans="1:2" x14ac:dyDescent="0.25">
      <c r="A201" s="158" t="s">
        <v>140</v>
      </c>
      <c r="B201" s="158">
        <v>5484</v>
      </c>
    </row>
    <row r="202" spans="1:2" x14ac:dyDescent="0.25">
      <c r="A202" s="158" t="s">
        <v>429</v>
      </c>
      <c r="B202" s="158">
        <v>5541</v>
      </c>
    </row>
    <row r="203" spans="1:2" x14ac:dyDescent="0.25">
      <c r="A203" s="158" t="s">
        <v>141</v>
      </c>
      <c r="B203" s="158">
        <v>5485</v>
      </c>
    </row>
    <row r="204" spans="1:2" x14ac:dyDescent="0.25">
      <c r="A204" s="158" t="s">
        <v>7</v>
      </c>
      <c r="B204" s="158">
        <v>5817</v>
      </c>
    </row>
    <row r="205" spans="1:2" x14ac:dyDescent="0.25">
      <c r="A205" s="158" t="s">
        <v>41</v>
      </c>
      <c r="B205" s="158">
        <v>5560</v>
      </c>
    </row>
    <row r="206" spans="1:2" x14ac:dyDescent="0.25">
      <c r="A206" s="158" t="s">
        <v>42</v>
      </c>
      <c r="B206" s="158">
        <v>5561</v>
      </c>
    </row>
    <row r="207" spans="1:2" x14ac:dyDescent="0.25">
      <c r="A207" s="158" t="s">
        <v>238</v>
      </c>
      <c r="B207" s="158">
        <v>5722</v>
      </c>
    </row>
    <row r="208" spans="1:2" x14ac:dyDescent="0.25">
      <c r="A208" s="158" t="s">
        <v>113</v>
      </c>
      <c r="B208" s="158">
        <v>5405</v>
      </c>
    </row>
    <row r="209" spans="1:2" x14ac:dyDescent="0.25">
      <c r="A209" s="158" t="s">
        <v>8</v>
      </c>
      <c r="B209" s="158">
        <v>5819</v>
      </c>
    </row>
    <row r="210" spans="1:2" x14ac:dyDescent="0.25">
      <c r="A210" s="158" t="s">
        <v>99</v>
      </c>
      <c r="B210" s="158">
        <v>5673</v>
      </c>
    </row>
    <row r="211" spans="1:2" x14ac:dyDescent="0.25">
      <c r="A211" s="158" t="s">
        <v>50</v>
      </c>
      <c r="B211" s="158">
        <v>5885</v>
      </c>
    </row>
    <row r="212" spans="1:2" x14ac:dyDescent="0.25">
      <c r="A212" s="158" t="s">
        <v>431</v>
      </c>
      <c r="B212" s="158">
        <v>5804</v>
      </c>
    </row>
    <row r="213" spans="1:2" x14ac:dyDescent="0.25">
      <c r="A213" s="158" t="s">
        <v>521</v>
      </c>
      <c r="B213" s="158">
        <v>5806</v>
      </c>
    </row>
    <row r="214" spans="1:2" x14ac:dyDescent="0.25">
      <c r="A214" s="158" t="s">
        <v>391</v>
      </c>
      <c r="B214" s="158">
        <v>5585</v>
      </c>
    </row>
    <row r="215" spans="1:2" x14ac:dyDescent="0.25">
      <c r="A215" s="158" t="s">
        <v>332</v>
      </c>
      <c r="B215" s="158">
        <v>5754</v>
      </c>
    </row>
    <row r="216" spans="1:2" x14ac:dyDescent="0.25">
      <c r="A216" s="158" t="s">
        <v>209</v>
      </c>
      <c r="B216" s="158">
        <v>5474</v>
      </c>
    </row>
    <row r="217" spans="1:2" x14ac:dyDescent="0.25">
      <c r="A217" s="158" t="s">
        <v>216</v>
      </c>
      <c r="B217" s="158">
        <v>5758</v>
      </c>
    </row>
    <row r="218" spans="1:2" x14ac:dyDescent="0.25">
      <c r="A218" s="158" t="s">
        <v>318</v>
      </c>
      <c r="B218" s="158">
        <v>5726</v>
      </c>
    </row>
    <row r="219" spans="1:2" x14ac:dyDescent="0.25">
      <c r="A219" s="158" t="s">
        <v>170</v>
      </c>
      <c r="B219" s="158">
        <v>5498</v>
      </c>
    </row>
    <row r="220" spans="1:2" x14ac:dyDescent="0.25">
      <c r="A220" s="158" t="s">
        <v>52</v>
      </c>
      <c r="B220" s="158">
        <v>5889</v>
      </c>
    </row>
    <row r="221" spans="1:2" x14ac:dyDescent="0.25">
      <c r="A221" s="158" t="s">
        <v>29</v>
      </c>
      <c r="B221" s="158">
        <v>5871</v>
      </c>
    </row>
    <row r="222" spans="1:2" x14ac:dyDescent="0.25">
      <c r="A222" s="158" t="s">
        <v>325</v>
      </c>
      <c r="B222" s="158">
        <v>5741</v>
      </c>
    </row>
    <row r="223" spans="1:2" x14ac:dyDescent="0.25">
      <c r="A223" s="158" t="s">
        <v>119</v>
      </c>
      <c r="B223" s="158">
        <v>5586</v>
      </c>
    </row>
    <row r="224" spans="1:2" x14ac:dyDescent="0.25">
      <c r="A224" s="158" t="s">
        <v>114</v>
      </c>
      <c r="B224" s="158">
        <v>5406</v>
      </c>
    </row>
    <row r="225" spans="1:2" x14ac:dyDescent="0.25">
      <c r="A225" s="158" t="s">
        <v>157</v>
      </c>
      <c r="B225" s="158">
        <v>5637</v>
      </c>
    </row>
    <row r="226" spans="1:2" x14ac:dyDescent="0.25">
      <c r="A226" s="158" t="s">
        <v>203</v>
      </c>
      <c r="B226" s="158">
        <v>5872</v>
      </c>
    </row>
    <row r="227" spans="1:2" x14ac:dyDescent="0.25">
      <c r="A227" s="158" t="s">
        <v>204</v>
      </c>
      <c r="B227" s="158">
        <v>5873</v>
      </c>
    </row>
    <row r="228" spans="1:2" x14ac:dyDescent="0.25">
      <c r="A228" s="158" t="s">
        <v>120</v>
      </c>
      <c r="B228" s="158">
        <v>5587</v>
      </c>
    </row>
    <row r="229" spans="1:2" x14ac:dyDescent="0.25">
      <c r="A229" s="158" t="s">
        <v>323</v>
      </c>
      <c r="B229" s="158">
        <v>5731</v>
      </c>
    </row>
    <row r="230" spans="1:2" x14ac:dyDescent="0.25">
      <c r="A230" s="158" t="s">
        <v>271</v>
      </c>
      <c r="B230" s="158">
        <v>5750</v>
      </c>
    </row>
    <row r="231" spans="1:2" x14ac:dyDescent="0.25">
      <c r="A231" s="158" t="s">
        <v>115</v>
      </c>
      <c r="B231" s="158">
        <v>5407</v>
      </c>
    </row>
    <row r="232" spans="1:2" x14ac:dyDescent="0.25">
      <c r="A232" s="158" t="s">
        <v>333</v>
      </c>
      <c r="B232" s="158">
        <v>5755</v>
      </c>
    </row>
    <row r="233" spans="1:2" x14ac:dyDescent="0.25">
      <c r="A233" s="158" t="s">
        <v>1</v>
      </c>
      <c r="B233" s="158">
        <v>5486</v>
      </c>
    </row>
    <row r="234" spans="1:2" x14ac:dyDescent="0.25">
      <c r="A234" s="158" t="s">
        <v>158</v>
      </c>
      <c r="B234" s="158">
        <v>5638</v>
      </c>
    </row>
    <row r="235" spans="1:2" x14ac:dyDescent="0.25">
      <c r="A235" s="158" t="s">
        <v>362</v>
      </c>
      <c r="B235" s="158">
        <v>5429</v>
      </c>
    </row>
    <row r="236" spans="1:2" x14ac:dyDescent="0.25">
      <c r="A236" s="158" t="s">
        <v>100</v>
      </c>
      <c r="B236" s="158">
        <v>5674</v>
      </c>
    </row>
    <row r="237" spans="1:2" x14ac:dyDescent="0.25">
      <c r="A237" s="158" t="s">
        <v>101</v>
      </c>
      <c r="B237" s="158">
        <v>5675</v>
      </c>
    </row>
    <row r="238" spans="1:2" x14ac:dyDescent="0.25">
      <c r="A238" s="158" t="s">
        <v>23</v>
      </c>
      <c r="B238" s="158">
        <v>5858</v>
      </c>
    </row>
    <row r="239" spans="1:2" x14ac:dyDescent="0.25">
      <c r="A239" s="158" t="s">
        <v>159</v>
      </c>
      <c r="B239" s="158">
        <v>5639</v>
      </c>
    </row>
    <row r="240" spans="1:2" x14ac:dyDescent="0.25">
      <c r="A240" s="158" t="s">
        <v>2</v>
      </c>
      <c r="B240" s="158">
        <v>5487</v>
      </c>
    </row>
    <row r="241" spans="1:2" x14ac:dyDescent="0.25">
      <c r="A241" s="158" t="s">
        <v>160</v>
      </c>
      <c r="B241" s="158">
        <v>5640</v>
      </c>
    </row>
    <row r="242" spans="1:2" x14ac:dyDescent="0.25">
      <c r="A242" s="158" t="s">
        <v>143</v>
      </c>
      <c r="B242" s="158">
        <v>5606</v>
      </c>
    </row>
    <row r="243" spans="1:2" x14ac:dyDescent="0.25">
      <c r="A243" s="158" t="s">
        <v>280</v>
      </c>
      <c r="B243" s="158">
        <v>5790</v>
      </c>
    </row>
    <row r="244" spans="1:2" x14ac:dyDescent="0.25">
      <c r="A244" s="158" t="s">
        <v>363</v>
      </c>
      <c r="B244" s="158">
        <v>5430</v>
      </c>
    </row>
    <row r="245" spans="1:2" x14ac:dyDescent="0.25">
      <c r="A245" s="158" t="s">
        <v>392</v>
      </c>
      <c r="B245" s="158">
        <v>5919</v>
      </c>
    </row>
    <row r="246" spans="1:2" x14ac:dyDescent="0.25">
      <c r="A246" s="158" t="s">
        <v>43</v>
      </c>
      <c r="B246" s="158">
        <v>5562</v>
      </c>
    </row>
    <row r="247" spans="1:2" x14ac:dyDescent="0.25">
      <c r="A247" s="158" t="s">
        <v>3</v>
      </c>
      <c r="B247" s="158">
        <v>5488</v>
      </c>
    </row>
    <row r="248" spans="1:2" x14ac:dyDescent="0.25">
      <c r="A248" s="158" t="s">
        <v>4</v>
      </c>
      <c r="B248" s="158">
        <v>5489</v>
      </c>
    </row>
    <row r="249" spans="1:2" x14ac:dyDescent="0.25">
      <c r="A249" s="158" t="s">
        <v>239</v>
      </c>
      <c r="B249" s="158">
        <v>5723</v>
      </c>
    </row>
    <row r="250" spans="1:2" x14ac:dyDescent="0.25">
      <c r="A250" s="158" t="s">
        <v>9</v>
      </c>
      <c r="B250" s="158">
        <v>5821</v>
      </c>
    </row>
    <row r="251" spans="1:2" x14ac:dyDescent="0.25">
      <c r="A251" s="158" t="s">
        <v>5</v>
      </c>
      <c r="B251" s="158">
        <v>5490</v>
      </c>
    </row>
    <row r="252" spans="1:2" x14ac:dyDescent="0.25">
      <c r="A252" s="158" t="s">
        <v>364</v>
      </c>
      <c r="B252" s="158">
        <v>5431</v>
      </c>
    </row>
    <row r="253" spans="1:2" x14ac:dyDescent="0.25">
      <c r="A253" s="158" t="s">
        <v>393</v>
      </c>
      <c r="B253" s="158">
        <v>5921</v>
      </c>
    </row>
    <row r="254" spans="1:2" x14ac:dyDescent="0.25">
      <c r="A254" s="158" t="s">
        <v>272</v>
      </c>
      <c r="B254" s="158">
        <v>5922</v>
      </c>
    </row>
    <row r="255" spans="1:2" x14ac:dyDescent="0.25">
      <c r="A255" s="158" t="s">
        <v>440</v>
      </c>
      <c r="B255" s="158">
        <v>5693</v>
      </c>
    </row>
    <row r="256" spans="1:2" x14ac:dyDescent="0.25">
      <c r="A256" s="158" t="s">
        <v>334</v>
      </c>
      <c r="B256" s="158">
        <v>5756</v>
      </c>
    </row>
    <row r="257" spans="1:2" x14ac:dyDescent="0.25">
      <c r="A257" s="158" t="s">
        <v>430</v>
      </c>
      <c r="B257" s="158">
        <v>5540</v>
      </c>
    </row>
    <row r="258" spans="1:2" x14ac:dyDescent="0.25">
      <c r="A258" s="158" t="s">
        <v>163</v>
      </c>
      <c r="B258" s="158">
        <v>5491</v>
      </c>
    </row>
    <row r="259" spans="1:2" x14ac:dyDescent="0.25">
      <c r="A259" s="158" t="s">
        <v>281</v>
      </c>
      <c r="B259" s="158">
        <v>5792</v>
      </c>
    </row>
    <row r="260" spans="1:2" x14ac:dyDescent="0.25">
      <c r="A260" s="158" t="s">
        <v>51</v>
      </c>
      <c r="B260" s="158">
        <v>5886</v>
      </c>
    </row>
    <row r="261" spans="1:2" x14ac:dyDescent="0.25">
      <c r="A261" s="158" t="s">
        <v>164</v>
      </c>
      <c r="B261" s="158">
        <v>5492</v>
      </c>
    </row>
    <row r="262" spans="1:2" x14ac:dyDescent="0.25">
      <c r="A262" s="158" t="s">
        <v>24</v>
      </c>
      <c r="B262" s="158">
        <v>5859</v>
      </c>
    </row>
    <row r="263" spans="1:2" x14ac:dyDescent="0.25">
      <c r="A263" s="158" t="s">
        <v>161</v>
      </c>
      <c r="B263" s="158">
        <v>5642</v>
      </c>
    </row>
    <row r="264" spans="1:2" x14ac:dyDescent="0.25">
      <c r="A264" s="158" t="s">
        <v>186</v>
      </c>
      <c r="B264" s="158">
        <v>5527</v>
      </c>
    </row>
    <row r="265" spans="1:2" x14ac:dyDescent="0.25">
      <c r="A265" s="158" t="s">
        <v>102</v>
      </c>
      <c r="B265" s="158">
        <v>5678</v>
      </c>
    </row>
    <row r="266" spans="1:2" x14ac:dyDescent="0.25">
      <c r="A266" s="158" t="s">
        <v>284</v>
      </c>
      <c r="B266" s="158">
        <v>5563</v>
      </c>
    </row>
    <row r="267" spans="1:2" x14ac:dyDescent="0.25">
      <c r="A267" s="158" t="s">
        <v>285</v>
      </c>
      <c r="B267" s="158">
        <v>5564</v>
      </c>
    </row>
    <row r="268" spans="1:2" x14ac:dyDescent="0.25">
      <c r="A268" s="158" t="s">
        <v>116</v>
      </c>
      <c r="B268" s="158">
        <v>5408</v>
      </c>
    </row>
    <row r="269" spans="1:2" x14ac:dyDescent="0.25">
      <c r="A269" s="158" t="s">
        <v>69</v>
      </c>
      <c r="B269" s="158">
        <v>5724</v>
      </c>
    </row>
    <row r="270" spans="1:2" x14ac:dyDescent="0.25">
      <c r="A270" s="158" t="s">
        <v>103</v>
      </c>
      <c r="B270" s="158">
        <v>5680</v>
      </c>
    </row>
    <row r="271" spans="1:2" x14ac:dyDescent="0.25">
      <c r="A271" s="158" t="s">
        <v>117</v>
      </c>
      <c r="B271" s="158">
        <v>5409</v>
      </c>
    </row>
    <row r="272" spans="1:2" x14ac:dyDescent="0.25">
      <c r="A272" s="158" t="s">
        <v>286</v>
      </c>
      <c r="B272" s="158">
        <v>5565</v>
      </c>
    </row>
    <row r="273" spans="1:2" x14ac:dyDescent="0.25">
      <c r="A273" s="158" t="s">
        <v>273</v>
      </c>
      <c r="B273" s="158">
        <v>5923</v>
      </c>
    </row>
    <row r="274" spans="1:2" x14ac:dyDescent="0.25">
      <c r="A274" s="158" t="s">
        <v>335</v>
      </c>
      <c r="B274" s="158">
        <v>5757</v>
      </c>
    </row>
    <row r="275" spans="1:2" x14ac:dyDescent="0.25">
      <c r="A275" s="158" t="s">
        <v>274</v>
      </c>
      <c r="B275" s="158">
        <v>5924</v>
      </c>
    </row>
    <row r="276" spans="1:2" x14ac:dyDescent="0.25">
      <c r="A276" s="158" t="s">
        <v>129</v>
      </c>
      <c r="B276" s="158">
        <v>5410</v>
      </c>
    </row>
    <row r="277" spans="1:2" x14ac:dyDescent="0.25">
      <c r="A277" s="158" t="s">
        <v>130</v>
      </c>
      <c r="B277" s="158">
        <v>5411</v>
      </c>
    </row>
    <row r="278" spans="1:2" x14ac:dyDescent="0.25">
      <c r="A278" s="158" t="s">
        <v>165</v>
      </c>
      <c r="B278" s="158">
        <v>5493</v>
      </c>
    </row>
    <row r="279" spans="1:2" x14ac:dyDescent="0.25">
      <c r="A279" s="158" t="s">
        <v>433</v>
      </c>
      <c r="B279" s="158">
        <v>5805</v>
      </c>
    </row>
    <row r="280" spans="1:2" x14ac:dyDescent="0.25">
      <c r="A280" s="158" t="s">
        <v>397</v>
      </c>
      <c r="B280" s="158">
        <v>5925</v>
      </c>
    </row>
    <row r="281" spans="1:2" x14ac:dyDescent="0.25">
      <c r="A281" s="158" t="s">
        <v>187</v>
      </c>
      <c r="B281" s="158">
        <v>5529</v>
      </c>
    </row>
    <row r="282" spans="1:2" x14ac:dyDescent="0.25">
      <c r="A282" s="158" t="s">
        <v>188</v>
      </c>
      <c r="B282" s="158">
        <v>5530</v>
      </c>
    </row>
    <row r="283" spans="1:2" x14ac:dyDescent="0.25">
      <c r="A283" s="158" t="s">
        <v>166</v>
      </c>
      <c r="B283" s="158">
        <v>5494</v>
      </c>
    </row>
    <row r="284" spans="1:2" x14ac:dyDescent="0.25">
      <c r="A284" s="158" t="s">
        <v>121</v>
      </c>
      <c r="B284" s="158">
        <v>5588</v>
      </c>
    </row>
    <row r="285" spans="1:2" x14ac:dyDescent="0.25">
      <c r="A285" s="158" t="s">
        <v>10</v>
      </c>
      <c r="B285" s="158">
        <v>5822</v>
      </c>
    </row>
    <row r="286" spans="1:2" x14ac:dyDescent="0.25">
      <c r="A286" s="158" t="s">
        <v>167</v>
      </c>
      <c r="B286" s="158">
        <v>5495</v>
      </c>
    </row>
    <row r="287" spans="1:2" x14ac:dyDescent="0.25">
      <c r="A287" s="158" t="s">
        <v>168</v>
      </c>
      <c r="B287" s="158">
        <v>5496</v>
      </c>
    </row>
    <row r="288" spans="1:2" x14ac:dyDescent="0.25">
      <c r="A288" s="158" t="s">
        <v>189</v>
      </c>
      <c r="B288" s="158">
        <v>5531</v>
      </c>
    </row>
    <row r="289" spans="1:2" x14ac:dyDescent="0.25">
      <c r="A289" s="158" t="s">
        <v>25</v>
      </c>
      <c r="B289" s="158">
        <v>5860</v>
      </c>
    </row>
    <row r="290" spans="1:2" x14ac:dyDescent="0.25">
      <c r="A290" s="158" t="s">
        <v>190</v>
      </c>
      <c r="B290" s="158">
        <v>5533</v>
      </c>
    </row>
    <row r="291" spans="1:2" x14ac:dyDescent="0.25">
      <c r="A291" s="158" t="s">
        <v>169</v>
      </c>
      <c r="B291" s="158">
        <v>5497</v>
      </c>
    </row>
    <row r="292" spans="1:2" x14ac:dyDescent="0.25">
      <c r="A292" s="158" t="s">
        <v>398</v>
      </c>
      <c r="B292" s="158">
        <v>5926</v>
      </c>
    </row>
    <row r="293" spans="1:2" x14ac:dyDescent="0.25">
      <c r="A293" s="158" t="s">
        <v>70</v>
      </c>
      <c r="B293" s="158">
        <v>5725</v>
      </c>
    </row>
    <row r="294" spans="1:2" x14ac:dyDescent="0.25">
      <c r="A294" s="158" t="s">
        <v>217</v>
      </c>
      <c r="B294" s="158">
        <v>5759</v>
      </c>
    </row>
    <row r="295" spans="1:2" x14ac:dyDescent="0.25">
      <c r="A295" s="158" t="s">
        <v>162</v>
      </c>
      <c r="B295" s="158">
        <v>5643</v>
      </c>
    </row>
    <row r="296" spans="1:2" x14ac:dyDescent="0.25">
      <c r="A296" s="158" t="s">
        <v>104</v>
      </c>
      <c r="B296" s="158">
        <v>5683</v>
      </c>
    </row>
    <row r="297" spans="1:2" x14ac:dyDescent="0.25">
      <c r="A297" s="158" t="s">
        <v>122</v>
      </c>
      <c r="B297" s="158">
        <v>5589</v>
      </c>
    </row>
    <row r="298" spans="1:2" x14ac:dyDescent="0.25">
      <c r="A298" s="158" t="s">
        <v>287</v>
      </c>
      <c r="B298" s="158">
        <v>5566</v>
      </c>
    </row>
    <row r="299" spans="1:2" x14ac:dyDescent="0.25">
      <c r="A299" s="158" t="s">
        <v>299</v>
      </c>
      <c r="B299" s="158">
        <v>5607</v>
      </c>
    </row>
    <row r="300" spans="1:2" x14ac:dyDescent="0.25">
      <c r="A300" s="158" t="s">
        <v>123</v>
      </c>
      <c r="B300" s="158">
        <v>5590</v>
      </c>
    </row>
    <row r="301" spans="1:2" x14ac:dyDescent="0.25">
      <c r="A301" s="158" t="s">
        <v>218</v>
      </c>
      <c r="B301" s="158">
        <v>5760</v>
      </c>
    </row>
    <row r="302" spans="1:2" x14ac:dyDescent="0.25">
      <c r="A302" s="158" t="s">
        <v>394</v>
      </c>
      <c r="B302" s="158">
        <v>5591</v>
      </c>
    </row>
    <row r="303" spans="1:2" x14ac:dyDescent="0.25">
      <c r="A303" s="158" t="s">
        <v>131</v>
      </c>
      <c r="B303" s="158">
        <v>5412</v>
      </c>
    </row>
    <row r="304" spans="1:2" x14ac:dyDescent="0.25">
      <c r="A304" s="158" t="s">
        <v>311</v>
      </c>
      <c r="B304" s="158">
        <v>5644</v>
      </c>
    </row>
    <row r="305" spans="1:2" x14ac:dyDescent="0.25">
      <c r="A305" s="158" t="s">
        <v>127</v>
      </c>
      <c r="B305" s="158">
        <v>5609</v>
      </c>
    </row>
    <row r="306" spans="1:2" x14ac:dyDescent="0.25">
      <c r="A306" s="158" t="s">
        <v>132</v>
      </c>
      <c r="B306" s="158">
        <v>5413</v>
      </c>
    </row>
    <row r="307" spans="1:2" x14ac:dyDescent="0.25">
      <c r="A307" s="158" t="s">
        <v>26</v>
      </c>
      <c r="B307" s="158">
        <v>5861</v>
      </c>
    </row>
    <row r="308" spans="1:2" x14ac:dyDescent="0.25">
      <c r="A308" s="158" t="s">
        <v>134</v>
      </c>
      <c r="B308" s="158">
        <v>5761</v>
      </c>
    </row>
    <row r="309" spans="1:2" x14ac:dyDescent="0.25">
      <c r="A309" s="158" t="s">
        <v>215</v>
      </c>
      <c r="B309" s="158">
        <v>5592</v>
      </c>
    </row>
    <row r="310" spans="1:2" x14ac:dyDescent="0.25">
      <c r="A310" s="158" t="s">
        <v>312</v>
      </c>
      <c r="B310" s="158">
        <v>5645</v>
      </c>
    </row>
    <row r="311" spans="1:2" x14ac:dyDescent="0.25">
      <c r="A311" s="158" t="s">
        <v>282</v>
      </c>
      <c r="B311" s="158">
        <v>5798</v>
      </c>
    </row>
    <row r="312" spans="1:2" x14ac:dyDescent="0.25">
      <c r="A312" s="158" t="s">
        <v>105</v>
      </c>
      <c r="B312" s="158">
        <v>5684</v>
      </c>
    </row>
    <row r="313" spans="1:2" x14ac:dyDescent="0.25">
      <c r="A313" s="158" t="s">
        <v>14</v>
      </c>
      <c r="B313" s="158">
        <v>5842</v>
      </c>
    </row>
    <row r="314" spans="1:2" x14ac:dyDescent="0.25">
      <c r="A314" s="158" t="s">
        <v>15</v>
      </c>
      <c r="B314" s="158">
        <v>5843</v>
      </c>
    </row>
    <row r="315" spans="1:2" x14ac:dyDescent="0.25">
      <c r="A315" s="158" t="s">
        <v>399</v>
      </c>
      <c r="B315" s="158">
        <v>5928</v>
      </c>
    </row>
    <row r="316" spans="1:2" x14ac:dyDescent="0.25">
      <c r="A316" s="158" t="s">
        <v>191</v>
      </c>
      <c r="B316" s="158">
        <v>5534</v>
      </c>
    </row>
    <row r="317" spans="1:2" x14ac:dyDescent="0.25">
      <c r="A317" s="158" t="s">
        <v>30</v>
      </c>
      <c r="B317" s="158">
        <v>5535</v>
      </c>
    </row>
    <row r="318" spans="1:2" x14ac:dyDescent="0.25">
      <c r="A318" s="158" t="s">
        <v>319</v>
      </c>
      <c r="B318" s="158">
        <v>5727</v>
      </c>
    </row>
    <row r="319" spans="1:2" x14ac:dyDescent="0.25">
      <c r="A319" s="158" t="s">
        <v>118</v>
      </c>
      <c r="B319" s="158">
        <v>5568</v>
      </c>
    </row>
    <row r="320" spans="1:2" x14ac:dyDescent="0.25">
      <c r="A320" s="158" t="s">
        <v>365</v>
      </c>
      <c r="B320" s="158">
        <v>5434</v>
      </c>
    </row>
    <row r="321" spans="1:2" x14ac:dyDescent="0.25">
      <c r="A321" s="158" t="s">
        <v>513</v>
      </c>
      <c r="B321" s="158">
        <v>5888</v>
      </c>
    </row>
    <row r="322" spans="1:2" x14ac:dyDescent="0.25">
      <c r="A322" s="158" t="s">
        <v>343</v>
      </c>
      <c r="B322" s="158">
        <v>5435</v>
      </c>
    </row>
    <row r="323" spans="1:2" x14ac:dyDescent="0.25">
      <c r="A323" s="158" t="s">
        <v>344</v>
      </c>
      <c r="B323" s="158">
        <v>5436</v>
      </c>
    </row>
    <row r="324" spans="1:2" x14ac:dyDescent="0.25">
      <c r="A324" s="158" t="s">
        <v>313</v>
      </c>
      <c r="B324" s="158">
        <v>5646</v>
      </c>
    </row>
    <row r="325" spans="1:2" x14ac:dyDescent="0.25">
      <c r="A325" s="158" t="s">
        <v>314</v>
      </c>
      <c r="B325" s="158">
        <v>5648</v>
      </c>
    </row>
    <row r="326" spans="1:2" x14ac:dyDescent="0.25">
      <c r="A326" s="158" t="s">
        <v>345</v>
      </c>
      <c r="B326" s="158">
        <v>5437</v>
      </c>
    </row>
    <row r="327" spans="1:2" x14ac:dyDescent="0.25">
      <c r="A327" s="158" t="s">
        <v>296</v>
      </c>
      <c r="B327" s="158">
        <v>5611</v>
      </c>
    </row>
    <row r="328" spans="1:2" x14ac:dyDescent="0.25">
      <c r="A328" s="158" t="s">
        <v>171</v>
      </c>
      <c r="B328" s="158">
        <v>5499</v>
      </c>
    </row>
    <row r="329" spans="1:2" x14ac:dyDescent="0.25">
      <c r="A329" s="158" t="s">
        <v>135</v>
      </c>
      <c r="B329" s="158">
        <v>5762</v>
      </c>
    </row>
    <row r="330" spans="1:2" x14ac:dyDescent="0.25">
      <c r="A330" s="158" t="s">
        <v>283</v>
      </c>
      <c r="B330" s="158">
        <v>5799</v>
      </c>
    </row>
    <row r="331" spans="1:2" x14ac:dyDescent="0.25">
      <c r="A331" s="158" t="s">
        <v>172</v>
      </c>
      <c r="B331" s="158">
        <v>5500</v>
      </c>
    </row>
    <row r="332" spans="1:2" x14ac:dyDescent="0.25">
      <c r="A332" s="158" t="s">
        <v>320</v>
      </c>
      <c r="B332" s="158">
        <v>5728</v>
      </c>
    </row>
    <row r="333" spans="1:2" x14ac:dyDescent="0.25">
      <c r="A333" s="158" t="s">
        <v>128</v>
      </c>
      <c r="B333" s="158">
        <v>5610</v>
      </c>
    </row>
    <row r="334" spans="1:2" x14ac:dyDescent="0.25">
      <c r="A334" s="158" t="s">
        <v>400</v>
      </c>
      <c r="B334" s="158">
        <v>5929</v>
      </c>
    </row>
    <row r="335" spans="1:2" x14ac:dyDescent="0.25">
      <c r="A335" s="158" t="s">
        <v>173</v>
      </c>
      <c r="B335" s="158">
        <v>5501</v>
      </c>
    </row>
    <row r="336" spans="1:2" x14ac:dyDescent="0.25">
      <c r="A336" s="158" t="s">
        <v>401</v>
      </c>
      <c r="B336" s="158">
        <v>5930</v>
      </c>
    </row>
    <row r="337" spans="1:2" x14ac:dyDescent="0.25">
      <c r="A337" s="158" t="s">
        <v>106</v>
      </c>
      <c r="B337" s="158">
        <v>5688</v>
      </c>
    </row>
    <row r="338" spans="1:2" x14ac:dyDescent="0.25">
      <c r="A338" s="158" t="s">
        <v>321</v>
      </c>
      <c r="B338" s="158">
        <v>5729</v>
      </c>
    </row>
    <row r="339" spans="1:2" x14ac:dyDescent="0.25">
      <c r="A339" s="158" t="s">
        <v>27</v>
      </c>
      <c r="B339" s="158">
        <v>5862</v>
      </c>
    </row>
    <row r="340" spans="1:2" x14ac:dyDescent="0.25">
      <c r="A340" s="158" t="s">
        <v>427</v>
      </c>
      <c r="B340" s="158">
        <v>5571</v>
      </c>
    </row>
    <row r="341" spans="1:2" x14ac:dyDescent="0.25">
      <c r="A341" s="158" t="s">
        <v>315</v>
      </c>
      <c r="B341" s="158">
        <v>5649</v>
      </c>
    </row>
    <row r="342" spans="1:2" x14ac:dyDescent="0.25">
      <c r="A342" s="158" t="s">
        <v>322</v>
      </c>
      <c r="B342" s="158">
        <v>5730</v>
      </c>
    </row>
    <row r="343" spans="1:2" x14ac:dyDescent="0.25">
      <c r="A343" s="158" t="s">
        <v>11</v>
      </c>
      <c r="B343" s="158">
        <v>5827</v>
      </c>
    </row>
    <row r="344" spans="1:2" x14ac:dyDescent="0.25">
      <c r="A344" s="158" t="s">
        <v>402</v>
      </c>
      <c r="B344" s="158">
        <v>5931</v>
      </c>
    </row>
    <row r="345" spans="1:2" x14ac:dyDescent="0.25">
      <c r="A345" s="158" t="s">
        <v>512</v>
      </c>
      <c r="B345" s="158">
        <v>5828</v>
      </c>
    </row>
    <row r="346" spans="1:2" x14ac:dyDescent="0.25">
      <c r="A346" s="158" t="s">
        <v>275</v>
      </c>
      <c r="B346" s="158">
        <v>5932</v>
      </c>
    </row>
    <row r="347" spans="1:2" x14ac:dyDescent="0.25">
      <c r="A347" s="158" t="s">
        <v>432</v>
      </c>
      <c r="B347" s="158">
        <v>5831</v>
      </c>
    </row>
    <row r="348" spans="1:2" x14ac:dyDescent="0.25">
      <c r="A348" s="158" t="s">
        <v>395</v>
      </c>
      <c r="B348" s="158">
        <v>5933</v>
      </c>
    </row>
    <row r="349" spans="1:2" x14ac:dyDescent="0.25">
      <c r="A349" s="158" t="s">
        <v>136</v>
      </c>
      <c r="B349" s="158">
        <v>5763</v>
      </c>
    </row>
    <row r="350" spans="1:2" x14ac:dyDescent="0.25">
      <c r="A350" s="158" t="s">
        <v>396</v>
      </c>
      <c r="B350" s="158">
        <v>5934</v>
      </c>
    </row>
    <row r="351" spans="1:2" x14ac:dyDescent="0.25">
      <c r="A351" s="158" t="s">
        <v>336</v>
      </c>
      <c r="B351" s="158">
        <v>5764</v>
      </c>
    </row>
    <row r="352" spans="1:2" x14ac:dyDescent="0.25">
      <c r="A352" s="158" t="s">
        <v>337</v>
      </c>
      <c r="B352" s="158">
        <v>5765</v>
      </c>
    </row>
    <row r="353" spans="1:2" x14ac:dyDescent="0.25">
      <c r="A353" s="158" t="s">
        <v>316</v>
      </c>
      <c r="B353" s="158">
        <v>5650</v>
      </c>
    </row>
    <row r="354" spans="1:2" x14ac:dyDescent="0.25">
      <c r="A354" s="158" t="s">
        <v>53</v>
      </c>
      <c r="B354" s="158">
        <v>5890</v>
      </c>
    </row>
    <row r="355" spans="1:2" x14ac:dyDescent="0.25">
      <c r="A355" s="158" t="s">
        <v>54</v>
      </c>
      <c r="B355" s="158">
        <v>5891</v>
      </c>
    </row>
    <row r="356" spans="1:2" x14ac:dyDescent="0.25">
      <c r="A356" s="158" t="s">
        <v>324</v>
      </c>
      <c r="B356" s="158">
        <v>5732</v>
      </c>
    </row>
    <row r="357" spans="1:2" x14ac:dyDescent="0.25">
      <c r="A357" s="158" t="s">
        <v>298</v>
      </c>
      <c r="B357" s="158">
        <v>5935</v>
      </c>
    </row>
    <row r="358" spans="1:2" x14ac:dyDescent="0.25">
      <c r="A358" s="158" t="s">
        <v>107</v>
      </c>
      <c r="B358" s="158">
        <v>5690</v>
      </c>
    </row>
    <row r="359" spans="1:2" x14ac:dyDescent="0.25">
      <c r="A359" s="158" t="s">
        <v>31</v>
      </c>
      <c r="B359" s="158">
        <v>5537</v>
      </c>
    </row>
    <row r="360" spans="1:2" x14ac:dyDescent="0.25">
      <c r="A360" s="158" t="s">
        <v>317</v>
      </c>
      <c r="B360" s="158">
        <v>5651</v>
      </c>
    </row>
    <row r="361" spans="1:2" x14ac:dyDescent="0.25">
      <c r="A361" s="158" t="s">
        <v>197</v>
      </c>
      <c r="B361" s="158">
        <v>5652</v>
      </c>
    </row>
    <row r="362" spans="1:2" x14ac:dyDescent="0.25">
      <c r="A362" s="158" t="s">
        <v>12</v>
      </c>
      <c r="B362" s="158">
        <v>5830</v>
      </c>
    </row>
    <row r="363" spans="1:2" x14ac:dyDescent="0.25">
      <c r="A363" s="158" t="s">
        <v>133</v>
      </c>
      <c r="B363" s="158">
        <v>5414</v>
      </c>
    </row>
    <row r="364" spans="1:2" x14ac:dyDescent="0.25">
      <c r="A364" s="158" t="s">
        <v>28</v>
      </c>
      <c r="B364" s="158">
        <v>5863</v>
      </c>
    </row>
    <row r="365" spans="1:2" x14ac:dyDescent="0.25">
      <c r="A365" s="158" t="s">
        <v>32</v>
      </c>
      <c r="B365" s="158">
        <v>5539</v>
      </c>
    </row>
    <row r="366" spans="1:2" x14ac:dyDescent="0.25">
      <c r="A366" s="158" t="s">
        <v>108</v>
      </c>
      <c r="B366" s="158">
        <v>5692</v>
      </c>
    </row>
    <row r="367" spans="1:2" x14ac:dyDescent="0.25">
      <c r="A367" s="158" t="s">
        <v>174</v>
      </c>
      <c r="B367" s="158">
        <v>5503</v>
      </c>
    </row>
    <row r="368" spans="1:2" x14ac:dyDescent="0.25">
      <c r="A368" s="158" t="s">
        <v>198</v>
      </c>
      <c r="B368" s="158">
        <v>5653</v>
      </c>
    </row>
    <row r="369" spans="1:2" x14ac:dyDescent="0.25">
      <c r="A369" s="158" t="s">
        <v>276</v>
      </c>
      <c r="B369" s="158">
        <v>5937</v>
      </c>
    </row>
    <row r="370" spans="1:2" x14ac:dyDescent="0.25">
      <c r="A370" s="158" t="s">
        <v>338</v>
      </c>
      <c r="B370" s="158">
        <v>5766</v>
      </c>
    </row>
    <row r="371" spans="1:2" x14ac:dyDescent="0.25">
      <c r="A371" s="158" t="s">
        <v>384</v>
      </c>
      <c r="B371" s="158">
        <v>5803</v>
      </c>
    </row>
    <row r="372" spans="1:2" x14ac:dyDescent="0.25">
      <c r="A372" s="158" t="s">
        <v>199</v>
      </c>
      <c r="B372" s="158">
        <v>5654</v>
      </c>
    </row>
    <row r="373" spans="1:2" x14ac:dyDescent="0.25">
      <c r="A373" s="158" t="s">
        <v>428</v>
      </c>
      <c r="B373" s="158">
        <v>5464</v>
      </c>
    </row>
    <row r="374" spans="1:2" x14ac:dyDescent="0.25">
      <c r="A374" s="158" t="s">
        <v>200</v>
      </c>
      <c r="B374" s="158">
        <v>5655</v>
      </c>
    </row>
    <row r="375" spans="1:2" x14ac:dyDescent="0.25">
      <c r="A375" s="158" t="s">
        <v>149</v>
      </c>
      <c r="B375" s="158">
        <v>5938</v>
      </c>
    </row>
    <row r="376" spans="1:2" x14ac:dyDescent="0.25">
      <c r="A376" s="158" t="s">
        <v>148</v>
      </c>
      <c r="B376" s="158">
        <v>5939</v>
      </c>
    </row>
    <row r="377" spans="1:2" x14ac:dyDescent="0.25">
      <c r="A377" s="158" t="s">
        <v>72</v>
      </c>
      <c r="B377" s="158">
        <v>5415</v>
      </c>
    </row>
    <row r="378" spans="1:2" x14ac:dyDescent="0.25">
      <c r="B378" s="160"/>
    </row>
    <row r="379" spans="1:2" x14ac:dyDescent="0.25">
      <c r="B379" s="160"/>
    </row>
    <row r="380" spans="1:2" x14ac:dyDescent="0.25">
      <c r="B380" s="160"/>
    </row>
    <row r="381" spans="1:2" x14ac:dyDescent="0.25">
      <c r="B381" s="160"/>
    </row>
    <row r="382" spans="1:2" x14ac:dyDescent="0.25">
      <c r="B382" s="160"/>
    </row>
    <row r="383" spans="1:2" x14ac:dyDescent="0.25">
      <c r="B383" s="160"/>
    </row>
    <row r="384" spans="1:2" x14ac:dyDescent="0.25">
      <c r="B384" s="160"/>
    </row>
    <row r="385" spans="2:2" x14ac:dyDescent="0.25">
      <c r="B385" s="160"/>
    </row>
    <row r="386" spans="2:2" x14ac:dyDescent="0.25">
      <c r="B386" s="160"/>
    </row>
    <row r="387" spans="2:2" x14ac:dyDescent="0.25">
      <c r="B387" s="160"/>
    </row>
    <row r="388" spans="2:2" x14ac:dyDescent="0.25">
      <c r="B388" s="160"/>
    </row>
    <row r="389" spans="2:2" x14ac:dyDescent="0.25">
      <c r="B389" s="160"/>
    </row>
    <row r="390" spans="2:2" x14ac:dyDescent="0.25">
      <c r="B390" s="160"/>
    </row>
    <row r="391" spans="2:2" x14ac:dyDescent="0.25">
      <c r="B391" s="160"/>
    </row>
    <row r="392" spans="2:2" x14ac:dyDescent="0.25">
      <c r="B392" s="160"/>
    </row>
    <row r="393" spans="2:2" x14ac:dyDescent="0.25">
      <c r="B393" s="160"/>
    </row>
    <row r="394" spans="2:2" x14ac:dyDescent="0.25">
      <c r="B394" s="160"/>
    </row>
    <row r="395" spans="2:2" x14ac:dyDescent="0.25">
      <c r="B395" s="160"/>
    </row>
    <row r="396" spans="2:2" x14ac:dyDescent="0.25">
      <c r="B396" s="160"/>
    </row>
    <row r="397" spans="2:2" x14ac:dyDescent="0.25">
      <c r="B397" s="160"/>
    </row>
    <row r="398" spans="2:2" x14ac:dyDescent="0.25">
      <c r="B398" s="160"/>
    </row>
    <row r="399" spans="2:2" x14ac:dyDescent="0.25">
      <c r="B399" s="160"/>
    </row>
    <row r="400" spans="2:2" x14ac:dyDescent="0.25">
      <c r="B400" s="160"/>
    </row>
    <row r="401" spans="2:2" x14ac:dyDescent="0.25">
      <c r="B401" s="160"/>
    </row>
    <row r="402" spans="2:2" x14ac:dyDescent="0.25">
      <c r="B402" s="160"/>
    </row>
    <row r="403" spans="2:2" x14ac:dyDescent="0.25">
      <c r="B403" s="160"/>
    </row>
    <row r="404" spans="2:2" x14ac:dyDescent="0.25">
      <c r="B404" s="160"/>
    </row>
    <row r="405" spans="2:2" x14ac:dyDescent="0.25">
      <c r="B405" s="160"/>
    </row>
    <row r="406" spans="2:2" x14ac:dyDescent="0.25">
      <c r="B406" s="160"/>
    </row>
    <row r="407" spans="2:2" x14ac:dyDescent="0.25">
      <c r="B407" s="160"/>
    </row>
    <row r="408" spans="2:2" x14ac:dyDescent="0.25">
      <c r="B408" s="160"/>
    </row>
    <row r="409" spans="2:2" x14ac:dyDescent="0.25">
      <c r="B409" s="160"/>
    </row>
    <row r="410" spans="2:2" x14ac:dyDescent="0.25">
      <c r="B410" s="160"/>
    </row>
    <row r="411" spans="2:2" x14ac:dyDescent="0.25">
      <c r="B411" s="160"/>
    </row>
    <row r="412" spans="2:2" x14ac:dyDescent="0.25">
      <c r="B412" s="160"/>
    </row>
    <row r="413" spans="2:2" x14ac:dyDescent="0.25">
      <c r="B413" s="160"/>
    </row>
    <row r="414" spans="2:2" x14ac:dyDescent="0.25">
      <c r="B414" s="160"/>
    </row>
    <row r="415" spans="2:2" x14ac:dyDescent="0.25">
      <c r="B415" s="160"/>
    </row>
    <row r="416" spans="2:2" x14ac:dyDescent="0.25">
      <c r="B416" s="160"/>
    </row>
    <row r="417" spans="2:2" x14ac:dyDescent="0.25">
      <c r="B417" s="160"/>
    </row>
    <row r="418" spans="2:2" x14ac:dyDescent="0.25">
      <c r="B418" s="160"/>
    </row>
    <row r="419" spans="2:2" x14ac:dyDescent="0.25">
      <c r="B419" s="160"/>
    </row>
    <row r="420" spans="2:2" x14ac:dyDescent="0.25">
      <c r="B420" s="160"/>
    </row>
    <row r="421" spans="2:2" x14ac:dyDescent="0.25">
      <c r="B421" s="160"/>
    </row>
    <row r="422" spans="2:2" x14ac:dyDescent="0.25">
      <c r="B422" s="160"/>
    </row>
    <row r="423" spans="2:2" x14ac:dyDescent="0.25">
      <c r="B423" s="160"/>
    </row>
    <row r="424" spans="2:2" x14ac:dyDescent="0.25">
      <c r="B424" s="160"/>
    </row>
    <row r="425" spans="2:2" x14ac:dyDescent="0.25">
      <c r="B425" s="160"/>
    </row>
    <row r="426" spans="2:2" x14ac:dyDescent="0.25">
      <c r="B426" s="160"/>
    </row>
    <row r="427" spans="2:2" x14ac:dyDescent="0.25">
      <c r="B427" s="160"/>
    </row>
    <row r="428" spans="2:2" x14ac:dyDescent="0.25">
      <c r="B428" s="160"/>
    </row>
    <row r="429" spans="2:2" x14ac:dyDescent="0.25">
      <c r="B429" s="160"/>
    </row>
    <row r="430" spans="2:2" x14ac:dyDescent="0.25">
      <c r="B430" s="160"/>
    </row>
    <row r="431" spans="2:2" x14ac:dyDescent="0.25">
      <c r="B431" s="160"/>
    </row>
    <row r="432" spans="2:2" x14ac:dyDescent="0.25">
      <c r="B432" s="160"/>
    </row>
    <row r="433" spans="2:2" x14ac:dyDescent="0.25">
      <c r="B433" s="160"/>
    </row>
    <row r="434" spans="2:2" x14ac:dyDescent="0.25">
      <c r="B434" s="160"/>
    </row>
    <row r="435" spans="2:2" x14ac:dyDescent="0.25">
      <c r="B435" s="160"/>
    </row>
    <row r="436" spans="2:2" x14ac:dyDescent="0.25">
      <c r="B436" s="160"/>
    </row>
    <row r="437" spans="2:2" x14ac:dyDescent="0.25">
      <c r="B437" s="160"/>
    </row>
    <row r="438" spans="2:2" x14ac:dyDescent="0.25">
      <c r="B438" s="160"/>
    </row>
    <row r="439" spans="2:2" x14ac:dyDescent="0.25">
      <c r="B439" s="160"/>
    </row>
    <row r="440" spans="2:2" x14ac:dyDescent="0.25">
      <c r="B440" s="160"/>
    </row>
    <row r="441" spans="2:2" x14ac:dyDescent="0.25">
      <c r="B441" s="160"/>
    </row>
    <row r="442" spans="2:2" x14ac:dyDescent="0.25">
      <c r="B442" s="160"/>
    </row>
    <row r="443" spans="2:2" x14ac:dyDescent="0.25">
      <c r="B443" s="160"/>
    </row>
    <row r="444" spans="2:2" x14ac:dyDescent="0.25">
      <c r="B444" s="160"/>
    </row>
    <row r="445" spans="2:2" x14ac:dyDescent="0.25">
      <c r="B445" s="160"/>
    </row>
    <row r="446" spans="2:2" x14ac:dyDescent="0.25">
      <c r="B446" s="160"/>
    </row>
    <row r="447" spans="2:2" x14ac:dyDescent="0.25">
      <c r="B447" s="160"/>
    </row>
    <row r="448" spans="2:2" x14ac:dyDescent="0.25">
      <c r="B448" s="160"/>
    </row>
    <row r="449" spans="2:2" x14ac:dyDescent="0.25">
      <c r="B449" s="160"/>
    </row>
    <row r="450" spans="2:2" x14ac:dyDescent="0.25">
      <c r="B450" s="160"/>
    </row>
    <row r="451" spans="2:2" x14ac:dyDescent="0.25">
      <c r="B451" s="160"/>
    </row>
    <row r="452" spans="2:2" x14ac:dyDescent="0.25">
      <c r="B452" s="160"/>
    </row>
    <row r="453" spans="2:2" x14ac:dyDescent="0.25">
      <c r="B453" s="160"/>
    </row>
    <row r="454" spans="2:2" x14ac:dyDescent="0.25">
      <c r="B454" s="160"/>
    </row>
    <row r="455" spans="2:2" x14ac:dyDescent="0.25">
      <c r="B455" s="160"/>
    </row>
    <row r="456" spans="2:2" x14ac:dyDescent="0.25">
      <c r="B456" s="160"/>
    </row>
    <row r="457" spans="2:2" x14ac:dyDescent="0.25">
      <c r="B457" s="160"/>
    </row>
    <row r="458" spans="2:2" x14ac:dyDescent="0.25">
      <c r="B458" s="160"/>
    </row>
    <row r="459" spans="2:2" x14ac:dyDescent="0.25">
      <c r="B459" s="160"/>
    </row>
    <row r="460" spans="2:2" x14ac:dyDescent="0.25">
      <c r="B460" s="160"/>
    </row>
    <row r="461" spans="2:2" x14ac:dyDescent="0.25">
      <c r="B461" s="160"/>
    </row>
    <row r="462" spans="2:2" x14ac:dyDescent="0.25">
      <c r="B462" s="160"/>
    </row>
    <row r="463" spans="2:2" x14ac:dyDescent="0.25">
      <c r="B463" s="160"/>
    </row>
    <row r="464" spans="2:2" x14ac:dyDescent="0.25">
      <c r="B464" s="160"/>
    </row>
    <row r="465" spans="2:2" x14ac:dyDescent="0.25">
      <c r="B465" s="160"/>
    </row>
    <row r="466" spans="2:2" x14ac:dyDescent="0.25">
      <c r="B466" s="160"/>
    </row>
    <row r="467" spans="2:2" x14ac:dyDescent="0.25">
      <c r="B467" s="160"/>
    </row>
    <row r="468" spans="2:2" x14ac:dyDescent="0.25">
      <c r="B468" s="160"/>
    </row>
    <row r="469" spans="2:2" x14ac:dyDescent="0.25">
      <c r="B469" s="160"/>
    </row>
    <row r="470" spans="2:2" x14ac:dyDescent="0.25">
      <c r="B470" s="160"/>
    </row>
    <row r="471" spans="2:2" x14ac:dyDescent="0.25">
      <c r="B471" s="160"/>
    </row>
    <row r="472" spans="2:2" x14ac:dyDescent="0.25">
      <c r="B472" s="160"/>
    </row>
    <row r="473" spans="2:2" x14ac:dyDescent="0.25">
      <c r="B473" s="160"/>
    </row>
    <row r="474" spans="2:2" x14ac:dyDescent="0.25">
      <c r="B474" s="160"/>
    </row>
    <row r="475" spans="2:2" x14ac:dyDescent="0.25">
      <c r="B475" s="160"/>
    </row>
    <row r="476" spans="2:2" x14ac:dyDescent="0.25">
      <c r="B476" s="160"/>
    </row>
    <row r="477" spans="2:2" x14ac:dyDescent="0.25">
      <c r="B477" s="160"/>
    </row>
    <row r="478" spans="2:2" x14ac:dyDescent="0.25">
      <c r="B478" s="160"/>
    </row>
    <row r="479" spans="2:2" x14ac:dyDescent="0.25">
      <c r="B479" s="160"/>
    </row>
    <row r="480" spans="2:2" x14ac:dyDescent="0.25">
      <c r="B480" s="160"/>
    </row>
    <row r="481" spans="2:2" x14ac:dyDescent="0.25">
      <c r="B481" s="160"/>
    </row>
    <row r="482" spans="2:2" x14ac:dyDescent="0.25">
      <c r="B482" s="160"/>
    </row>
    <row r="483" spans="2:2" x14ac:dyDescent="0.25">
      <c r="B483" s="160"/>
    </row>
    <row r="484" spans="2:2" x14ac:dyDescent="0.25">
      <c r="B484" s="160"/>
    </row>
    <row r="485" spans="2:2" x14ac:dyDescent="0.25">
      <c r="B485" s="160"/>
    </row>
    <row r="486" spans="2:2" x14ac:dyDescent="0.25">
      <c r="B486" s="160"/>
    </row>
    <row r="487" spans="2:2" x14ac:dyDescent="0.25">
      <c r="B487" s="160"/>
    </row>
    <row r="488" spans="2:2" x14ac:dyDescent="0.25">
      <c r="B488" s="160"/>
    </row>
    <row r="489" spans="2:2" x14ac:dyDescent="0.25">
      <c r="B489" s="160"/>
    </row>
    <row r="490" spans="2:2" x14ac:dyDescent="0.25">
      <c r="B490" s="160"/>
    </row>
    <row r="491" spans="2:2" x14ac:dyDescent="0.25">
      <c r="B491" s="160"/>
    </row>
    <row r="492" spans="2:2" x14ac:dyDescent="0.25">
      <c r="B492" s="160"/>
    </row>
    <row r="493" spans="2:2" x14ac:dyDescent="0.25">
      <c r="B493" s="160"/>
    </row>
    <row r="494" spans="2:2" x14ac:dyDescent="0.25">
      <c r="B494" s="160"/>
    </row>
    <row r="495" spans="2:2" x14ac:dyDescent="0.25">
      <c r="B495" s="160"/>
    </row>
    <row r="496" spans="2:2" x14ac:dyDescent="0.25">
      <c r="B496" s="160"/>
    </row>
    <row r="497" spans="2:2" x14ac:dyDescent="0.25">
      <c r="B497" s="160"/>
    </row>
    <row r="498" spans="2:2" x14ac:dyDescent="0.25">
      <c r="B498" s="160"/>
    </row>
    <row r="499" spans="2:2" x14ac:dyDescent="0.25">
      <c r="B499" s="160"/>
    </row>
    <row r="500" spans="2:2" x14ac:dyDescent="0.25">
      <c r="B500" s="160"/>
    </row>
    <row r="501" spans="2:2" x14ac:dyDescent="0.25">
      <c r="B501" s="160"/>
    </row>
    <row r="502" spans="2:2" x14ac:dyDescent="0.25">
      <c r="B502" s="160"/>
    </row>
    <row r="503" spans="2:2" x14ac:dyDescent="0.25">
      <c r="B503" s="160"/>
    </row>
    <row r="504" spans="2:2" x14ac:dyDescent="0.25">
      <c r="B504" s="160"/>
    </row>
    <row r="505" spans="2:2" x14ac:dyDescent="0.25">
      <c r="B505" s="160"/>
    </row>
    <row r="506" spans="2:2" x14ac:dyDescent="0.25">
      <c r="B506" s="160"/>
    </row>
    <row r="507" spans="2:2" x14ac:dyDescent="0.25">
      <c r="B507" s="160"/>
    </row>
    <row r="508" spans="2:2" x14ac:dyDescent="0.25">
      <c r="B508" s="160"/>
    </row>
    <row r="509" spans="2:2" x14ac:dyDescent="0.25">
      <c r="B509" s="160"/>
    </row>
    <row r="510" spans="2:2" x14ac:dyDescent="0.25">
      <c r="B510" s="160"/>
    </row>
    <row r="511" spans="2:2" x14ac:dyDescent="0.25">
      <c r="B511" s="160"/>
    </row>
    <row r="512" spans="2:2" x14ac:dyDescent="0.25">
      <c r="B512" s="160"/>
    </row>
    <row r="513" spans="2:2" x14ac:dyDescent="0.25">
      <c r="B513" s="160"/>
    </row>
    <row r="514" spans="2:2" x14ac:dyDescent="0.25">
      <c r="B514" s="160"/>
    </row>
    <row r="515" spans="2:2" x14ac:dyDescent="0.25">
      <c r="B515" s="160"/>
    </row>
    <row r="516" spans="2:2" x14ac:dyDescent="0.25">
      <c r="B516" s="160"/>
    </row>
    <row r="517" spans="2:2" x14ac:dyDescent="0.25">
      <c r="B517" s="160"/>
    </row>
    <row r="518" spans="2:2" x14ac:dyDescent="0.25">
      <c r="B518" s="160"/>
    </row>
    <row r="519" spans="2:2" x14ac:dyDescent="0.25">
      <c r="B519" s="160"/>
    </row>
    <row r="520" spans="2:2" x14ac:dyDescent="0.25">
      <c r="B520" s="160"/>
    </row>
    <row r="521" spans="2:2" x14ac:dyDescent="0.25">
      <c r="B521" s="160"/>
    </row>
    <row r="522" spans="2:2" x14ac:dyDescent="0.25">
      <c r="B522" s="160"/>
    </row>
    <row r="523" spans="2:2" x14ac:dyDescent="0.25">
      <c r="B523" s="160"/>
    </row>
    <row r="524" spans="2:2" x14ac:dyDescent="0.25">
      <c r="B524" s="160"/>
    </row>
    <row r="525" spans="2:2" x14ac:dyDescent="0.25">
      <c r="B525" s="160"/>
    </row>
    <row r="526" spans="2:2" x14ac:dyDescent="0.25">
      <c r="B526" s="160"/>
    </row>
    <row r="527" spans="2:2" x14ac:dyDescent="0.25">
      <c r="B527" s="160"/>
    </row>
    <row r="528" spans="2:2" x14ac:dyDescent="0.25">
      <c r="B528" s="160"/>
    </row>
    <row r="529" spans="2:2" x14ac:dyDescent="0.25">
      <c r="B529" s="160"/>
    </row>
    <row r="530" spans="2:2" x14ac:dyDescent="0.25">
      <c r="B530" s="160"/>
    </row>
    <row r="531" spans="2:2" x14ac:dyDescent="0.25">
      <c r="B531" s="160"/>
    </row>
    <row r="532" spans="2:2" x14ac:dyDescent="0.25">
      <c r="B532" s="160"/>
    </row>
    <row r="533" spans="2:2" x14ac:dyDescent="0.25">
      <c r="B533" s="160"/>
    </row>
    <row r="534" spans="2:2" x14ac:dyDescent="0.25">
      <c r="B534" s="160"/>
    </row>
    <row r="535" spans="2:2" x14ac:dyDescent="0.25">
      <c r="B535" s="160"/>
    </row>
    <row r="536" spans="2:2" x14ac:dyDescent="0.25">
      <c r="B536" s="160"/>
    </row>
    <row r="537" spans="2:2" x14ac:dyDescent="0.25">
      <c r="B537" s="160"/>
    </row>
    <row r="538" spans="2:2" x14ac:dyDescent="0.25">
      <c r="B538" s="160"/>
    </row>
    <row r="539" spans="2:2" x14ac:dyDescent="0.25">
      <c r="B539" s="160"/>
    </row>
    <row r="540" spans="2:2" x14ac:dyDescent="0.25">
      <c r="B540" s="160"/>
    </row>
    <row r="541" spans="2:2" x14ac:dyDescent="0.25">
      <c r="B541" s="160"/>
    </row>
    <row r="542" spans="2:2" x14ac:dyDescent="0.25">
      <c r="B542" s="160"/>
    </row>
    <row r="543" spans="2:2" x14ac:dyDescent="0.25">
      <c r="B543" s="160"/>
    </row>
    <row r="544" spans="2:2" x14ac:dyDescent="0.25">
      <c r="B544" s="160"/>
    </row>
  </sheetData>
  <protectedRanges>
    <protectedRange sqref="B26:H26" name="Plage2"/>
    <protectedRange sqref="A378:A407 B11:B12 B28 B32 B36:B37 B41:B42 G41 B66:B67 B20:B21 B47:F49 B16:F17 B46 D20:F20 G47:J48" name="Plage1"/>
    <protectedRange sqref="A70:A377" name="Plage1_3"/>
    <protectedRange sqref="B70:B377" name="Plage1_4"/>
    <protectedRange sqref="B5:B8" name="Plage1_1"/>
    <protectedRange sqref="B57:B58" name="Plage1_2"/>
    <protectedRange sqref="B59" name="Plage1_5"/>
  </protectedRanges>
  <sortState xmlns:xlrd2="http://schemas.microsoft.com/office/spreadsheetml/2017/richdata2" ref="A70:B378">
    <sortCondition ref="A70:A378"/>
  </sortState>
  <phoneticPr fontId="24" type="noConversion"/>
  <printOptions horizontalCentered="1"/>
  <pageMargins left="0" right="0" top="0" bottom="0" header="0.51181102362204722" footer="0.51181102362204722"/>
  <pageSetup paperSize="9"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1">
    <tabColor rgb="FF00B050"/>
  </sheetPr>
  <dimension ref="A1:I343"/>
  <sheetViews>
    <sheetView zoomScaleNormal="100" workbookViewId="0"/>
  </sheetViews>
  <sheetFormatPr baseColWidth="10" defaultColWidth="11" defaultRowHeight="15" x14ac:dyDescent="0.25"/>
  <cols>
    <col min="1" max="1" width="9.375" style="13" customWidth="1"/>
    <col min="2" max="2" width="22.25" style="13" customWidth="1"/>
    <col min="3" max="3" width="13.375" style="13" customWidth="1"/>
    <col min="4" max="4" width="11.125" style="13" bestFit="1" customWidth="1"/>
    <col min="5" max="5" width="13" style="13" customWidth="1"/>
    <col min="6" max="7" width="12.375" style="13" customWidth="1"/>
    <col min="8" max="9" width="13" style="13" bestFit="1" customWidth="1"/>
    <col min="10" max="10" width="3.5" style="13" customWidth="1"/>
    <col min="11" max="16384" width="11" style="13"/>
  </cols>
  <sheetData>
    <row r="1" spans="1:9" ht="21" x14ac:dyDescent="0.25">
      <c r="A1" s="51" t="s">
        <v>327</v>
      </c>
      <c r="B1" s="42"/>
      <c r="C1" s="68"/>
      <c r="D1" s="68"/>
      <c r="E1" s="68"/>
      <c r="F1" s="68"/>
      <c r="G1" s="68"/>
      <c r="H1" s="68"/>
      <c r="I1" s="68"/>
    </row>
    <row r="3" spans="1:9" x14ac:dyDescent="0.25">
      <c r="A3" s="120" t="s">
        <v>47</v>
      </c>
      <c r="B3" s="121"/>
      <c r="C3" s="122" t="s">
        <v>452</v>
      </c>
      <c r="D3" s="122" t="s">
        <v>407</v>
      </c>
      <c r="E3" s="68"/>
      <c r="F3" s="68"/>
      <c r="G3" s="68"/>
      <c r="H3" s="68"/>
      <c r="I3" s="68"/>
    </row>
    <row r="4" spans="1:9" x14ac:dyDescent="0.25">
      <c r="A4" s="75" t="s">
        <v>93</v>
      </c>
      <c r="B4" s="76"/>
      <c r="C4" s="11">
        <f>E324</f>
        <v>728584885.35115886</v>
      </c>
      <c r="D4" s="35"/>
      <c r="E4" s="68"/>
      <c r="F4" s="68"/>
      <c r="G4" s="68"/>
      <c r="H4" s="68"/>
      <c r="I4" s="68"/>
    </row>
    <row r="5" spans="1:9" x14ac:dyDescent="0.25">
      <c r="A5" s="81" t="s">
        <v>422</v>
      </c>
      <c r="B5" s="45"/>
      <c r="C5" s="10">
        <v>0</v>
      </c>
      <c r="D5" s="33">
        <f>C5/$C$324</f>
        <v>0</v>
      </c>
      <c r="E5" s="68"/>
      <c r="F5" s="68"/>
      <c r="G5" s="68"/>
      <c r="H5" s="68"/>
      <c r="I5" s="68"/>
    </row>
    <row r="6" spans="1:9" x14ac:dyDescent="0.25">
      <c r="A6" s="81" t="s">
        <v>421</v>
      </c>
      <c r="B6" s="45"/>
      <c r="C6" s="10">
        <f>Paramètres!B36</f>
        <v>-2193241.2525242842</v>
      </c>
      <c r="D6" s="266">
        <f>C6/$C$324</f>
        <v>-5.9148071453718441E-2</v>
      </c>
      <c r="E6" s="68"/>
      <c r="F6" s="68"/>
      <c r="G6" s="68"/>
      <c r="H6" s="68"/>
      <c r="I6" s="68"/>
    </row>
    <row r="7" spans="1:9" x14ac:dyDescent="0.25">
      <c r="A7" s="81" t="s">
        <v>94</v>
      </c>
      <c r="B7" s="45"/>
      <c r="C7" s="10">
        <f>'I) Dépenses thématiques'!O313</f>
        <v>-166862340.45825019</v>
      </c>
      <c r="D7" s="266">
        <f>C7/$C$324</f>
        <v>-4.4999999999999982</v>
      </c>
      <c r="E7" s="68"/>
      <c r="F7" s="68"/>
      <c r="G7" s="68"/>
      <c r="H7" s="68"/>
      <c r="I7" s="68"/>
    </row>
    <row r="8" spans="1:9" x14ac:dyDescent="0.25">
      <c r="A8" s="83" t="s">
        <v>277</v>
      </c>
      <c r="B8" s="111"/>
      <c r="C8" s="18">
        <f>Paramètres!B37</f>
        <v>-450000</v>
      </c>
      <c r="D8" s="266">
        <f>C8/$C$324</f>
        <v>-1.2135752108227588E-2</v>
      </c>
      <c r="E8" s="68"/>
      <c r="F8" s="68"/>
      <c r="G8" s="68"/>
      <c r="H8" s="68"/>
      <c r="I8" s="68"/>
    </row>
    <row r="9" spans="1:9" x14ac:dyDescent="0.25">
      <c r="A9" s="83" t="s">
        <v>356</v>
      </c>
      <c r="B9" s="111"/>
      <c r="C9" s="18">
        <f>SUM(C5:C8)</f>
        <v>-169505581.71077448</v>
      </c>
      <c r="D9" s="98">
        <f>SUM(D5:D8)</f>
        <v>-4.5712838235619442</v>
      </c>
      <c r="E9" s="68"/>
      <c r="F9" s="68"/>
      <c r="G9" s="68"/>
      <c r="H9" s="68"/>
      <c r="I9" s="68"/>
    </row>
    <row r="10" spans="1:9" x14ac:dyDescent="0.25">
      <c r="A10" s="75" t="s">
        <v>425</v>
      </c>
      <c r="B10" s="76"/>
      <c r="C10" s="18">
        <f>-SUM(C4:C8)</f>
        <v>-559079303.64038444</v>
      </c>
      <c r="D10" s="98">
        <f>C10/$C$324</f>
        <v>-15.07743963960046</v>
      </c>
      <c r="E10" s="68"/>
      <c r="F10" s="68"/>
      <c r="G10" s="68"/>
      <c r="H10" s="68"/>
      <c r="I10" s="68"/>
    </row>
    <row r="11" spans="1:9" x14ac:dyDescent="0.25">
      <c r="A11" s="75" t="s">
        <v>355</v>
      </c>
      <c r="B11" s="77"/>
      <c r="C11" s="423">
        <f>C9+C10</f>
        <v>-728584885.35115886</v>
      </c>
      <c r="D11" s="98">
        <f>D10+D9</f>
        <v>-19.648723463162405</v>
      </c>
      <c r="E11" s="68"/>
      <c r="F11" s="68"/>
      <c r="G11" s="68"/>
      <c r="H11" s="68"/>
      <c r="I11" s="68"/>
    </row>
    <row r="14" spans="1:9" ht="60" customHeight="1" x14ac:dyDescent="0.25">
      <c r="A14" s="492" t="s">
        <v>46</v>
      </c>
      <c r="B14" s="492" t="s">
        <v>95</v>
      </c>
      <c r="C14" s="516" t="s">
        <v>538</v>
      </c>
      <c r="D14" s="516" t="s">
        <v>303</v>
      </c>
      <c r="E14" s="64" t="s">
        <v>93</v>
      </c>
      <c r="F14" s="64" t="s">
        <v>354</v>
      </c>
      <c r="G14" s="64" t="s">
        <v>424</v>
      </c>
      <c r="H14" s="64" t="s">
        <v>295</v>
      </c>
      <c r="I14" s="431" t="s">
        <v>406</v>
      </c>
    </row>
    <row r="15" spans="1:9" x14ac:dyDescent="0.25">
      <c r="A15" s="493"/>
      <c r="B15" s="493"/>
      <c r="C15" s="516"/>
      <c r="D15" s="516"/>
      <c r="E15" s="383">
        <f>-D9+F15+G15</f>
        <v>19.648723463162401</v>
      </c>
      <c r="F15" s="384">
        <f>F324/C324</f>
        <v>11.590633938742977</v>
      </c>
      <c r="G15" s="384">
        <f>G324/C324</f>
        <v>3.4868057008574822</v>
      </c>
      <c r="H15" s="384"/>
      <c r="I15" s="116"/>
    </row>
    <row r="16" spans="1:9" x14ac:dyDescent="0.25">
      <c r="A16" s="46">
        <f>'A) Base RI'!A7</f>
        <v>5401</v>
      </c>
      <c r="B16" s="296" t="str">
        <f>'A) Base RI'!B7</f>
        <v>Aigle</v>
      </c>
      <c r="C16" s="31">
        <f>'D) Ecrêtage'!C5</f>
        <v>273757.05287947325</v>
      </c>
      <c r="D16" s="14">
        <f>'A) Base RI'!V7</f>
        <v>10217</v>
      </c>
      <c r="E16" s="10">
        <f>C16*E$15</f>
        <v>5378976.6281190962</v>
      </c>
      <c r="F16" s="14">
        <f>'F) Population'!K8</f>
        <v>5285905.9859154932</v>
      </c>
      <c r="G16" s="10">
        <f>'G) Solidarité'!I5</f>
        <v>3530108.2473959695</v>
      </c>
      <c r="H16" s="14">
        <f>F16+G16</f>
        <v>8816014.2333114631</v>
      </c>
      <c r="I16" s="55">
        <f>E16-H16</f>
        <v>-3437037.605192367</v>
      </c>
    </row>
    <row r="17" spans="1:9" x14ac:dyDescent="0.25">
      <c r="A17" s="49">
        <f>'A) Base RI'!A8</f>
        <v>5402</v>
      </c>
      <c r="B17" s="32" t="str">
        <f>'A) Base RI'!B8</f>
        <v>Bex</v>
      </c>
      <c r="C17" s="31">
        <f>'D) Ecrêtage'!C6</f>
        <v>185201.4300069781</v>
      </c>
      <c r="D17" s="14">
        <f>'A) Base RI'!V8</f>
        <v>7869</v>
      </c>
      <c r="E17" s="10">
        <f t="shared" ref="E17:E79" si="0">C17*E$15</f>
        <v>3638971.6831893399</v>
      </c>
      <c r="F17" s="14">
        <f>'F) Population'!K9</f>
        <v>3564239.0342052313</v>
      </c>
      <c r="G17" s="10">
        <f>'G) Solidarité'!I6</f>
        <v>3518486.6595486398</v>
      </c>
      <c r="H17" s="14">
        <f t="shared" ref="H17:H79" si="1">F17+G17</f>
        <v>7082725.6937538711</v>
      </c>
      <c r="I17" s="55">
        <f t="shared" ref="I17:I79" si="2">E17-H17</f>
        <v>-3443754.0105645312</v>
      </c>
    </row>
    <row r="18" spans="1:9" x14ac:dyDescent="0.25">
      <c r="A18" s="49">
        <f>'A) Base RI'!A9</f>
        <v>5403</v>
      </c>
      <c r="B18" s="32" t="str">
        <f>'A) Base RI'!B9</f>
        <v>Chessel</v>
      </c>
      <c r="C18" s="31">
        <f>'D) Ecrêtage'!C7</f>
        <v>10689.780666211695</v>
      </c>
      <c r="D18" s="14">
        <f>'A) Base RI'!V9</f>
        <v>429</v>
      </c>
      <c r="E18" s="10">
        <f t="shared" si="0"/>
        <v>210040.54419225352</v>
      </c>
      <c r="F18" s="14">
        <f>'F) Population'!K10</f>
        <v>53894.743460764585</v>
      </c>
      <c r="G18" s="10">
        <f>'G) Solidarité'!I7</f>
        <v>195550.80279654419</v>
      </c>
      <c r="H18" s="14">
        <f t="shared" si="1"/>
        <v>249445.54625730877</v>
      </c>
      <c r="I18" s="55">
        <f t="shared" si="2"/>
        <v>-39405.002065055247</v>
      </c>
    </row>
    <row r="19" spans="1:9" x14ac:dyDescent="0.25">
      <c r="A19" s="49">
        <f>'A) Base RI'!A10</f>
        <v>5404</v>
      </c>
      <c r="B19" s="32" t="str">
        <f>'A) Base RI'!B10</f>
        <v>Corbeyrier</v>
      </c>
      <c r="C19" s="31">
        <f>'D) Ecrêtage'!C8</f>
        <v>14591.74084015964</v>
      </c>
      <c r="D19" s="14">
        <f>'A) Base RI'!V10</f>
        <v>437</v>
      </c>
      <c r="E19" s="10">
        <f t="shared" si="0"/>
        <v>286709.08061442978</v>
      </c>
      <c r="F19" s="14">
        <f>'F) Population'!K11</f>
        <v>54899.773641851105</v>
      </c>
      <c r="G19" s="10">
        <f>'G) Solidarité'!I8</f>
        <v>119143.03229840547</v>
      </c>
      <c r="H19" s="14">
        <f t="shared" si="1"/>
        <v>174042.80594025657</v>
      </c>
      <c r="I19" s="55">
        <f t="shared" si="2"/>
        <v>112666.27467417321</v>
      </c>
    </row>
    <row r="20" spans="1:9" x14ac:dyDescent="0.25">
      <c r="A20" s="49">
        <f>'A) Base RI'!A11</f>
        <v>5405</v>
      </c>
      <c r="B20" s="32" t="str">
        <f>'A) Base RI'!B11</f>
        <v>Gryon</v>
      </c>
      <c r="C20" s="31">
        <f>'D) Ecrêtage'!C9</f>
        <v>65629.125271315643</v>
      </c>
      <c r="D20" s="14">
        <f>'A) Base RI'!V11</f>
        <v>1347</v>
      </c>
      <c r="E20" s="10">
        <f t="shared" si="0"/>
        <v>1289528.5335853242</v>
      </c>
      <c r="F20" s="14">
        <f>'F) Population'!K12</f>
        <v>247689.6881287726</v>
      </c>
      <c r="G20" s="10">
        <f>'G) Solidarité'!I9</f>
        <v>0</v>
      </c>
      <c r="H20" s="14">
        <f t="shared" si="1"/>
        <v>247689.6881287726</v>
      </c>
      <c r="I20" s="55">
        <f t="shared" si="2"/>
        <v>1041838.8454565515</v>
      </c>
    </row>
    <row r="21" spans="1:9" x14ac:dyDescent="0.25">
      <c r="A21" s="49">
        <f>'A) Base RI'!A12</f>
        <v>5406</v>
      </c>
      <c r="B21" s="32" t="str">
        <f>'A) Base RI'!B12</f>
        <v>Lavey-Morcles</v>
      </c>
      <c r="C21" s="31">
        <f>'D) Ecrêtage'!C10</f>
        <v>24629.026648333398</v>
      </c>
      <c r="D21" s="14">
        <f>'A) Base RI'!V12</f>
        <v>931</v>
      </c>
      <c r="E21" s="10">
        <f t="shared" si="0"/>
        <v>483928.9337799605</v>
      </c>
      <c r="F21" s="14">
        <f>'F) Population'!K13</f>
        <v>116960.38732394365</v>
      </c>
      <c r="G21" s="10">
        <f>'G) Solidarité'!I10</f>
        <v>362194.52626164444</v>
      </c>
      <c r="H21" s="14">
        <f t="shared" si="1"/>
        <v>479154.9135855881</v>
      </c>
      <c r="I21" s="55">
        <f t="shared" si="2"/>
        <v>4774.0201943723951</v>
      </c>
    </row>
    <row r="22" spans="1:9" x14ac:dyDescent="0.25">
      <c r="A22" s="49">
        <f>'A) Base RI'!A13</f>
        <v>5407</v>
      </c>
      <c r="B22" s="32" t="str">
        <f>'A) Base RI'!B13</f>
        <v>Leysin</v>
      </c>
      <c r="C22" s="31">
        <f>'D) Ecrêtage'!C11</f>
        <v>88989.44860843374</v>
      </c>
      <c r="D22" s="14">
        <f>'A) Base RI'!V13</f>
        <v>3776</v>
      </c>
      <c r="E22" s="10">
        <f t="shared" si="0"/>
        <v>1748529.0668464168</v>
      </c>
      <c r="F22" s="14">
        <f>'F) Population'!K14</f>
        <v>1219101.6096579477</v>
      </c>
      <c r="G22" s="10">
        <f>'G) Solidarité'!I11</f>
        <v>2034841.3652180482</v>
      </c>
      <c r="H22" s="14">
        <f t="shared" si="1"/>
        <v>3253942.9748759959</v>
      </c>
      <c r="I22" s="55">
        <f t="shared" si="2"/>
        <v>-1505413.9080295791</v>
      </c>
    </row>
    <row r="23" spans="1:9" x14ac:dyDescent="0.25">
      <c r="A23" s="49">
        <f>'A) Base RI'!A14</f>
        <v>5408</v>
      </c>
      <c r="B23" s="32" t="str">
        <f>'A) Base RI'!B14</f>
        <v>Noville</v>
      </c>
      <c r="C23" s="31">
        <f>'D) Ecrêtage'!C12</f>
        <v>28270.539787685771</v>
      </c>
      <c r="D23" s="14">
        <f>'A) Base RI'!V14</f>
        <v>1167</v>
      </c>
      <c r="E23" s="10">
        <f t="shared" si="0"/>
        <v>555480.01844256767</v>
      </c>
      <c r="F23" s="14">
        <f>'F) Population'!K15</f>
        <v>184372.78672032192</v>
      </c>
      <c r="G23" s="10">
        <f>'G) Solidarité'!I12</f>
        <v>618292.00225384941</v>
      </c>
      <c r="H23" s="14">
        <f t="shared" si="1"/>
        <v>802664.78897417127</v>
      </c>
      <c r="I23" s="55">
        <f t="shared" si="2"/>
        <v>-247184.7705316036</v>
      </c>
    </row>
    <row r="24" spans="1:9" x14ac:dyDescent="0.25">
      <c r="A24" s="49">
        <f>'A) Base RI'!A15</f>
        <v>5409</v>
      </c>
      <c r="B24" s="32" t="str">
        <f>'A) Base RI'!B15</f>
        <v>Ollon</v>
      </c>
      <c r="C24" s="31">
        <f>'D) Ecrêtage'!C13</f>
        <v>398078.90791518224</v>
      </c>
      <c r="D24" s="14">
        <f>'A) Base RI'!V15</f>
        <v>7560</v>
      </c>
      <c r="E24" s="10">
        <f t="shared" si="0"/>
        <v>7821742.3781431066</v>
      </c>
      <c r="F24" s="14">
        <f>'F) Population'!K16</f>
        <v>3377906.4386317907</v>
      </c>
      <c r="G24" s="10">
        <f>'G) Solidarité'!I13</f>
        <v>0</v>
      </c>
      <c r="H24" s="14">
        <f t="shared" si="1"/>
        <v>3377906.4386317907</v>
      </c>
      <c r="I24" s="55">
        <f t="shared" si="2"/>
        <v>4443835.9395113159</v>
      </c>
    </row>
    <row r="25" spans="1:9" x14ac:dyDescent="0.25">
      <c r="A25" s="49">
        <f>'A) Base RI'!A16</f>
        <v>5410</v>
      </c>
      <c r="B25" s="32" t="str">
        <f>'A) Base RI'!B16</f>
        <v>Ormont-Dessous</v>
      </c>
      <c r="C25" s="31">
        <f>'D) Ecrêtage'!C14</f>
        <v>38209.218513800428</v>
      </c>
      <c r="D25" s="14">
        <f>'A) Base RI'!V16</f>
        <v>1141</v>
      </c>
      <c r="E25" s="10">
        <f t="shared" si="0"/>
        <v>750762.36832120968</v>
      </c>
      <c r="F25" s="14">
        <f>'F) Population'!K17</f>
        <v>175227.01207243459</v>
      </c>
      <c r="G25" s="10">
        <f>'G) Solidarité'!I14</f>
        <v>347378.52470109443</v>
      </c>
      <c r="H25" s="14">
        <f t="shared" si="1"/>
        <v>522605.53677352902</v>
      </c>
      <c r="I25" s="55">
        <f t="shared" si="2"/>
        <v>228156.83154768066</v>
      </c>
    </row>
    <row r="26" spans="1:9" x14ac:dyDescent="0.25">
      <c r="A26" s="49">
        <f>'A) Base RI'!A17</f>
        <v>5411</v>
      </c>
      <c r="B26" s="32" t="str">
        <f>'A) Base RI'!B17</f>
        <v>Ormont-Dessus</v>
      </c>
      <c r="C26" s="31">
        <f>'D) Ecrêtage'!C15</f>
        <v>73074.251809839989</v>
      </c>
      <c r="D26" s="14">
        <f>'A) Base RI'!V17</f>
        <v>1434</v>
      </c>
      <c r="E26" s="10">
        <f t="shared" si="0"/>
        <v>1435815.7660890406</v>
      </c>
      <c r="F26" s="14">
        <f>'F) Population'!K18</f>
        <v>278292.85714285716</v>
      </c>
      <c r="G26" s="10">
        <f>'G) Solidarité'!I15</f>
        <v>0</v>
      </c>
      <c r="H26" s="14">
        <f t="shared" si="1"/>
        <v>278292.85714285716</v>
      </c>
      <c r="I26" s="55">
        <f t="shared" si="2"/>
        <v>1157522.9089461835</v>
      </c>
    </row>
    <row r="27" spans="1:9" x14ac:dyDescent="0.25">
      <c r="A27" s="49">
        <f>'A) Base RI'!A18</f>
        <v>5412</v>
      </c>
      <c r="B27" s="32" t="str">
        <f>'A) Base RI'!B18</f>
        <v>Rennaz</v>
      </c>
      <c r="C27" s="31">
        <f>'D) Ecrêtage'!C16</f>
        <v>23813.904160849284</v>
      </c>
      <c r="D27" s="14">
        <f>'A) Base RI'!V18</f>
        <v>871</v>
      </c>
      <c r="E27" s="10">
        <f t="shared" si="0"/>
        <v>467912.81743478007</v>
      </c>
      <c r="F27" s="14">
        <f>'F) Population'!K19</f>
        <v>109422.66096579477</v>
      </c>
      <c r="G27" s="10">
        <f>'G) Solidarité'!I16</f>
        <v>292377.24178713938</v>
      </c>
      <c r="H27" s="14">
        <f t="shared" si="1"/>
        <v>401799.90275293414</v>
      </c>
      <c r="I27" s="55">
        <f t="shared" si="2"/>
        <v>66112.914681845927</v>
      </c>
    </row>
    <row r="28" spans="1:9" x14ac:dyDescent="0.25">
      <c r="A28" s="49">
        <f>'A) Base RI'!A19</f>
        <v>5413</v>
      </c>
      <c r="B28" s="32" t="str">
        <f>'A) Base RI'!B19</f>
        <v>Roche</v>
      </c>
      <c r="C28" s="31">
        <f>'D) Ecrêtage'!C17</f>
        <v>44639.413526237746</v>
      </c>
      <c r="D28" s="14">
        <f>'A) Base RI'!V19</f>
        <v>1826</v>
      </c>
      <c r="E28" s="10">
        <f t="shared" si="0"/>
        <v>877107.49193479668</v>
      </c>
      <c r="F28" s="14">
        <f>'F) Population'!K20</f>
        <v>416182.99798792752</v>
      </c>
      <c r="G28" s="10">
        <f>'G) Solidarité'!I17</f>
        <v>718555.07809216483</v>
      </c>
      <c r="H28" s="14">
        <f t="shared" si="1"/>
        <v>1134738.0760800922</v>
      </c>
      <c r="I28" s="55">
        <f t="shared" si="2"/>
        <v>-257630.58414529555</v>
      </c>
    </row>
    <row r="29" spans="1:9" x14ac:dyDescent="0.25">
      <c r="A29" s="49">
        <f>'A) Base RI'!A20</f>
        <v>5414</v>
      </c>
      <c r="B29" s="32" t="str">
        <f>'A) Base RI'!B20</f>
        <v>Villeneuve</v>
      </c>
      <c r="C29" s="31">
        <f>'D) Ecrêtage'!C18</f>
        <v>166033.59034311198</v>
      </c>
      <c r="D29" s="14">
        <f>'A) Base RI'!V20</f>
        <v>5772</v>
      </c>
      <c r="E29" s="10">
        <f t="shared" si="0"/>
        <v>3262348.1022477988</v>
      </c>
      <c r="F29" s="14">
        <f>'F) Population'!K21</f>
        <v>2299710.0603621732</v>
      </c>
      <c r="G29" s="10">
        <f>'G) Solidarité'!I18</f>
        <v>1870056.7501492561</v>
      </c>
      <c r="H29" s="14">
        <f t="shared" si="1"/>
        <v>4169766.8105114293</v>
      </c>
      <c r="I29" s="55">
        <f t="shared" si="2"/>
        <v>-907418.70826363051</v>
      </c>
    </row>
    <row r="30" spans="1:9" x14ac:dyDescent="0.25">
      <c r="A30" s="49">
        <f>'A) Base RI'!A21</f>
        <v>5415</v>
      </c>
      <c r="B30" s="32" t="str">
        <f>'A) Base RI'!B21</f>
        <v>Yvorne</v>
      </c>
      <c r="C30" s="31">
        <f>'D) Ecrêtage'!C19</f>
        <v>39123.170780997614</v>
      </c>
      <c r="D30" s="14">
        <f>'A) Base RI'!V21</f>
        <v>1071</v>
      </c>
      <c r="E30" s="10">
        <f t="shared" si="0"/>
        <v>768720.36367789749</v>
      </c>
      <c r="F30" s="14">
        <f>'F) Population'!K22</f>
        <v>150603.77263581488</v>
      </c>
      <c r="G30" s="10">
        <f>'G) Solidarité'!I19</f>
        <v>204743.94476148771</v>
      </c>
      <c r="H30" s="14">
        <f t="shared" si="1"/>
        <v>355347.71739730262</v>
      </c>
      <c r="I30" s="55">
        <f t="shared" si="2"/>
        <v>413372.64628059487</v>
      </c>
    </row>
    <row r="31" spans="1:9" x14ac:dyDescent="0.25">
      <c r="A31" s="49">
        <f>'A) Base RI'!A22</f>
        <v>5421</v>
      </c>
      <c r="B31" s="32" t="str">
        <f>'A) Base RI'!B22</f>
        <v>Apples</v>
      </c>
      <c r="C31" s="31">
        <f>'D) Ecrêtage'!C20</f>
        <v>70492.513251958138</v>
      </c>
      <c r="D31" s="14">
        <f>'A) Base RI'!V22</f>
        <v>1460</v>
      </c>
      <c r="E31" s="10">
        <f t="shared" si="0"/>
        <v>1385087.8991110364</v>
      </c>
      <c r="F31" s="14">
        <f>'F) Population'!K23</f>
        <v>287438.63179074443</v>
      </c>
      <c r="G31" s="10">
        <f>'G) Solidarité'!I20</f>
        <v>0</v>
      </c>
      <c r="H31" s="14">
        <f t="shared" si="1"/>
        <v>287438.63179074443</v>
      </c>
      <c r="I31" s="55">
        <f t="shared" si="2"/>
        <v>1097649.2673202921</v>
      </c>
    </row>
    <row r="32" spans="1:9" x14ac:dyDescent="0.25">
      <c r="A32" s="49">
        <f>'A) Base RI'!A23</f>
        <v>5422</v>
      </c>
      <c r="B32" s="32" t="str">
        <f>'A) Base RI'!B23</f>
        <v>Aubonne</v>
      </c>
      <c r="C32" s="31">
        <f>'D) Ecrêtage'!C21</f>
        <v>245436.88330377048</v>
      </c>
      <c r="D32" s="14">
        <f>'A) Base RI'!V23</f>
        <v>3817</v>
      </c>
      <c r="E32" s="10">
        <f t="shared" si="0"/>
        <v>4822521.4476962471</v>
      </c>
      <c r="F32" s="14">
        <f>'F) Population'!K24</f>
        <v>1239704.7283702213</v>
      </c>
      <c r="G32" s="10">
        <f>'G) Solidarité'!I21</f>
        <v>0</v>
      </c>
      <c r="H32" s="14">
        <f t="shared" si="1"/>
        <v>1239704.7283702213</v>
      </c>
      <c r="I32" s="55">
        <f t="shared" si="2"/>
        <v>3582816.7193260258</v>
      </c>
    </row>
    <row r="33" spans="1:9" x14ac:dyDescent="0.25">
      <c r="A33" s="49">
        <f>'A) Base RI'!A24</f>
        <v>5423</v>
      </c>
      <c r="B33" s="32" t="str">
        <f>'A) Base RI'!B24</f>
        <v>Ballens</v>
      </c>
      <c r="C33" s="31">
        <f>'D) Ecrêtage'!C22</f>
        <v>16319.771402685055</v>
      </c>
      <c r="D33" s="14">
        <f>'A) Base RI'!V24</f>
        <v>545</v>
      </c>
      <c r="E33" s="10">
        <f t="shared" si="0"/>
        <v>320662.67527338461</v>
      </c>
      <c r="F33" s="14">
        <f>'F) Population'!K25</f>
        <v>68467.681086519107</v>
      </c>
      <c r="G33" s="10">
        <f>'G) Solidarité'!I22</f>
        <v>184117.03571381551</v>
      </c>
      <c r="H33" s="14">
        <f t="shared" si="1"/>
        <v>252584.71680033463</v>
      </c>
      <c r="I33" s="55">
        <f t="shared" si="2"/>
        <v>68077.958473049977</v>
      </c>
    </row>
    <row r="34" spans="1:9" x14ac:dyDescent="0.25">
      <c r="A34" s="49">
        <f>'A) Base RI'!A25</f>
        <v>5424</v>
      </c>
      <c r="B34" s="32" t="str">
        <f>'A) Base RI'!B25</f>
        <v>Berolle</v>
      </c>
      <c r="C34" s="31">
        <f>'D) Ecrêtage'!C23</f>
        <v>9278.5718181818156</v>
      </c>
      <c r="D34" s="14">
        <f>'A) Base RI'!V25</f>
        <v>300</v>
      </c>
      <c r="E34" s="10">
        <f t="shared" si="0"/>
        <v>182312.09178854647</v>
      </c>
      <c r="F34" s="14">
        <f>'F) Population'!K26</f>
        <v>37688.631790744468</v>
      </c>
      <c r="G34" s="10">
        <f>'G) Solidarité'!I23</f>
        <v>105849.05290522327</v>
      </c>
      <c r="H34" s="14">
        <f t="shared" si="1"/>
        <v>143537.68469596774</v>
      </c>
      <c r="I34" s="55">
        <f t="shared" si="2"/>
        <v>38774.407092578738</v>
      </c>
    </row>
    <row r="35" spans="1:9" x14ac:dyDescent="0.25">
      <c r="A35" s="49">
        <f>'A) Base RI'!A26</f>
        <v>5425</v>
      </c>
      <c r="B35" s="32" t="str">
        <f>'A) Base RI'!B26</f>
        <v>Bière</v>
      </c>
      <c r="C35" s="31">
        <f>'D) Ecrêtage'!C24</f>
        <v>39360.03487040029</v>
      </c>
      <c r="D35" s="14">
        <f>'A) Base RI'!V26</f>
        <v>1596</v>
      </c>
      <c r="E35" s="10">
        <f t="shared" si="0"/>
        <v>773374.44066892448</v>
      </c>
      <c r="F35" s="14">
        <f>'F) Population'!K27</f>
        <v>335278.06841046276</v>
      </c>
      <c r="G35" s="10">
        <f>'G) Solidarité'!I24</f>
        <v>658891.95576896507</v>
      </c>
      <c r="H35" s="14">
        <f t="shared" si="1"/>
        <v>994170.02417942788</v>
      </c>
      <c r="I35" s="55">
        <f t="shared" si="2"/>
        <v>-220795.58351050341</v>
      </c>
    </row>
    <row r="36" spans="1:9" x14ac:dyDescent="0.25">
      <c r="A36" s="49">
        <f>'A) Base RI'!A27</f>
        <v>5426</v>
      </c>
      <c r="B36" s="32" t="str">
        <f>'A) Base RI'!B27</f>
        <v>Bougy-Villars</v>
      </c>
      <c r="C36" s="31">
        <f>'D) Ecrêtage'!C25</f>
        <v>51974.123620521015</v>
      </c>
      <c r="D36" s="14">
        <f>'A) Base RI'!V27</f>
        <v>475</v>
      </c>
      <c r="E36" s="10">
        <f t="shared" si="0"/>
        <v>1021225.1822598345</v>
      </c>
      <c r="F36" s="14">
        <f>'F) Population'!K28</f>
        <v>59673.667002012073</v>
      </c>
      <c r="G36" s="10">
        <f>'G) Solidarité'!I25</f>
        <v>0</v>
      </c>
      <c r="H36" s="14">
        <f t="shared" si="1"/>
        <v>59673.667002012073</v>
      </c>
      <c r="I36" s="55">
        <f t="shared" si="2"/>
        <v>961551.51525782247</v>
      </c>
    </row>
    <row r="37" spans="1:9" x14ac:dyDescent="0.25">
      <c r="A37" s="49">
        <f>'A) Base RI'!A28</f>
        <v>5427</v>
      </c>
      <c r="B37" s="32" t="str">
        <f>'A) Base RI'!B28</f>
        <v>Féchy</v>
      </c>
      <c r="C37" s="31">
        <f>'D) Ecrêtage'!C26</f>
        <v>86694.092344793113</v>
      </c>
      <c r="D37" s="14">
        <f>'A) Base RI'!V28</f>
        <v>861</v>
      </c>
      <c r="E37" s="10">
        <f t="shared" si="0"/>
        <v>1703428.2463727044</v>
      </c>
      <c r="F37" s="14">
        <f>'F) Population'!K29</f>
        <v>108166.37323943661</v>
      </c>
      <c r="G37" s="10">
        <f>'G) Solidarité'!I26</f>
        <v>0</v>
      </c>
      <c r="H37" s="14">
        <f t="shared" si="1"/>
        <v>108166.37323943661</v>
      </c>
      <c r="I37" s="55">
        <f t="shared" si="2"/>
        <v>1595261.8731332677</v>
      </c>
    </row>
    <row r="38" spans="1:9" x14ac:dyDescent="0.25">
      <c r="A38" s="49">
        <f>'A) Base RI'!A29</f>
        <v>5428</v>
      </c>
      <c r="B38" s="32" t="str">
        <f>'A) Base RI'!B29</f>
        <v>Gimel</v>
      </c>
      <c r="C38" s="31">
        <f>'D) Ecrêtage'!C27</f>
        <v>66248.425772179224</v>
      </c>
      <c r="D38" s="14">
        <f>'A) Base RI'!V29</f>
        <v>2238</v>
      </c>
      <c r="E38" s="10">
        <f t="shared" si="0"/>
        <v>1301696.9978673907</v>
      </c>
      <c r="F38" s="14">
        <f>'F) Population'!K30</f>
        <v>561108.35010060354</v>
      </c>
      <c r="G38" s="10">
        <f>'G) Solidarité'!I27</f>
        <v>804270.41757576307</v>
      </c>
      <c r="H38" s="14">
        <f t="shared" si="1"/>
        <v>1365378.7676763665</v>
      </c>
      <c r="I38" s="55">
        <f t="shared" si="2"/>
        <v>-63681.769808975747</v>
      </c>
    </row>
    <row r="39" spans="1:9" x14ac:dyDescent="0.25">
      <c r="A39" s="49">
        <f>'A) Base RI'!A30</f>
        <v>5429</v>
      </c>
      <c r="B39" s="32" t="str">
        <f>'A) Base RI'!B30</f>
        <v>Longirod</v>
      </c>
      <c r="C39" s="31">
        <f>'D) Ecrêtage'!C28</f>
        <v>15299.789438077625</v>
      </c>
      <c r="D39" s="14">
        <f>'A) Base RI'!V30</f>
        <v>482</v>
      </c>
      <c r="E39" s="10">
        <f t="shared" si="0"/>
        <v>300621.33171340014</v>
      </c>
      <c r="F39" s="14">
        <f>'F) Population'!K31</f>
        <v>60553.068410462773</v>
      </c>
      <c r="G39" s="10">
        <f>'G) Solidarité'!I28</f>
        <v>178031.7036478142</v>
      </c>
      <c r="H39" s="14">
        <f t="shared" si="1"/>
        <v>238584.77205827698</v>
      </c>
      <c r="I39" s="55">
        <f t="shared" si="2"/>
        <v>62036.559655123157</v>
      </c>
    </row>
    <row r="40" spans="1:9" x14ac:dyDescent="0.25">
      <c r="A40" s="49">
        <f>'A) Base RI'!A31</f>
        <v>5430</v>
      </c>
      <c r="B40" s="32" t="str">
        <f>'A) Base RI'!B31</f>
        <v>Marchissy</v>
      </c>
      <c r="C40" s="31">
        <f>'D) Ecrêtage'!C29</f>
        <v>14892.112085590652</v>
      </c>
      <c r="D40" s="14">
        <f>'A) Base RI'!V31</f>
        <v>472</v>
      </c>
      <c r="E40" s="10">
        <f t="shared" si="0"/>
        <v>292610.99215218943</v>
      </c>
      <c r="F40" s="14">
        <f>'F) Population'!K32</f>
        <v>59296.780684104626</v>
      </c>
      <c r="G40" s="10">
        <f>'G) Solidarité'!I29</f>
        <v>168059.10095146002</v>
      </c>
      <c r="H40" s="14">
        <f t="shared" si="1"/>
        <v>227355.88163556464</v>
      </c>
      <c r="I40" s="55">
        <f t="shared" si="2"/>
        <v>65255.110516624787</v>
      </c>
    </row>
    <row r="41" spans="1:9" x14ac:dyDescent="0.25">
      <c r="A41" s="49">
        <f>'A) Base RI'!A32</f>
        <v>5431</v>
      </c>
      <c r="B41" s="32" t="str">
        <f>'A) Base RI'!B32</f>
        <v>Mollens</v>
      </c>
      <c r="C41" s="31">
        <f>'D) Ecrêtage'!C30</f>
        <v>10626.564516518391</v>
      </c>
      <c r="D41" s="14">
        <f>'A) Base RI'!V32</f>
        <v>308</v>
      </c>
      <c r="E41" s="10">
        <f t="shared" si="0"/>
        <v>208798.4275485239</v>
      </c>
      <c r="F41" s="14">
        <f>'F) Population'!K33</f>
        <v>38693.661971830981</v>
      </c>
      <c r="G41" s="10">
        <f>'G) Solidarité'!I30</f>
        <v>76573.395861239245</v>
      </c>
      <c r="H41" s="14">
        <f t="shared" si="1"/>
        <v>115267.05783307023</v>
      </c>
      <c r="I41" s="55">
        <f t="shared" si="2"/>
        <v>93531.369715453679</v>
      </c>
    </row>
    <row r="42" spans="1:9" x14ac:dyDescent="0.25">
      <c r="A42" s="49">
        <f>'A) Base RI'!A33</f>
        <v>5434</v>
      </c>
      <c r="B42" s="32" t="str">
        <f>'A) Base RI'!B33</f>
        <v>Saint-George</v>
      </c>
      <c r="C42" s="31">
        <f>'D) Ecrêtage'!C31</f>
        <v>39849.055598308893</v>
      </c>
      <c r="D42" s="14">
        <f>'A) Base RI'!V33</f>
        <v>1063</v>
      </c>
      <c r="E42" s="10">
        <f t="shared" si="0"/>
        <v>782983.07371935493</v>
      </c>
      <c r="F42" s="14">
        <f>'F) Population'!K34</f>
        <v>147789.68812877263</v>
      </c>
      <c r="G42" s="10">
        <f>'G) Solidarité'!I31</f>
        <v>180118.16288888565</v>
      </c>
      <c r="H42" s="14">
        <f t="shared" si="1"/>
        <v>327907.85101765825</v>
      </c>
      <c r="I42" s="55">
        <f t="shared" si="2"/>
        <v>455075.22270169668</v>
      </c>
    </row>
    <row r="43" spans="1:9" x14ac:dyDescent="0.25">
      <c r="A43" s="49">
        <f>'A) Base RI'!A34</f>
        <v>5435</v>
      </c>
      <c r="B43" s="32" t="str">
        <f>'A) Base RI'!B34</f>
        <v>Saint-Livres</v>
      </c>
      <c r="C43" s="31">
        <f>'D) Ecrêtage'!C32</f>
        <v>24291.940869565216</v>
      </c>
      <c r="D43" s="14">
        <f>'A) Base RI'!V34</f>
        <v>691</v>
      </c>
      <c r="E43" s="10">
        <f t="shared" si="0"/>
        <v>477305.62852957973</v>
      </c>
      <c r="F43" s="14">
        <f>'F) Population'!K35</f>
        <v>86809.481891348085</v>
      </c>
      <c r="G43" s="10">
        <f>'G) Solidarité'!I32</f>
        <v>140880.78482419768</v>
      </c>
      <c r="H43" s="14">
        <f t="shared" si="1"/>
        <v>227690.26671554576</v>
      </c>
      <c r="I43" s="55">
        <f t="shared" si="2"/>
        <v>249615.36181403397</v>
      </c>
    </row>
    <row r="44" spans="1:9" x14ac:dyDescent="0.25">
      <c r="A44" s="49">
        <f>'A) Base RI'!A35</f>
        <v>5436</v>
      </c>
      <c r="B44" s="32" t="str">
        <f>'A) Base RI'!B35</f>
        <v>Saint-Oyens</v>
      </c>
      <c r="C44" s="31">
        <f>'D) Ecrêtage'!C33</f>
        <v>16655.571776721274</v>
      </c>
      <c r="D44" s="14">
        <f>'A) Base RI'!V35</f>
        <v>447</v>
      </c>
      <c r="E44" s="10">
        <f t="shared" si="0"/>
        <v>327260.72396164876</v>
      </c>
      <c r="F44" s="14">
        <f>'F) Population'!K36</f>
        <v>56156.061368209252</v>
      </c>
      <c r="G44" s="10">
        <f>'G) Solidarité'!I33</f>
        <v>101202.67771623452</v>
      </c>
      <c r="H44" s="14">
        <f t="shared" si="1"/>
        <v>157358.73908444378</v>
      </c>
      <c r="I44" s="55">
        <f t="shared" si="2"/>
        <v>169901.98487720499</v>
      </c>
    </row>
    <row r="45" spans="1:9" x14ac:dyDescent="0.25">
      <c r="A45" s="49">
        <f>'A) Base RI'!A36</f>
        <v>5437</v>
      </c>
      <c r="B45" s="32" t="str">
        <f>'A) Base RI'!B36</f>
        <v>Saubraz</v>
      </c>
      <c r="C45" s="31">
        <f>'D) Ecrêtage'!C34</f>
        <v>13155.457431390041</v>
      </c>
      <c r="D45" s="14">
        <f>'A) Base RI'!V36</f>
        <v>423</v>
      </c>
      <c r="E45" s="10">
        <f t="shared" si="0"/>
        <v>258487.94510078768</v>
      </c>
      <c r="F45" s="14">
        <f>'F) Population'!K37</f>
        <v>53140.970824949698</v>
      </c>
      <c r="G45" s="10">
        <f>'G) Solidarité'!I34</f>
        <v>159267.01680294483</v>
      </c>
      <c r="H45" s="14">
        <f t="shared" si="1"/>
        <v>212407.98762789453</v>
      </c>
      <c r="I45" s="55">
        <f t="shared" si="2"/>
        <v>46079.957472893147</v>
      </c>
    </row>
    <row r="46" spans="1:9" x14ac:dyDescent="0.25">
      <c r="A46" s="49">
        <f>'A) Base RI'!A37</f>
        <v>5451</v>
      </c>
      <c r="B46" s="32" t="str">
        <f>'A) Base RI'!B37</f>
        <v>Avenches</v>
      </c>
      <c r="C46" s="31">
        <f>'D) Ecrêtage'!C35</f>
        <v>131058.88480778445</v>
      </c>
      <c r="D46" s="14">
        <f>'A) Base RI'!V37</f>
        <v>4305</v>
      </c>
      <c r="E46" s="10">
        <f t="shared" si="0"/>
        <v>2575139.7849786128</v>
      </c>
      <c r="F46" s="14">
        <f>'F) Population'!K38</f>
        <v>1484932.092555332</v>
      </c>
      <c r="G46" s="10">
        <f>'G) Solidarité'!I35</f>
        <v>1222741.6876727578</v>
      </c>
      <c r="H46" s="14">
        <f t="shared" si="1"/>
        <v>2707673.7802280895</v>
      </c>
      <c r="I46" s="55">
        <f t="shared" si="2"/>
        <v>-132533.99524947675</v>
      </c>
    </row>
    <row r="47" spans="1:9" x14ac:dyDescent="0.25">
      <c r="A47" s="49">
        <f>'A) Base RI'!A38</f>
        <v>5456</v>
      </c>
      <c r="B47" s="32" t="str">
        <f>'A) Base RI'!B38</f>
        <v>Cudrefin</v>
      </c>
      <c r="C47" s="31">
        <f>'D) Ecrêtage'!C36</f>
        <v>57483.919740251898</v>
      </c>
      <c r="D47" s="14">
        <f>'A) Base RI'!V38</f>
        <v>1735</v>
      </c>
      <c r="E47" s="10">
        <f t="shared" si="0"/>
        <v>1129485.6425548317</v>
      </c>
      <c r="F47" s="14">
        <f>'F) Population'!K39</f>
        <v>384172.78672032186</v>
      </c>
      <c r="G47" s="10">
        <f>'G) Solidarité'!I36</f>
        <v>306866.3613667945</v>
      </c>
      <c r="H47" s="14">
        <f t="shared" si="1"/>
        <v>691039.14808711642</v>
      </c>
      <c r="I47" s="55">
        <f t="shared" si="2"/>
        <v>438446.49446771527</v>
      </c>
    </row>
    <row r="48" spans="1:9" x14ac:dyDescent="0.25">
      <c r="A48" s="49">
        <f>'A) Base RI'!A39</f>
        <v>5458</v>
      </c>
      <c r="B48" s="32" t="str">
        <f>'A) Base RI'!B39</f>
        <v>Faoug</v>
      </c>
      <c r="C48" s="31">
        <f>'D) Ecrêtage'!C37</f>
        <v>33103.176846222719</v>
      </c>
      <c r="D48" s="14">
        <f>'A) Base RI'!V39</f>
        <v>884</v>
      </c>
      <c r="E48" s="10">
        <f t="shared" si="0"/>
        <v>650435.16760359064</v>
      </c>
      <c r="F48" s="14">
        <f>'F) Population'!K40</f>
        <v>111055.83501006036</v>
      </c>
      <c r="G48" s="10">
        <f>'G) Solidarité'!I37</f>
        <v>130046.80947062107</v>
      </c>
      <c r="H48" s="14">
        <f t="shared" si="1"/>
        <v>241102.64448068143</v>
      </c>
      <c r="I48" s="55">
        <f t="shared" si="2"/>
        <v>409332.52312290925</v>
      </c>
    </row>
    <row r="49" spans="1:9" x14ac:dyDescent="0.25">
      <c r="A49" s="49">
        <f>'A) Base RI'!A40</f>
        <v>5464</v>
      </c>
      <c r="B49" s="32" t="str">
        <f>'A) Base RI'!B40</f>
        <v>Vully-les-Lacs</v>
      </c>
      <c r="C49" s="31">
        <f>'D) Ecrêtage'!C38</f>
        <v>112706.50074312353</v>
      </c>
      <c r="D49" s="14">
        <f>'A) Base RI'!V40</f>
        <v>3278</v>
      </c>
      <c r="E49" s="10">
        <f t="shared" si="0"/>
        <v>2214538.8656023419</v>
      </c>
      <c r="F49" s="14">
        <f>'F) Population'!K41</f>
        <v>968849.09456740436</v>
      </c>
      <c r="G49" s="10">
        <f>'G) Solidarité'!I38</f>
        <v>674991.88299625739</v>
      </c>
      <c r="H49" s="14">
        <f t="shared" si="1"/>
        <v>1643840.9775636618</v>
      </c>
      <c r="I49" s="55">
        <f t="shared" si="2"/>
        <v>570697.88803868019</v>
      </c>
    </row>
    <row r="50" spans="1:9" x14ac:dyDescent="0.25">
      <c r="A50" s="49">
        <f>'A) Base RI'!A41</f>
        <v>5471</v>
      </c>
      <c r="B50" s="32" t="str">
        <f>'A) Base RI'!B41</f>
        <v>Bettens</v>
      </c>
      <c r="C50" s="31">
        <f>'D) Ecrêtage'!C39</f>
        <v>21669.887846159098</v>
      </c>
      <c r="D50" s="14">
        <f>'A) Base RI'!V41</f>
        <v>650</v>
      </c>
      <c r="E50" s="10">
        <f t="shared" si="0"/>
        <v>425785.63376692403</v>
      </c>
      <c r="F50" s="14">
        <f>'F) Population'!K42</f>
        <v>81658.70221327967</v>
      </c>
      <c r="G50" s="10">
        <f>'G) Solidarité'!I39</f>
        <v>159233.68088052084</v>
      </c>
      <c r="H50" s="14">
        <f t="shared" si="1"/>
        <v>240892.38309380051</v>
      </c>
      <c r="I50" s="55">
        <f t="shared" si="2"/>
        <v>184893.25067312352</v>
      </c>
    </row>
    <row r="51" spans="1:9" x14ac:dyDescent="0.25">
      <c r="A51" s="49">
        <f>'A) Base RI'!A42</f>
        <v>5472</v>
      </c>
      <c r="B51" s="32" t="str">
        <f>'A) Base RI'!B42</f>
        <v>Bournens</v>
      </c>
      <c r="C51" s="31">
        <f>'D) Ecrêtage'!C40</f>
        <v>15019.940865033717</v>
      </c>
      <c r="D51" s="14">
        <f>'A) Base RI'!V42</f>
        <v>422</v>
      </c>
      <c r="E51" s="10">
        <f t="shared" si="0"/>
        <v>295122.66449009976</v>
      </c>
      <c r="F51" s="14">
        <f>'F) Population'!K43</f>
        <v>53015.342052313878</v>
      </c>
      <c r="G51" s="10">
        <f>'G) Solidarité'!I40</f>
        <v>100168.87924962066</v>
      </c>
      <c r="H51" s="14">
        <f t="shared" si="1"/>
        <v>153184.22130193454</v>
      </c>
      <c r="I51" s="55">
        <f t="shared" si="2"/>
        <v>141938.44318816523</v>
      </c>
    </row>
    <row r="52" spans="1:9" x14ac:dyDescent="0.25">
      <c r="A52" s="49">
        <f>'A) Base RI'!A43</f>
        <v>5473</v>
      </c>
      <c r="B52" s="32" t="str">
        <f>'A) Base RI'!B43</f>
        <v>Boussens</v>
      </c>
      <c r="C52" s="31">
        <f>'D) Ecrêtage'!C41</f>
        <v>34282.214706986073</v>
      </c>
      <c r="D52" s="14">
        <f>'A) Base RI'!V43</f>
        <v>993</v>
      </c>
      <c r="E52" s="10">
        <f t="shared" si="0"/>
        <v>673601.7564823284</v>
      </c>
      <c r="F52" s="14">
        <f>'F) Population'!K44</f>
        <v>124749.37122736417</v>
      </c>
      <c r="G52" s="10">
        <f>'G) Solidarité'!I41</f>
        <v>214228.68194542022</v>
      </c>
      <c r="H52" s="14">
        <f t="shared" si="1"/>
        <v>338978.05317278439</v>
      </c>
      <c r="I52" s="55">
        <f t="shared" si="2"/>
        <v>334623.70330954401</v>
      </c>
    </row>
    <row r="53" spans="1:9" x14ac:dyDescent="0.25">
      <c r="A53" s="49">
        <f>'A) Base RI'!A44</f>
        <v>5474</v>
      </c>
      <c r="B53" s="32" t="str">
        <f>'A) Base RI'!B44</f>
        <v>La Chaux (Cossonay)</v>
      </c>
      <c r="C53" s="31">
        <f>'D) Ecrêtage'!C42</f>
        <v>15312.847748917748</v>
      </c>
      <c r="D53" s="14">
        <f>'A) Base RI'!V44</f>
        <v>395</v>
      </c>
      <c r="E53" s="10">
        <f t="shared" si="0"/>
        <v>300877.91085199371</v>
      </c>
      <c r="F53" s="14">
        <f>'F) Population'!K45</f>
        <v>49623.365191146877</v>
      </c>
      <c r="G53" s="10">
        <f>'G) Solidarité'!I42</f>
        <v>66890.279359196807</v>
      </c>
      <c r="H53" s="14">
        <f t="shared" si="1"/>
        <v>116513.64455034368</v>
      </c>
      <c r="I53" s="55">
        <f t="shared" si="2"/>
        <v>184364.26630165003</v>
      </c>
    </row>
    <row r="54" spans="1:9" x14ac:dyDescent="0.25">
      <c r="A54" s="49">
        <f>'A) Base RI'!A45</f>
        <v>5475</v>
      </c>
      <c r="B54" s="32" t="str">
        <f>'A) Base RI'!B45</f>
        <v>Chavannes-le-Veyron</v>
      </c>
      <c r="C54" s="31">
        <f>'D) Ecrêtage'!C43</f>
        <v>3043.2190909090909</v>
      </c>
      <c r="D54" s="14">
        <f>'A) Base RI'!V45</f>
        <v>152</v>
      </c>
      <c r="E54" s="10">
        <f t="shared" si="0"/>
        <v>59795.37035508921</v>
      </c>
      <c r="F54" s="14">
        <f>'F) Population'!K46</f>
        <v>19095.573440643861</v>
      </c>
      <c r="G54" s="10">
        <f>'G) Solidarité'!I43</f>
        <v>92441.565661976972</v>
      </c>
      <c r="H54" s="14">
        <f t="shared" si="1"/>
        <v>111537.13910262083</v>
      </c>
      <c r="I54" s="55">
        <f t="shared" si="2"/>
        <v>-51741.76874753162</v>
      </c>
    </row>
    <row r="55" spans="1:9" x14ac:dyDescent="0.25">
      <c r="A55" s="49">
        <f>'A) Base RI'!A46</f>
        <v>5476</v>
      </c>
      <c r="B55" s="32" t="str">
        <f>'A) Base RI'!B46</f>
        <v>Chevilly</v>
      </c>
      <c r="C55" s="31">
        <f>'D) Ecrêtage'!C44</f>
        <v>12636.676556913548</v>
      </c>
      <c r="D55" s="14">
        <f>'A) Base RI'!V46</f>
        <v>317</v>
      </c>
      <c r="E55" s="10">
        <f t="shared" si="0"/>
        <v>248294.5631602215</v>
      </c>
      <c r="F55" s="14">
        <f>'F) Population'!K47</f>
        <v>39824.320925553315</v>
      </c>
      <c r="G55" s="10">
        <f>'G) Solidarité'!I44</f>
        <v>42063.917709105641</v>
      </c>
      <c r="H55" s="14">
        <f t="shared" si="1"/>
        <v>81888.238634658948</v>
      </c>
      <c r="I55" s="55">
        <f t="shared" si="2"/>
        <v>166406.32452556255</v>
      </c>
    </row>
    <row r="56" spans="1:9" x14ac:dyDescent="0.25">
      <c r="A56" s="49">
        <f>'A) Base RI'!A47</f>
        <v>5477</v>
      </c>
      <c r="B56" s="32" t="str">
        <f>'A) Base RI'!B47</f>
        <v>Cossonay</v>
      </c>
      <c r="C56" s="31">
        <f>'D) Ecrêtage'!C45</f>
        <v>144296.3607707771</v>
      </c>
      <c r="D56" s="14">
        <f>'A) Base RI'!V47</f>
        <v>4045</v>
      </c>
      <c r="E56" s="10">
        <f t="shared" si="0"/>
        <v>2835239.2895257147</v>
      </c>
      <c r="F56" s="14">
        <f>'F) Population'!K48</f>
        <v>1354278.1690140844</v>
      </c>
      <c r="G56" s="10">
        <f>'G) Solidarité'!I45</f>
        <v>831489.2731569676</v>
      </c>
      <c r="H56" s="14">
        <f t="shared" si="1"/>
        <v>2185767.4421710521</v>
      </c>
      <c r="I56" s="55">
        <f t="shared" si="2"/>
        <v>649471.8473546626</v>
      </c>
    </row>
    <row r="57" spans="1:9" x14ac:dyDescent="0.25">
      <c r="A57" s="49">
        <f>'A) Base RI'!A48</f>
        <v>5478</v>
      </c>
      <c r="B57" s="32" t="str">
        <f>'A) Base RI'!B48</f>
        <v>Cottens</v>
      </c>
      <c r="C57" s="31">
        <f>'D) Ecrêtage'!C46</f>
        <v>17520.338093666011</v>
      </c>
      <c r="D57" s="14">
        <f>'A) Base RI'!V48</f>
        <v>487</v>
      </c>
      <c r="E57" s="10">
        <f t="shared" si="0"/>
        <v>344252.27818355337</v>
      </c>
      <c r="F57" s="14">
        <f>'F) Population'!K49</f>
        <v>61181.212273641846</v>
      </c>
      <c r="G57" s="10">
        <f>'G) Solidarité'!I46</f>
        <v>105552.74307474172</v>
      </c>
      <c r="H57" s="14">
        <f t="shared" si="1"/>
        <v>166733.95534838358</v>
      </c>
      <c r="I57" s="55">
        <f t="shared" si="2"/>
        <v>177518.32283516979</v>
      </c>
    </row>
    <row r="58" spans="1:9" x14ac:dyDescent="0.25">
      <c r="A58" s="49">
        <f>'A) Base RI'!A49</f>
        <v>5479</v>
      </c>
      <c r="B58" s="32" t="str">
        <f>'A) Base RI'!B49</f>
        <v>Cuarnens</v>
      </c>
      <c r="C58" s="31">
        <f>'D) Ecrêtage'!C47</f>
        <v>17273.482190037128</v>
      </c>
      <c r="D58" s="14">
        <f>'A) Base RI'!V49</f>
        <v>486</v>
      </c>
      <c r="E58" s="10">
        <f t="shared" si="0"/>
        <v>339401.87479790038</v>
      </c>
      <c r="F58" s="14">
        <f>'F) Population'!K50</f>
        <v>61055.583501006033</v>
      </c>
      <c r="G58" s="10">
        <f>'G) Solidarité'!I47</f>
        <v>118986.50101108252</v>
      </c>
      <c r="H58" s="14">
        <f t="shared" si="1"/>
        <v>180042.08451208856</v>
      </c>
      <c r="I58" s="55">
        <f t="shared" si="2"/>
        <v>159359.79028581182</v>
      </c>
    </row>
    <row r="59" spans="1:9" x14ac:dyDescent="0.25">
      <c r="A59" s="49">
        <f>'A) Base RI'!A50</f>
        <v>5480</v>
      </c>
      <c r="B59" s="32" t="str">
        <f>'A) Base RI'!B50</f>
        <v>Daillens</v>
      </c>
      <c r="C59" s="31">
        <f>'D) Ecrêtage'!C48</f>
        <v>40220.975555555553</v>
      </c>
      <c r="D59" s="14">
        <f>'A) Base RI'!V50</f>
        <v>1034</v>
      </c>
      <c r="E59" s="10">
        <f t="shared" si="0"/>
        <v>790290.82610972575</v>
      </c>
      <c r="F59" s="14">
        <f>'F) Population'!K51</f>
        <v>137588.63179074446</v>
      </c>
      <c r="G59" s="10">
        <f>'G) Solidarité'!I48</f>
        <v>126302.42034742222</v>
      </c>
      <c r="H59" s="14">
        <f t="shared" si="1"/>
        <v>263891.05213816668</v>
      </c>
      <c r="I59" s="55">
        <f t="shared" si="2"/>
        <v>526399.77397155901</v>
      </c>
    </row>
    <row r="60" spans="1:9" x14ac:dyDescent="0.25">
      <c r="A60" s="49">
        <f>'A) Base RI'!A51</f>
        <v>5481</v>
      </c>
      <c r="B60" s="32" t="str">
        <f>'A) Base RI'!B51</f>
        <v>Dizy</v>
      </c>
      <c r="C60" s="31">
        <f>'D) Ecrêtage'!C49</f>
        <v>9702.0464562011348</v>
      </c>
      <c r="D60" s="14">
        <f>'A) Base RI'!V51</f>
        <v>234</v>
      </c>
      <c r="E60" s="10">
        <f t="shared" si="0"/>
        <v>190632.82784465086</v>
      </c>
      <c r="F60" s="14">
        <f>'F) Population'!K52</f>
        <v>29397.132796780683</v>
      </c>
      <c r="G60" s="10">
        <f>'G) Solidarité'!I49</f>
        <v>26171.508575724783</v>
      </c>
      <c r="H60" s="14">
        <f t="shared" si="1"/>
        <v>55568.641372505466</v>
      </c>
      <c r="I60" s="55">
        <f t="shared" si="2"/>
        <v>135064.1864721454</v>
      </c>
    </row>
    <row r="61" spans="1:9" x14ac:dyDescent="0.25">
      <c r="A61" s="49">
        <f>'A) Base RI'!A52</f>
        <v>5482</v>
      </c>
      <c r="B61" s="32" t="str">
        <f>'A) Base RI'!B52</f>
        <v>Eclépens</v>
      </c>
      <c r="C61" s="31">
        <f>'D) Ecrêtage'!C50</f>
        <v>60387.408967257215</v>
      </c>
      <c r="D61" s="14">
        <f>'A) Base RI'!V52</f>
        <v>1222</v>
      </c>
      <c r="E61" s="10">
        <f t="shared" si="0"/>
        <v>1186535.4994545304</v>
      </c>
      <c r="F61" s="14">
        <f>'F) Population'!K53</f>
        <v>203719.61770623742</v>
      </c>
      <c r="G61" s="10">
        <f>'G) Solidarité'!I50</f>
        <v>0</v>
      </c>
      <c r="H61" s="14">
        <f t="shared" si="1"/>
        <v>203719.61770623742</v>
      </c>
      <c r="I61" s="55">
        <f t="shared" si="2"/>
        <v>982815.88174829306</v>
      </c>
    </row>
    <row r="62" spans="1:9" x14ac:dyDescent="0.25">
      <c r="A62" s="49">
        <f>'A) Base RI'!A53</f>
        <v>5483</v>
      </c>
      <c r="B62" s="32" t="str">
        <f>'A) Base RI'!B53</f>
        <v>Ferreyres</v>
      </c>
      <c r="C62" s="31">
        <f>'D) Ecrêtage'!C51</f>
        <v>11155.704681224479</v>
      </c>
      <c r="D62" s="14">
        <f>'A) Base RI'!V53</f>
        <v>320</v>
      </c>
      <c r="E62" s="10">
        <f t="shared" si="0"/>
        <v>219195.35631808607</v>
      </c>
      <c r="F62" s="14">
        <f>'F) Population'!K54</f>
        <v>40201.207243460762</v>
      </c>
      <c r="G62" s="10">
        <f>'G) Solidarité'!I51</f>
        <v>81289.923128859649</v>
      </c>
      <c r="H62" s="14">
        <f t="shared" si="1"/>
        <v>121491.13037232042</v>
      </c>
      <c r="I62" s="55">
        <f t="shared" si="2"/>
        <v>97704.225945765647</v>
      </c>
    </row>
    <row r="63" spans="1:9" x14ac:dyDescent="0.25">
      <c r="A63" s="49">
        <f>'A) Base RI'!A54</f>
        <v>5484</v>
      </c>
      <c r="B63" s="32" t="str">
        <f>'A) Base RI'!B54</f>
        <v>Gollion</v>
      </c>
      <c r="C63" s="31">
        <f>'D) Ecrêtage'!C52</f>
        <v>33762.861845883657</v>
      </c>
      <c r="D63" s="14">
        <f>'A) Base RI'!V54</f>
        <v>939</v>
      </c>
      <c r="E63" s="10">
        <f t="shared" si="0"/>
        <v>663397.13573472481</v>
      </c>
      <c r="F63" s="14">
        <f>'F) Population'!K55</f>
        <v>117965.41750503017</v>
      </c>
      <c r="G63" s="10">
        <f>'G) Solidarité'!I52</f>
        <v>203922.84565354398</v>
      </c>
      <c r="H63" s="14">
        <f t="shared" si="1"/>
        <v>321888.26315857412</v>
      </c>
      <c r="I63" s="55">
        <f t="shared" si="2"/>
        <v>341508.87257615069</v>
      </c>
    </row>
    <row r="64" spans="1:9" x14ac:dyDescent="0.25">
      <c r="A64" s="49">
        <f>'A) Base RI'!A55</f>
        <v>5485</v>
      </c>
      <c r="B64" s="32" t="str">
        <f>'A) Base RI'!B55</f>
        <v>Grancy</v>
      </c>
      <c r="C64" s="31">
        <f>'D) Ecrêtage'!C53</f>
        <v>16914.094370194773</v>
      </c>
      <c r="D64" s="14">
        <f>'A) Base RI'!V55</f>
        <v>397</v>
      </c>
      <c r="E64" s="10">
        <f t="shared" si="0"/>
        <v>332340.36290978908</v>
      </c>
      <c r="F64" s="14">
        <f>'F) Population'!K56</f>
        <v>49874.622736418511</v>
      </c>
      <c r="G64" s="10">
        <f>'G) Solidarité'!I53</f>
        <v>26082.156038566729</v>
      </c>
      <c r="H64" s="14">
        <f t="shared" si="1"/>
        <v>75956.778774985243</v>
      </c>
      <c r="I64" s="55">
        <f t="shared" si="2"/>
        <v>256383.58413480385</v>
      </c>
    </row>
    <row r="65" spans="1:9" x14ac:dyDescent="0.25">
      <c r="A65" s="49">
        <f>'A) Base RI'!A56</f>
        <v>5486</v>
      </c>
      <c r="B65" s="32" t="str">
        <f>'A) Base RI'!B56</f>
        <v>L'Isle</v>
      </c>
      <c r="C65" s="31">
        <f>'D) Ecrêtage'!C54</f>
        <v>35759.534807519231</v>
      </c>
      <c r="D65" s="14">
        <f>'A) Base RI'!V56</f>
        <v>1011</v>
      </c>
      <c r="E65" s="10">
        <f t="shared" si="0"/>
        <v>702629.21060427569</v>
      </c>
      <c r="F65" s="14">
        <f>'F) Population'!K57</f>
        <v>129498.13883299798</v>
      </c>
      <c r="G65" s="10">
        <f>'G) Solidarité'!I54</f>
        <v>245092.35352523389</v>
      </c>
      <c r="H65" s="14">
        <f t="shared" si="1"/>
        <v>374590.49235823186</v>
      </c>
      <c r="I65" s="55">
        <f t="shared" si="2"/>
        <v>328038.71824604383</v>
      </c>
    </row>
    <row r="66" spans="1:9" x14ac:dyDescent="0.25">
      <c r="A66" s="49">
        <f>'A) Base RI'!A57</f>
        <v>5487</v>
      </c>
      <c r="B66" s="32" t="str">
        <f>'A) Base RI'!B57</f>
        <v>Lussery-Villars</v>
      </c>
      <c r="C66" s="31">
        <f>'D) Ecrêtage'!C55</f>
        <v>15494.848822945682</v>
      </c>
      <c r="D66" s="14">
        <f>'A) Base RI'!V57</f>
        <v>459</v>
      </c>
      <c r="E66" s="10">
        <f t="shared" si="0"/>
        <v>304453.99962556711</v>
      </c>
      <c r="F66" s="14">
        <f>'F) Population'!K58</f>
        <v>57663.606639839032</v>
      </c>
      <c r="G66" s="10">
        <f>'G) Solidarité'!I55</f>
        <v>124803.57692940679</v>
      </c>
      <c r="H66" s="14">
        <f t="shared" si="1"/>
        <v>182467.18356924583</v>
      </c>
      <c r="I66" s="55">
        <f t="shared" si="2"/>
        <v>121986.81605632129</v>
      </c>
    </row>
    <row r="67" spans="1:9" x14ac:dyDescent="0.25">
      <c r="A67" s="49">
        <f>'A) Base RI'!A58</f>
        <v>5488</v>
      </c>
      <c r="B67" s="32" t="str">
        <f>'A) Base RI'!B58</f>
        <v>Mauraz</v>
      </c>
      <c r="C67" s="31">
        <f>'D) Ecrêtage'!C56</f>
        <v>1750.6115384615387</v>
      </c>
      <c r="D67" s="14">
        <f>'A) Base RI'!V58</f>
        <v>57</v>
      </c>
      <c r="E67" s="10">
        <f t="shared" si="0"/>
        <v>34397.282010652067</v>
      </c>
      <c r="F67" s="14">
        <f>'F) Population'!K59</f>
        <v>7160.8400402414482</v>
      </c>
      <c r="G67" s="10">
        <f>'G) Solidarité'!I56</f>
        <v>20932.96084020862</v>
      </c>
      <c r="H67" s="14">
        <f t="shared" si="1"/>
        <v>28093.800880450068</v>
      </c>
      <c r="I67" s="55">
        <f t="shared" si="2"/>
        <v>6303.4811302019989</v>
      </c>
    </row>
    <row r="68" spans="1:9" x14ac:dyDescent="0.25">
      <c r="A68" s="49">
        <f>'A) Base RI'!A59</f>
        <v>5489</v>
      </c>
      <c r="B68" s="32" t="str">
        <f>'A) Base RI'!B59</f>
        <v>Mex</v>
      </c>
      <c r="C68" s="31">
        <f>'D) Ecrêtage'!C57</f>
        <v>63473.912067537727</v>
      </c>
      <c r="D68" s="14">
        <f>'A) Base RI'!V59</f>
        <v>718</v>
      </c>
      <c r="E68" s="10">
        <f t="shared" si="0"/>
        <v>1247181.3453401355</v>
      </c>
      <c r="F68" s="14">
        <f>'F) Population'!K60</f>
        <v>90201.458752515086</v>
      </c>
      <c r="G68" s="10">
        <f>'G) Solidarité'!I57</f>
        <v>0</v>
      </c>
      <c r="H68" s="14">
        <f t="shared" si="1"/>
        <v>90201.458752515086</v>
      </c>
      <c r="I68" s="55">
        <f t="shared" si="2"/>
        <v>1156979.8865876205</v>
      </c>
    </row>
    <row r="69" spans="1:9" x14ac:dyDescent="0.25">
      <c r="A69" s="49">
        <f>'A) Base RI'!A60</f>
        <v>5490</v>
      </c>
      <c r="B69" s="32" t="str">
        <f>'A) Base RI'!B60</f>
        <v>Moiry</v>
      </c>
      <c r="C69" s="31">
        <f>'D) Ecrêtage'!C58</f>
        <v>8338.3158944329061</v>
      </c>
      <c r="D69" s="14">
        <f>'A) Base RI'!V60</f>
        <v>310</v>
      </c>
      <c r="E69" s="10">
        <f t="shared" si="0"/>
        <v>163837.26315820383</v>
      </c>
      <c r="F69" s="14">
        <f>'F) Population'!K61</f>
        <v>38944.919517102615</v>
      </c>
      <c r="G69" s="10">
        <f>'G) Solidarité'!I58</f>
        <v>144082.38135310172</v>
      </c>
      <c r="H69" s="14">
        <f t="shared" si="1"/>
        <v>183027.30087020434</v>
      </c>
      <c r="I69" s="55">
        <f t="shared" si="2"/>
        <v>-19190.037712000514</v>
      </c>
    </row>
    <row r="70" spans="1:9" x14ac:dyDescent="0.25">
      <c r="A70" s="49">
        <f>'A) Base RI'!A61</f>
        <v>5491</v>
      </c>
      <c r="B70" s="32" t="str">
        <f>'A) Base RI'!B61</f>
        <v>Mont-la-Ville</v>
      </c>
      <c r="C70" s="31">
        <f>'D) Ecrêtage'!C59</f>
        <v>14141.684131434778</v>
      </c>
      <c r="D70" s="14">
        <f>'A) Base RI'!V61</f>
        <v>478</v>
      </c>
      <c r="E70" s="10">
        <f t="shared" si="0"/>
        <v>277866.04080195393</v>
      </c>
      <c r="F70" s="14">
        <f>'F) Population'!K62</f>
        <v>60050.553319919512</v>
      </c>
      <c r="G70" s="10">
        <f>'G) Solidarité'!I59</f>
        <v>178945.78783974677</v>
      </c>
      <c r="H70" s="14">
        <f t="shared" si="1"/>
        <v>238996.34115966628</v>
      </c>
      <c r="I70" s="55">
        <f t="shared" si="2"/>
        <v>38869.699642287655</v>
      </c>
    </row>
    <row r="71" spans="1:9" x14ac:dyDescent="0.25">
      <c r="A71" s="49">
        <f>'A) Base RI'!A62</f>
        <v>5492</v>
      </c>
      <c r="B71" s="32" t="str">
        <f>'A) Base RI'!B62</f>
        <v>Montricher</v>
      </c>
      <c r="C71" s="31">
        <f>'D) Ecrêtage'!C60</f>
        <v>189730.40192708332</v>
      </c>
      <c r="D71" s="14">
        <f>'A) Base RI'!V62</f>
        <v>964</v>
      </c>
      <c r="E71" s="10">
        <f t="shared" si="0"/>
        <v>3727960.2000199151</v>
      </c>
      <c r="F71" s="14">
        <f>'F) Population'!K63</f>
        <v>121106.13682092555</v>
      </c>
      <c r="G71" s="10">
        <f>'G) Solidarité'!I60</f>
        <v>0</v>
      </c>
      <c r="H71" s="14">
        <f t="shared" si="1"/>
        <v>121106.13682092555</v>
      </c>
      <c r="I71" s="55">
        <f t="shared" si="2"/>
        <v>3606854.0631989897</v>
      </c>
    </row>
    <row r="72" spans="1:9" x14ac:dyDescent="0.25">
      <c r="A72" s="49">
        <f>'A) Base RI'!A63</f>
        <v>5493</v>
      </c>
      <c r="B72" s="32" t="str">
        <f>'A) Base RI'!B63</f>
        <v>Orny</v>
      </c>
      <c r="C72" s="31">
        <f>'D) Ecrêtage'!C61</f>
        <v>10671.007215907817</v>
      </c>
      <c r="D72" s="14">
        <f>'A) Base RI'!V63</f>
        <v>416</v>
      </c>
      <c r="E72" s="10">
        <f t="shared" si="0"/>
        <v>209671.66985878322</v>
      </c>
      <c r="F72" s="14">
        <f>'F) Population'!K64</f>
        <v>52261.569416498991</v>
      </c>
      <c r="G72" s="10">
        <f>'G) Solidarité'!I61</f>
        <v>178113.90493867118</v>
      </c>
      <c r="H72" s="14">
        <f t="shared" si="1"/>
        <v>230375.47435517018</v>
      </c>
      <c r="I72" s="55">
        <f t="shared" si="2"/>
        <v>-20703.804496386962</v>
      </c>
    </row>
    <row r="73" spans="1:9" x14ac:dyDescent="0.25">
      <c r="A73" s="49">
        <f>'A) Base RI'!A64</f>
        <v>5494</v>
      </c>
      <c r="B73" s="32" t="str">
        <f>'A) Base RI'!B64</f>
        <v>Pampigny</v>
      </c>
      <c r="C73" s="31">
        <f>'D) Ecrêtage'!C62</f>
        <v>36967.725840132596</v>
      </c>
      <c r="D73" s="14">
        <f>'A) Base RI'!V64</f>
        <v>1103</v>
      </c>
      <c r="E73" s="10">
        <f t="shared" si="0"/>
        <v>726368.62209476833</v>
      </c>
      <c r="F73" s="14">
        <f>'F) Population'!K65</f>
        <v>161860.11066398388</v>
      </c>
      <c r="G73" s="10">
        <f>'G) Solidarité'!I62</f>
        <v>305842.96830266522</v>
      </c>
      <c r="H73" s="14">
        <f t="shared" si="1"/>
        <v>467703.07896664913</v>
      </c>
      <c r="I73" s="55">
        <f t="shared" si="2"/>
        <v>258665.5431281192</v>
      </c>
    </row>
    <row r="74" spans="1:9" x14ac:dyDescent="0.25">
      <c r="A74" s="49">
        <f>'A) Base RI'!A65</f>
        <v>5495</v>
      </c>
      <c r="B74" s="32" t="str">
        <f>'A) Base RI'!B65</f>
        <v>Penthalaz</v>
      </c>
      <c r="C74" s="31">
        <f>'D) Ecrêtage'!C63</f>
        <v>95087.015809528908</v>
      </c>
      <c r="D74" s="14">
        <f>'A) Base RI'!V65</f>
        <v>3257</v>
      </c>
      <c r="E74" s="10">
        <f t="shared" si="0"/>
        <v>1868338.4785787847</v>
      </c>
      <c r="F74" s="14">
        <f>'F) Population'!K66</f>
        <v>958296.27766599588</v>
      </c>
      <c r="G74" s="10">
        <f>'G) Solidarité'!I63</f>
        <v>1183468.1771568055</v>
      </c>
      <c r="H74" s="14">
        <f t="shared" si="1"/>
        <v>2141764.4548228015</v>
      </c>
      <c r="I74" s="55">
        <f t="shared" si="2"/>
        <v>-273425.97624401678</v>
      </c>
    </row>
    <row r="75" spans="1:9" x14ac:dyDescent="0.25">
      <c r="A75" s="49">
        <f>'A) Base RI'!A66</f>
        <v>5496</v>
      </c>
      <c r="B75" s="32" t="str">
        <f>'A) Base RI'!B66</f>
        <v>Penthaz</v>
      </c>
      <c r="C75" s="31">
        <f>'D) Ecrêtage'!C64</f>
        <v>59337.456966456659</v>
      </c>
      <c r="D75" s="14">
        <f>'A) Base RI'!V66</f>
        <v>1760</v>
      </c>
      <c r="E75" s="10">
        <f t="shared" si="0"/>
        <v>1165905.2829412061</v>
      </c>
      <c r="F75" s="14">
        <f>'F) Population'!K67</f>
        <v>392966.80080482899</v>
      </c>
      <c r="G75" s="10">
        <f>'G) Solidarité'!I64</f>
        <v>430385.05638780468</v>
      </c>
      <c r="H75" s="14">
        <f t="shared" si="1"/>
        <v>823351.85719263367</v>
      </c>
      <c r="I75" s="55">
        <f t="shared" si="2"/>
        <v>342553.42574857245</v>
      </c>
    </row>
    <row r="76" spans="1:9" x14ac:dyDescent="0.25">
      <c r="A76" s="49">
        <f>'A) Base RI'!A67</f>
        <v>5497</v>
      </c>
      <c r="B76" s="32" t="str">
        <f>'A) Base RI'!B67</f>
        <v>Pompaples</v>
      </c>
      <c r="C76" s="31">
        <f>'D) Ecrêtage'!C65</f>
        <v>22672.594290282061</v>
      </c>
      <c r="D76" s="14">
        <f>'A) Base RI'!V67</f>
        <v>851</v>
      </c>
      <c r="E76" s="10">
        <f t="shared" si="0"/>
        <v>445487.53540222702</v>
      </c>
      <c r="F76" s="14">
        <f>'F) Population'!K68</f>
        <v>106910.08551307846</v>
      </c>
      <c r="G76" s="10">
        <f>'G) Solidarité'!I65</f>
        <v>283333.16827032005</v>
      </c>
      <c r="H76" s="14">
        <f t="shared" si="1"/>
        <v>390243.25378339854</v>
      </c>
      <c r="I76" s="55">
        <f t="shared" si="2"/>
        <v>55244.281618828478</v>
      </c>
    </row>
    <row r="77" spans="1:9" x14ac:dyDescent="0.25">
      <c r="A77" s="49">
        <f>'A) Base RI'!A68</f>
        <v>5498</v>
      </c>
      <c r="B77" s="32" t="str">
        <f>'A) Base RI'!B68</f>
        <v>La Sarraz</v>
      </c>
      <c r="C77" s="31">
        <f>'D) Ecrêtage'!C66</f>
        <v>77413.833852725787</v>
      </c>
      <c r="D77" s="14">
        <f>'A) Base RI'!V68</f>
        <v>2651</v>
      </c>
      <c r="E77" s="10">
        <f t="shared" si="0"/>
        <v>1521083.013595409</v>
      </c>
      <c r="F77" s="14">
        <f>'F) Population'!K69</f>
        <v>706385.46277665987</v>
      </c>
      <c r="G77" s="10">
        <f>'G) Solidarité'!I66</f>
        <v>765931.35074278188</v>
      </c>
      <c r="H77" s="14">
        <f t="shared" si="1"/>
        <v>1472316.8135194418</v>
      </c>
      <c r="I77" s="55">
        <f t="shared" si="2"/>
        <v>48766.200075967237</v>
      </c>
    </row>
    <row r="78" spans="1:9" x14ac:dyDescent="0.25">
      <c r="A78" s="49">
        <f>'A) Base RI'!A69</f>
        <v>5499</v>
      </c>
      <c r="B78" s="32" t="str">
        <f>'A) Base RI'!B69</f>
        <v>Senarclens</v>
      </c>
      <c r="C78" s="31">
        <f>'D) Ecrêtage'!C67</f>
        <v>19511.48949637344</v>
      </c>
      <c r="D78" s="14">
        <f>'A) Base RI'!V69</f>
        <v>477</v>
      </c>
      <c r="E78" s="10">
        <f t="shared" si="0"/>
        <v>383375.86146863957</v>
      </c>
      <c r="F78" s="14">
        <f>'F) Population'!K70</f>
        <v>59924.924547283699</v>
      </c>
      <c r="G78" s="10">
        <f>'G) Solidarité'!I67</f>
        <v>45034.10888372863</v>
      </c>
      <c r="H78" s="14">
        <f t="shared" si="1"/>
        <v>104959.03343101233</v>
      </c>
      <c r="I78" s="55">
        <f t="shared" si="2"/>
        <v>278416.82803762727</v>
      </c>
    </row>
    <row r="79" spans="1:9" x14ac:dyDescent="0.25">
      <c r="A79" s="49">
        <f>'A) Base RI'!A70</f>
        <v>5500</v>
      </c>
      <c r="B79" s="32" t="str">
        <f>'A) Base RI'!B70</f>
        <v>Sévery</v>
      </c>
      <c r="C79" s="31">
        <f>'D) Ecrêtage'!C68</f>
        <v>6989.4068888888896</v>
      </c>
      <c r="D79" s="14">
        <f>'A) Base RI'!V70</f>
        <v>227</v>
      </c>
      <c r="E79" s="10">
        <f t="shared" si="0"/>
        <v>137332.92313130005</v>
      </c>
      <c r="F79" s="14">
        <f>'F) Population'!K71</f>
        <v>28517.731388329979</v>
      </c>
      <c r="G79" s="10">
        <f>'G) Solidarité'!I68</f>
        <v>76682.747018448063</v>
      </c>
      <c r="H79" s="14">
        <f t="shared" si="1"/>
        <v>105200.47840677804</v>
      </c>
      <c r="I79" s="55">
        <f t="shared" si="2"/>
        <v>32132.444724522007</v>
      </c>
    </row>
    <row r="80" spans="1:9" x14ac:dyDescent="0.25">
      <c r="A80" s="49">
        <f>'A) Base RI'!A71</f>
        <v>5501</v>
      </c>
      <c r="B80" s="32" t="str">
        <f>'A) Base RI'!B71</f>
        <v>Sullens</v>
      </c>
      <c r="C80" s="31">
        <f>'D) Ecrêtage'!C69</f>
        <v>40420.112388899281</v>
      </c>
      <c r="D80" s="14">
        <f>'A) Base RI'!V71</f>
        <v>1035</v>
      </c>
      <c r="E80" s="10">
        <f t="shared" ref="E80:E143" si="3">C80*E$15</f>
        <v>794203.61067942658</v>
      </c>
      <c r="F80" s="14">
        <f>'F) Population'!K72</f>
        <v>137940.39235412475</v>
      </c>
      <c r="G80" s="10">
        <f>'G) Solidarité'!I69</f>
        <v>139113.0293460484</v>
      </c>
      <c r="H80" s="14">
        <f t="shared" ref="H80:H143" si="4">F80+G80</f>
        <v>277053.42170017317</v>
      </c>
      <c r="I80" s="55">
        <f t="shared" ref="I80:I143" si="5">E80-H80</f>
        <v>517150.18897925341</v>
      </c>
    </row>
    <row r="81" spans="1:9" x14ac:dyDescent="0.25">
      <c r="A81" s="49">
        <f>'A) Base RI'!A72</f>
        <v>5503</v>
      </c>
      <c r="B81" s="32" t="str">
        <f>'A) Base RI'!B72</f>
        <v>Vufflens-la-Ville</v>
      </c>
      <c r="C81" s="31">
        <f>'D) Ecrêtage'!C70</f>
        <v>89557.096460669622</v>
      </c>
      <c r="D81" s="14">
        <f>'A) Base RI'!V72</f>
        <v>1295</v>
      </c>
      <c r="E81" s="10">
        <f t="shared" si="3"/>
        <v>1759682.6225194577</v>
      </c>
      <c r="F81" s="14">
        <f>'F) Population'!K73</f>
        <v>229398.13883299797</v>
      </c>
      <c r="G81" s="10">
        <f>'G) Solidarité'!I70</f>
        <v>0</v>
      </c>
      <c r="H81" s="14">
        <f t="shared" si="4"/>
        <v>229398.13883299797</v>
      </c>
      <c r="I81" s="55">
        <f t="shared" si="5"/>
        <v>1530284.4836864597</v>
      </c>
    </row>
    <row r="82" spans="1:9" x14ac:dyDescent="0.25">
      <c r="A82" s="49">
        <f>'A) Base RI'!A73</f>
        <v>5511</v>
      </c>
      <c r="B82" s="32" t="str">
        <f>'A) Base RI'!B73</f>
        <v>Assens</v>
      </c>
      <c r="C82" s="31">
        <f>'D) Ecrêtage'!C71</f>
        <v>50056.955709388079</v>
      </c>
      <c r="D82" s="14">
        <f>'A) Base RI'!V73</f>
        <v>1074</v>
      </c>
      <c r="E82" s="10">
        <f t="shared" si="3"/>
        <v>983555.28014153463</v>
      </c>
      <c r="F82" s="14">
        <f>'F) Population'!K74</f>
        <v>151659.05432595572</v>
      </c>
      <c r="G82" s="10">
        <f>'G) Solidarité'!I71</f>
        <v>0</v>
      </c>
      <c r="H82" s="14">
        <f t="shared" si="4"/>
        <v>151659.05432595572</v>
      </c>
      <c r="I82" s="55">
        <f t="shared" si="5"/>
        <v>831896.22581557895</v>
      </c>
    </row>
    <row r="83" spans="1:9" x14ac:dyDescent="0.25">
      <c r="A83" s="49">
        <f>'A) Base RI'!A74</f>
        <v>5512</v>
      </c>
      <c r="B83" s="32" t="str">
        <f>'A) Base RI'!B74</f>
        <v>Bercher</v>
      </c>
      <c r="C83" s="31">
        <f>'D) Ecrêtage'!C72</f>
        <v>40014.173696623147</v>
      </c>
      <c r="D83" s="14">
        <f>'A) Base RI'!V74</f>
        <v>1280</v>
      </c>
      <c r="E83" s="10">
        <f t="shared" si="3"/>
        <v>786227.433571895</v>
      </c>
      <c r="F83" s="14">
        <f>'F) Population'!K75</f>
        <v>224121.73038229375</v>
      </c>
      <c r="G83" s="10">
        <f>'G) Solidarité'!I72</f>
        <v>464900.78992463654</v>
      </c>
      <c r="H83" s="14">
        <f t="shared" si="4"/>
        <v>689022.5203069303</v>
      </c>
      <c r="I83" s="55">
        <f t="shared" si="5"/>
        <v>97204.913264964707</v>
      </c>
    </row>
    <row r="84" spans="1:9" x14ac:dyDescent="0.25">
      <c r="A84" s="49">
        <f>'A) Base RI'!A75</f>
        <v>5513</v>
      </c>
      <c r="B84" s="32" t="str">
        <f>'A) Base RI'!B75</f>
        <v>Bioley-Orjulaz</v>
      </c>
      <c r="C84" s="31">
        <f>'D) Ecrêtage'!C73</f>
        <v>21084.156158347432</v>
      </c>
      <c r="D84" s="14">
        <f>'A) Base RI'!V75</f>
        <v>521</v>
      </c>
      <c r="E84" s="10">
        <f t="shared" si="3"/>
        <v>414276.75380950124</v>
      </c>
      <c r="F84" s="14">
        <f>'F) Population'!K76</f>
        <v>65452.590543259554</v>
      </c>
      <c r="G84" s="10">
        <f>'G) Solidarité'!I73</f>
        <v>52619.566249127056</v>
      </c>
      <c r="H84" s="14">
        <f t="shared" si="4"/>
        <v>118072.15679238661</v>
      </c>
      <c r="I84" s="55">
        <f t="shared" si="5"/>
        <v>296204.59701711463</v>
      </c>
    </row>
    <row r="85" spans="1:9" x14ac:dyDescent="0.25">
      <c r="A85" s="49">
        <f>'A) Base RI'!A76</f>
        <v>5514</v>
      </c>
      <c r="B85" s="32" t="str">
        <f>'A) Base RI'!B76</f>
        <v>Bottens</v>
      </c>
      <c r="C85" s="31">
        <f>'D) Ecrêtage'!C74</f>
        <v>40808.475827283124</v>
      </c>
      <c r="D85" s="14">
        <f>'A) Base RI'!V76</f>
        <v>1299</v>
      </c>
      <c r="E85" s="10">
        <f t="shared" si="3"/>
        <v>801834.45648343361</v>
      </c>
      <c r="F85" s="14">
        <f>'F) Population'!K77</f>
        <v>230805.18108651909</v>
      </c>
      <c r="G85" s="10">
        <f>'G) Solidarité'!I74</f>
        <v>409638.26442537369</v>
      </c>
      <c r="H85" s="14">
        <f t="shared" si="4"/>
        <v>640443.44551189279</v>
      </c>
      <c r="I85" s="55">
        <f t="shared" si="5"/>
        <v>161391.01097154082</v>
      </c>
    </row>
    <row r="86" spans="1:9" x14ac:dyDescent="0.25">
      <c r="A86" s="49">
        <f>'A) Base RI'!A77</f>
        <v>5515</v>
      </c>
      <c r="B86" s="32" t="str">
        <f>'A) Base RI'!B77</f>
        <v>Bretigny-sur-Morrens</v>
      </c>
      <c r="C86" s="31">
        <f>'D) Ecrêtage'!C75</f>
        <v>28817.325490208266</v>
      </c>
      <c r="D86" s="14">
        <f>'A) Base RI'!V77</f>
        <v>861</v>
      </c>
      <c r="E86" s="10">
        <f t="shared" si="3"/>
        <v>566223.65950504306</v>
      </c>
      <c r="F86" s="14">
        <f>'F) Population'!K78</f>
        <v>108166.37323943661</v>
      </c>
      <c r="G86" s="10">
        <f>'G) Solidarité'!I75</f>
        <v>279493.32480238081</v>
      </c>
      <c r="H86" s="14">
        <f t="shared" si="4"/>
        <v>387659.69804181741</v>
      </c>
      <c r="I86" s="55">
        <f t="shared" si="5"/>
        <v>178563.96146322566</v>
      </c>
    </row>
    <row r="87" spans="1:9" x14ac:dyDescent="0.25">
      <c r="A87" s="49">
        <f>'A) Base RI'!A78</f>
        <v>5516</v>
      </c>
      <c r="B87" s="32" t="str">
        <f>'A) Base RI'!B78</f>
        <v>Cugy</v>
      </c>
      <c r="C87" s="31">
        <f>'D) Ecrêtage'!C76</f>
        <v>110914.83940385764</v>
      </c>
      <c r="D87" s="14">
        <f>'A) Base RI'!V78</f>
        <v>2768</v>
      </c>
      <c r="E87" s="10">
        <f t="shared" si="3"/>
        <v>2179335.0074074673</v>
      </c>
      <c r="F87" s="14">
        <f>'F) Population'!K79</f>
        <v>747541.44869215286</v>
      </c>
      <c r="G87" s="10">
        <f>'G) Solidarité'!I76</f>
        <v>394309.58181741368</v>
      </c>
      <c r="H87" s="14">
        <f t="shared" si="4"/>
        <v>1141851.0305095664</v>
      </c>
      <c r="I87" s="55">
        <f t="shared" si="5"/>
        <v>1037483.9768979009</v>
      </c>
    </row>
    <row r="88" spans="1:9" x14ac:dyDescent="0.25">
      <c r="A88" s="49">
        <f>'A) Base RI'!A79</f>
        <v>5518</v>
      </c>
      <c r="B88" s="32" t="str">
        <f>'A) Base RI'!B79</f>
        <v>Echallens</v>
      </c>
      <c r="C88" s="31">
        <f>'D) Ecrêtage'!C77</f>
        <v>185740.88420378894</v>
      </c>
      <c r="D88" s="14">
        <f>'A) Base RI'!V79</f>
        <v>5725</v>
      </c>
      <c r="E88" s="10">
        <f t="shared" si="3"/>
        <v>3649571.2695235182</v>
      </c>
      <c r="F88" s="14">
        <f>'F) Population'!K80</f>
        <v>2271368.2092555333</v>
      </c>
      <c r="G88" s="10">
        <f>'G) Solidarité'!I77</f>
        <v>1678061.7978578012</v>
      </c>
      <c r="H88" s="14">
        <f t="shared" si="4"/>
        <v>3949430.0071133347</v>
      </c>
      <c r="I88" s="55">
        <f t="shared" si="5"/>
        <v>-299858.73758981656</v>
      </c>
    </row>
    <row r="89" spans="1:9" x14ac:dyDescent="0.25">
      <c r="A89" s="49">
        <f>'A) Base RI'!A80</f>
        <v>5520</v>
      </c>
      <c r="B89" s="32" t="str">
        <f>'A) Base RI'!B80</f>
        <v>Essertines-sur-Yverdon</v>
      </c>
      <c r="C89" s="31">
        <f>'D) Ecrêtage'!C78</f>
        <v>29832.653259959214</v>
      </c>
      <c r="D89" s="14">
        <f>'A) Base RI'!V80</f>
        <v>1030</v>
      </c>
      <c r="E89" s="10">
        <f t="shared" si="3"/>
        <v>586173.5540773489</v>
      </c>
      <c r="F89" s="14">
        <f>'F) Population'!K81</f>
        <v>136181.58953722334</v>
      </c>
      <c r="G89" s="10">
        <f>'G) Solidarité'!I78</f>
        <v>369219.91761728079</v>
      </c>
      <c r="H89" s="14">
        <f t="shared" si="4"/>
        <v>505401.50715450413</v>
      </c>
      <c r="I89" s="55">
        <f t="shared" si="5"/>
        <v>80772.046922844776</v>
      </c>
    </row>
    <row r="90" spans="1:9" x14ac:dyDescent="0.25">
      <c r="A90" s="49">
        <f>'A) Base RI'!A81</f>
        <v>5521</v>
      </c>
      <c r="B90" s="32" t="str">
        <f>'A) Base RI'!B81</f>
        <v>Etagnières</v>
      </c>
      <c r="C90" s="31">
        <f>'D) Ecrêtage'!C79</f>
        <v>48092.453261297029</v>
      </c>
      <c r="D90" s="14">
        <f>'A) Base RI'!V81</f>
        <v>1143</v>
      </c>
      <c r="E90" s="10">
        <f t="shared" si="3"/>
        <v>944955.31479628803</v>
      </c>
      <c r="F90" s="14">
        <f>'F) Population'!K82</f>
        <v>175930.53319919517</v>
      </c>
      <c r="G90" s="10">
        <f>'G) Solidarité'!I79</f>
        <v>94392.812996038469</v>
      </c>
      <c r="H90" s="14">
        <f t="shared" si="4"/>
        <v>270323.34619523364</v>
      </c>
      <c r="I90" s="55">
        <f t="shared" si="5"/>
        <v>674631.9686010544</v>
      </c>
    </row>
    <row r="91" spans="1:9" x14ac:dyDescent="0.25">
      <c r="A91" s="49">
        <f>'A) Base RI'!A82</f>
        <v>5522</v>
      </c>
      <c r="B91" s="32" t="str">
        <f>'A) Base RI'!B82</f>
        <v>Fey</v>
      </c>
      <c r="C91" s="31">
        <f>'D) Ecrêtage'!C80</f>
        <v>22665.113066666665</v>
      </c>
      <c r="D91" s="14">
        <f>'A) Base RI'!V82</f>
        <v>751</v>
      </c>
      <c r="E91" s="10">
        <f t="shared" si="3"/>
        <v>445340.53890824202</v>
      </c>
      <c r="F91" s="14">
        <f>'F) Population'!K83</f>
        <v>94347.20824949698</v>
      </c>
      <c r="G91" s="10">
        <f>'G) Solidarité'!I80</f>
        <v>263876.35731999023</v>
      </c>
      <c r="H91" s="14">
        <f t="shared" si="4"/>
        <v>358223.56556948723</v>
      </c>
      <c r="I91" s="55">
        <f t="shared" si="5"/>
        <v>87116.973338754789</v>
      </c>
    </row>
    <row r="92" spans="1:9" x14ac:dyDescent="0.25">
      <c r="A92" s="49">
        <f>'A) Base RI'!A83</f>
        <v>5523</v>
      </c>
      <c r="B92" s="32" t="str">
        <f>'A) Base RI'!B83</f>
        <v>Froideville</v>
      </c>
      <c r="C92" s="31">
        <f>'D) Ecrêtage'!C81</f>
        <v>89135.106646646644</v>
      </c>
      <c r="D92" s="14">
        <f>'A) Base RI'!V83</f>
        <v>2638</v>
      </c>
      <c r="E92" s="10">
        <f t="shared" si="3"/>
        <v>1751391.0613594488</v>
      </c>
      <c r="F92" s="14">
        <f>'F) Population'!K84</f>
        <v>701812.57545271621</v>
      </c>
      <c r="G92" s="10">
        <f>'G) Solidarité'!I81</f>
        <v>734667.38744362572</v>
      </c>
      <c r="H92" s="14">
        <f t="shared" si="4"/>
        <v>1436479.9628963419</v>
      </c>
      <c r="I92" s="55">
        <f t="shared" si="5"/>
        <v>314911.0984631069</v>
      </c>
    </row>
    <row r="93" spans="1:9" x14ac:dyDescent="0.25">
      <c r="A93" s="49">
        <f>'A) Base RI'!A84</f>
        <v>5527</v>
      </c>
      <c r="B93" s="32" t="str">
        <f>'A) Base RI'!B84</f>
        <v>Morrens</v>
      </c>
      <c r="C93" s="31">
        <f>'D) Ecrêtage'!C82</f>
        <v>40159.939986831349</v>
      </c>
      <c r="D93" s="14">
        <f>'A) Base RI'!V84</f>
        <v>1126</v>
      </c>
      <c r="E93" s="10">
        <f t="shared" si="3"/>
        <v>789091.55509844702</v>
      </c>
      <c r="F93" s="14">
        <f>'F) Population'!K85</f>
        <v>169950.60362173038</v>
      </c>
      <c r="G93" s="10">
        <f>'G) Solidarité'!I82</f>
        <v>251597.90328317342</v>
      </c>
      <c r="H93" s="14">
        <f t="shared" si="4"/>
        <v>421548.5069049038</v>
      </c>
      <c r="I93" s="55">
        <f t="shared" si="5"/>
        <v>367543.04819354322</v>
      </c>
    </row>
    <row r="94" spans="1:9" x14ac:dyDescent="0.25">
      <c r="A94" s="49">
        <f>'A) Base RI'!A85</f>
        <v>5529</v>
      </c>
      <c r="B94" s="32" t="str">
        <f>'A) Base RI'!B85</f>
        <v>Oulens-sous-Echallens</v>
      </c>
      <c r="C94" s="31">
        <f>'D) Ecrêtage'!C83</f>
        <v>21598.779787193034</v>
      </c>
      <c r="D94" s="14">
        <f>'A) Base RI'!V85</f>
        <v>615</v>
      </c>
      <c r="E94" s="10">
        <f t="shared" si="3"/>
        <v>424388.45118029759</v>
      </c>
      <c r="F94" s="14">
        <f>'F) Population'!K86</f>
        <v>77261.695171026149</v>
      </c>
      <c r="G94" s="10">
        <f>'G) Solidarité'!I83</f>
        <v>133185.94940254718</v>
      </c>
      <c r="H94" s="14">
        <f t="shared" si="4"/>
        <v>210447.64457357331</v>
      </c>
      <c r="I94" s="55">
        <f t="shared" si="5"/>
        <v>213940.80660672428</v>
      </c>
    </row>
    <row r="95" spans="1:9" x14ac:dyDescent="0.25">
      <c r="A95" s="49">
        <f>'A) Base RI'!A86</f>
        <v>5530</v>
      </c>
      <c r="B95" s="32" t="str">
        <f>'A) Base RI'!B86</f>
        <v>Pailly</v>
      </c>
      <c r="C95" s="31">
        <f>'D) Ecrêtage'!C84</f>
        <v>17606.249882733009</v>
      </c>
      <c r="D95" s="14">
        <f>'A) Base RI'!V86</f>
        <v>563</v>
      </c>
      <c r="E95" s="10">
        <f t="shared" si="3"/>
        <v>345940.33516915637</v>
      </c>
      <c r="F95" s="14">
        <f>'F) Population'!K87</f>
        <v>70728.998993963774</v>
      </c>
      <c r="G95" s="10">
        <f>'G) Solidarité'!I84</f>
        <v>196643.63496535717</v>
      </c>
      <c r="H95" s="14">
        <f t="shared" si="4"/>
        <v>267372.63395932096</v>
      </c>
      <c r="I95" s="55">
        <f t="shared" si="5"/>
        <v>78567.701209835417</v>
      </c>
    </row>
    <row r="96" spans="1:9" x14ac:dyDescent="0.25">
      <c r="A96" s="49">
        <f>'A) Base RI'!A87</f>
        <v>5531</v>
      </c>
      <c r="B96" s="32" t="str">
        <f>'A) Base RI'!B87</f>
        <v>Penthéréaz</v>
      </c>
      <c r="C96" s="31">
        <f>'D) Ecrêtage'!C85</f>
        <v>14646.364779076894</v>
      </c>
      <c r="D96" s="14">
        <f>'A) Base RI'!V87</f>
        <v>421</v>
      </c>
      <c r="E96" s="10">
        <f t="shared" si="3"/>
        <v>287782.37128468358</v>
      </c>
      <c r="F96" s="14">
        <f>'F) Population'!K88</f>
        <v>52889.713279678064</v>
      </c>
      <c r="G96" s="10">
        <f>'G) Solidarité'!I85</f>
        <v>113379.1874015511</v>
      </c>
      <c r="H96" s="14">
        <f t="shared" si="4"/>
        <v>166268.90068122916</v>
      </c>
      <c r="I96" s="55">
        <f t="shared" si="5"/>
        <v>121513.47060345442</v>
      </c>
    </row>
    <row r="97" spans="1:9" x14ac:dyDescent="0.25">
      <c r="A97" s="49">
        <f>'A) Base RI'!A88</f>
        <v>5533</v>
      </c>
      <c r="B97" s="32" t="str">
        <f>'A) Base RI'!B88</f>
        <v>Poliez-Pittet</v>
      </c>
      <c r="C97" s="31">
        <f>'D) Ecrêtage'!C86</f>
        <v>22519.70890410959</v>
      </c>
      <c r="D97" s="14">
        <f>'A) Base RI'!V88</f>
        <v>829</v>
      </c>
      <c r="E97" s="10">
        <f t="shared" si="3"/>
        <v>442483.53272776533</v>
      </c>
      <c r="F97" s="14">
        <f>'F) Population'!K89</f>
        <v>104146.25251509054</v>
      </c>
      <c r="G97" s="10">
        <f>'G) Solidarité'!I86</f>
        <v>328544.73271257913</v>
      </c>
      <c r="H97" s="14">
        <f t="shared" si="4"/>
        <v>432690.98522766971</v>
      </c>
      <c r="I97" s="55">
        <f t="shared" si="5"/>
        <v>9792.5475000956212</v>
      </c>
    </row>
    <row r="98" spans="1:9" x14ac:dyDescent="0.25">
      <c r="A98" s="49">
        <f>'A) Base RI'!A89</f>
        <v>5534</v>
      </c>
      <c r="B98" s="32" t="str">
        <f>'A) Base RI'!B89</f>
        <v>Rueyres</v>
      </c>
      <c r="C98" s="31">
        <f>'D) Ecrêtage'!C87</f>
        <v>10356.386166784428</v>
      </c>
      <c r="D98" s="14">
        <f>'A) Base RI'!V89</f>
        <v>265</v>
      </c>
      <c r="E98" s="10">
        <f t="shared" si="3"/>
        <v>203489.76786886773</v>
      </c>
      <c r="F98" s="14">
        <f>'F) Population'!K90</f>
        <v>33291.624748490947</v>
      </c>
      <c r="G98" s="10">
        <f>'G) Solidarité'!I87</f>
        <v>38583.655247507893</v>
      </c>
      <c r="H98" s="14">
        <f t="shared" si="4"/>
        <v>71875.279995998833</v>
      </c>
      <c r="I98" s="55">
        <f t="shared" si="5"/>
        <v>131614.48787286889</v>
      </c>
    </row>
    <row r="99" spans="1:9" x14ac:dyDescent="0.25">
      <c r="A99" s="49">
        <f>'A) Base RI'!A90</f>
        <v>5535</v>
      </c>
      <c r="B99" s="32" t="str">
        <f>'A) Base RI'!B90</f>
        <v>Saint-Barthélemy</v>
      </c>
      <c r="C99" s="31">
        <f>'D) Ecrêtage'!C88</f>
        <v>22444.916025525185</v>
      </c>
      <c r="D99" s="14">
        <f>'A) Base RI'!V90</f>
        <v>791</v>
      </c>
      <c r="E99" s="10">
        <f t="shared" si="3"/>
        <v>441013.9481394465</v>
      </c>
      <c r="F99" s="14">
        <f>'F) Population'!K91</f>
        <v>99372.359154929567</v>
      </c>
      <c r="G99" s="10">
        <f>'G) Solidarité'!I88</f>
        <v>326366.39775797306</v>
      </c>
      <c r="H99" s="14">
        <f t="shared" si="4"/>
        <v>425738.75691290264</v>
      </c>
      <c r="I99" s="55">
        <f t="shared" si="5"/>
        <v>15275.191226543859</v>
      </c>
    </row>
    <row r="100" spans="1:9" x14ac:dyDescent="0.25">
      <c r="A100" s="49">
        <f>'A) Base RI'!A91</f>
        <v>5537</v>
      </c>
      <c r="B100" s="32" t="str">
        <f>'A) Base RI'!B91</f>
        <v>Villars-le-Terroir</v>
      </c>
      <c r="C100" s="31">
        <f>'D) Ecrêtage'!C89</f>
        <v>36279.342540673366</v>
      </c>
      <c r="D100" s="14">
        <f>'A) Base RI'!V91</f>
        <v>1228</v>
      </c>
      <c r="E100" s="10">
        <f t="shared" si="3"/>
        <v>712842.7690070346</v>
      </c>
      <c r="F100" s="14">
        <f>'F) Population'!K92</f>
        <v>205830.18108651909</v>
      </c>
      <c r="G100" s="10">
        <f>'G) Solidarité'!I89</f>
        <v>425218.01091990649</v>
      </c>
      <c r="H100" s="14">
        <f t="shared" si="4"/>
        <v>631048.19200642558</v>
      </c>
      <c r="I100" s="55">
        <f t="shared" si="5"/>
        <v>81794.577000609017</v>
      </c>
    </row>
    <row r="101" spans="1:9" x14ac:dyDescent="0.25">
      <c r="A101" s="49">
        <f>'A) Base RI'!A92</f>
        <v>5539</v>
      </c>
      <c r="B101" s="32" t="str">
        <f>'A) Base RI'!B92</f>
        <v>Vuarrens</v>
      </c>
      <c r="C101" s="31">
        <f>'D) Ecrêtage'!C90</f>
        <v>30001.761907299908</v>
      </c>
      <c r="D101" s="14">
        <f>'A) Base RI'!V92</f>
        <v>1054</v>
      </c>
      <c r="E101" s="10">
        <f t="shared" si="3"/>
        <v>589496.32312417566</v>
      </c>
      <c r="F101" s="14">
        <f>'F) Population'!K93</f>
        <v>144623.84305835009</v>
      </c>
      <c r="G101" s="10">
        <f>'G) Solidarité'!I90</f>
        <v>410491.91278681246</v>
      </c>
      <c r="H101" s="14">
        <f t="shared" si="4"/>
        <v>555115.75584516255</v>
      </c>
      <c r="I101" s="55">
        <f t="shared" si="5"/>
        <v>34380.567279013107</v>
      </c>
    </row>
    <row r="102" spans="1:9" x14ac:dyDescent="0.25">
      <c r="A102" s="49">
        <f>'A) Base RI'!A93</f>
        <v>5540</v>
      </c>
      <c r="B102" s="32" t="str">
        <f>'A) Base RI'!B93</f>
        <v>Montilliez</v>
      </c>
      <c r="C102" s="31">
        <f>'D) Ecrêtage'!C91</f>
        <v>64637.646238645939</v>
      </c>
      <c r="D102" s="14">
        <f>'A) Base RI'!V93</f>
        <v>1819</v>
      </c>
      <c r="E102" s="10">
        <f t="shared" si="3"/>
        <v>1270047.2362528734</v>
      </c>
      <c r="F102" s="14">
        <f>'F) Population'!K94</f>
        <v>413720.67404426553</v>
      </c>
      <c r="G102" s="10">
        <f>'G) Solidarité'!I91</f>
        <v>411608.67867176165</v>
      </c>
      <c r="H102" s="14">
        <f t="shared" si="4"/>
        <v>825329.35271602718</v>
      </c>
      <c r="I102" s="55">
        <f t="shared" si="5"/>
        <v>444717.88353684626</v>
      </c>
    </row>
    <row r="103" spans="1:9" x14ac:dyDescent="0.25">
      <c r="A103" s="49">
        <f>'A) Base RI'!A94</f>
        <v>5541</v>
      </c>
      <c r="B103" s="32" t="str">
        <f>'A) Base RI'!B94</f>
        <v>Goumoëns</v>
      </c>
      <c r="C103" s="31">
        <f>'D) Ecrêtage'!C92</f>
        <v>37288.389369533332</v>
      </c>
      <c r="D103" s="14">
        <f>'A) Base RI'!V94</f>
        <v>1140</v>
      </c>
      <c r="E103" s="10">
        <f t="shared" si="3"/>
        <v>732669.25110868504</v>
      </c>
      <c r="F103" s="14">
        <f>'F) Population'!K95</f>
        <v>174875.2515090543</v>
      </c>
      <c r="G103" s="10">
        <f>'G) Solidarité'!I92</f>
        <v>354709.15816042601</v>
      </c>
      <c r="H103" s="14">
        <f t="shared" si="4"/>
        <v>529584.40966948029</v>
      </c>
      <c r="I103" s="55">
        <f t="shared" si="5"/>
        <v>203084.84143920476</v>
      </c>
    </row>
    <row r="104" spans="1:9" x14ac:dyDescent="0.25">
      <c r="A104" s="49">
        <f>'A) Base RI'!A95</f>
        <v>5551</v>
      </c>
      <c r="B104" s="32" t="str">
        <f>'A) Base RI'!B95</f>
        <v>Bonvillars</v>
      </c>
      <c r="C104" s="31">
        <f>'D) Ecrêtage'!C93</f>
        <v>18267.607293736826</v>
      </c>
      <c r="D104" s="14">
        <f>'A) Base RI'!V95</f>
        <v>490</v>
      </c>
      <c r="E104" s="10">
        <f t="shared" si="3"/>
        <v>358935.16404828342</v>
      </c>
      <c r="F104" s="14">
        <f>'F) Population'!K96</f>
        <v>61558.098591549293</v>
      </c>
      <c r="G104" s="10">
        <f>'G) Solidarité'!I93</f>
        <v>51031.54626717596</v>
      </c>
      <c r="H104" s="14">
        <f t="shared" si="4"/>
        <v>112589.64485872525</v>
      </c>
      <c r="I104" s="55">
        <f t="shared" si="5"/>
        <v>246345.51918955817</v>
      </c>
    </row>
    <row r="105" spans="1:9" x14ac:dyDescent="0.25">
      <c r="A105" s="49">
        <f>'A) Base RI'!A96</f>
        <v>5552</v>
      </c>
      <c r="B105" s="32" t="str">
        <f>'A) Base RI'!B96</f>
        <v>Bullet</v>
      </c>
      <c r="C105" s="31">
        <f>'D) Ecrêtage'!C94</f>
        <v>18370.265732879256</v>
      </c>
      <c r="D105" s="14">
        <f>'A) Base RI'!V96</f>
        <v>657</v>
      </c>
      <c r="E105" s="10">
        <f t="shared" si="3"/>
        <v>360952.27133015287</v>
      </c>
      <c r="F105" s="14">
        <f>'F) Population'!K97</f>
        <v>82538.103621730377</v>
      </c>
      <c r="G105" s="10">
        <f>'G) Solidarité'!I94</f>
        <v>249376.04820118178</v>
      </c>
      <c r="H105" s="14">
        <f t="shared" si="4"/>
        <v>331914.15182291216</v>
      </c>
      <c r="I105" s="55">
        <f t="shared" si="5"/>
        <v>29038.119507240714</v>
      </c>
    </row>
    <row r="106" spans="1:9" x14ac:dyDescent="0.25">
      <c r="A106" s="49">
        <f>'A) Base RI'!A97</f>
        <v>5553</v>
      </c>
      <c r="B106" s="32" t="str">
        <f>'A) Base RI'!B97</f>
        <v>Champagne</v>
      </c>
      <c r="C106" s="31">
        <f>'D) Ecrêtage'!C95</f>
        <v>37727.892502871691</v>
      </c>
      <c r="D106" s="14">
        <f>'A) Base RI'!V97</f>
        <v>1059</v>
      </c>
      <c r="E106" s="10">
        <f t="shared" si="3"/>
        <v>741304.92663684383</v>
      </c>
      <c r="F106" s="14">
        <f>'F) Population'!K98</f>
        <v>146382.6458752515</v>
      </c>
      <c r="G106" s="10">
        <f>'G) Solidarité'!I95</f>
        <v>183277.05091747493</v>
      </c>
      <c r="H106" s="14">
        <f t="shared" si="4"/>
        <v>329659.6967927264</v>
      </c>
      <c r="I106" s="55">
        <f t="shared" si="5"/>
        <v>411645.22984411742</v>
      </c>
    </row>
    <row r="107" spans="1:9" x14ac:dyDescent="0.25">
      <c r="A107" s="49">
        <f>'A) Base RI'!A98</f>
        <v>5554</v>
      </c>
      <c r="B107" s="32" t="str">
        <f>'A) Base RI'!B98</f>
        <v>Concise</v>
      </c>
      <c r="C107" s="31">
        <f>'D) Ecrêtage'!C96</f>
        <v>33273.512128706279</v>
      </c>
      <c r="D107" s="14">
        <f>'A) Base RI'!V98</f>
        <v>1025</v>
      </c>
      <c r="E107" s="10">
        <f t="shared" si="3"/>
        <v>653782.03846512979</v>
      </c>
      <c r="F107" s="14">
        <f>'F) Population'!K99</f>
        <v>134422.78672032192</v>
      </c>
      <c r="G107" s="10">
        <f>'G) Solidarité'!I96</f>
        <v>308200.88954592502</v>
      </c>
      <c r="H107" s="14">
        <f t="shared" si="4"/>
        <v>442623.67626624694</v>
      </c>
      <c r="I107" s="55">
        <f t="shared" si="5"/>
        <v>211158.36219888285</v>
      </c>
    </row>
    <row r="108" spans="1:9" x14ac:dyDescent="0.25">
      <c r="A108" s="49">
        <f>'A) Base RI'!A99</f>
        <v>5555</v>
      </c>
      <c r="B108" s="32" t="str">
        <f>'A) Base RI'!B99</f>
        <v>Corcelles-près-Concise</v>
      </c>
      <c r="C108" s="31">
        <f>'D) Ecrêtage'!C97</f>
        <v>13532.861505055624</v>
      </c>
      <c r="D108" s="14">
        <f>'A) Base RI'!V99</f>
        <v>401</v>
      </c>
      <c r="E108" s="10">
        <f t="shared" si="3"/>
        <v>265903.45337811369</v>
      </c>
      <c r="F108" s="14">
        <f>'F) Population'!K100</f>
        <v>50377.137826961771</v>
      </c>
      <c r="G108" s="10">
        <f>'G) Solidarité'!I97</f>
        <v>97793.384387352286</v>
      </c>
      <c r="H108" s="14">
        <f t="shared" si="4"/>
        <v>148170.52221431406</v>
      </c>
      <c r="I108" s="55">
        <f t="shared" si="5"/>
        <v>117732.93116379963</v>
      </c>
    </row>
    <row r="109" spans="1:9" x14ac:dyDescent="0.25">
      <c r="A109" s="49">
        <f>'A) Base RI'!A100</f>
        <v>5556</v>
      </c>
      <c r="B109" s="32" t="str">
        <f>'A) Base RI'!B100</f>
        <v>Fiez</v>
      </c>
      <c r="C109" s="31">
        <f>'D) Ecrêtage'!C98</f>
        <v>13065.326581020432</v>
      </c>
      <c r="D109" s="14">
        <f>'A) Base RI'!V100</f>
        <v>445</v>
      </c>
      <c r="E109" s="10">
        <f t="shared" si="3"/>
        <v>256716.98894637555</v>
      </c>
      <c r="F109" s="14">
        <f>'F) Population'!K101</f>
        <v>55904.803822937625</v>
      </c>
      <c r="G109" s="10">
        <f>'G) Solidarité'!I98</f>
        <v>139197.80564706257</v>
      </c>
      <c r="H109" s="14">
        <f t="shared" si="4"/>
        <v>195102.6094700002</v>
      </c>
      <c r="I109" s="55">
        <f t="shared" si="5"/>
        <v>61614.379476375354</v>
      </c>
    </row>
    <row r="110" spans="1:9" x14ac:dyDescent="0.25">
      <c r="A110" s="49">
        <f>'A) Base RI'!A101</f>
        <v>5557</v>
      </c>
      <c r="B110" s="32" t="str">
        <f>'A) Base RI'!B101</f>
        <v>Fontaines-sur-Grandson</v>
      </c>
      <c r="C110" s="31">
        <f>'D) Ecrêtage'!C99</f>
        <v>6528.2227757093106</v>
      </c>
      <c r="D110" s="14">
        <f>'A) Base RI'!V101</f>
        <v>215</v>
      </c>
      <c r="E110" s="10">
        <f t="shared" si="3"/>
        <v>128271.2440258307</v>
      </c>
      <c r="F110" s="14">
        <f>'F) Population'!K102</f>
        <v>27010.186116700199</v>
      </c>
      <c r="G110" s="10">
        <f>'G) Solidarité'!I99</f>
        <v>63196.989694862714</v>
      </c>
      <c r="H110" s="14">
        <f t="shared" si="4"/>
        <v>90207.17581156292</v>
      </c>
      <c r="I110" s="55">
        <f t="shared" si="5"/>
        <v>38064.068214267783</v>
      </c>
    </row>
    <row r="111" spans="1:9" x14ac:dyDescent="0.25">
      <c r="A111" s="49">
        <f>'A) Base RI'!A102</f>
        <v>5559</v>
      </c>
      <c r="B111" s="32" t="str">
        <f>'A) Base RI'!B102</f>
        <v>Giez</v>
      </c>
      <c r="C111" s="31">
        <f>'D) Ecrêtage'!C100</f>
        <v>20929.407833065721</v>
      </c>
      <c r="D111" s="14">
        <f>'A) Base RI'!V102</f>
        <v>414</v>
      </c>
      <c r="E111" s="10">
        <f t="shared" si="3"/>
        <v>411236.14675965341</v>
      </c>
      <c r="F111" s="14">
        <f>'F) Population'!K103</f>
        <v>52010.311871227364</v>
      </c>
      <c r="G111" s="10">
        <f>'G) Solidarité'!I100</f>
        <v>0</v>
      </c>
      <c r="H111" s="14">
        <f t="shared" si="4"/>
        <v>52010.311871227364</v>
      </c>
      <c r="I111" s="55">
        <f t="shared" si="5"/>
        <v>359225.83488842606</v>
      </c>
    </row>
    <row r="112" spans="1:9" x14ac:dyDescent="0.25">
      <c r="A112" s="49">
        <f>'A) Base RI'!A103</f>
        <v>5560</v>
      </c>
      <c r="B112" s="32" t="str">
        <f>'A) Base RI'!B103</f>
        <v>Grandevent</v>
      </c>
      <c r="C112" s="31">
        <f>'D) Ecrêtage'!C101</f>
        <v>7416.8272615804444</v>
      </c>
      <c r="D112" s="14">
        <f>'A) Base RI'!V103</f>
        <v>222</v>
      </c>
      <c r="E112" s="10">
        <f t="shared" si="3"/>
        <v>145731.18783683822</v>
      </c>
      <c r="F112" s="14">
        <f>'F) Population'!K104</f>
        <v>27889.587525150902</v>
      </c>
      <c r="G112" s="10">
        <f>'G) Solidarité'!I101</f>
        <v>51034.009640245662</v>
      </c>
      <c r="H112" s="14">
        <f t="shared" si="4"/>
        <v>78923.597165396568</v>
      </c>
      <c r="I112" s="55">
        <f t="shared" si="5"/>
        <v>66807.590671441649</v>
      </c>
    </row>
    <row r="113" spans="1:9" x14ac:dyDescent="0.25">
      <c r="A113" s="49">
        <f>'A) Base RI'!A104</f>
        <v>5561</v>
      </c>
      <c r="B113" s="32" t="str">
        <f>'A) Base RI'!B104</f>
        <v>Grandson</v>
      </c>
      <c r="C113" s="31">
        <f>'D) Ecrêtage'!C102</f>
        <v>113273.1793379919</v>
      </c>
      <c r="D113" s="14">
        <f>'A) Base RI'!V104</f>
        <v>3340</v>
      </c>
      <c r="E113" s="10">
        <f t="shared" si="3"/>
        <v>2225673.3766054041</v>
      </c>
      <c r="F113" s="14">
        <f>'F) Population'!K105</f>
        <v>1000005.0301810864</v>
      </c>
      <c r="G113" s="10">
        <f>'G) Solidarité'!I102</f>
        <v>758851.47865768534</v>
      </c>
      <c r="H113" s="14">
        <f t="shared" si="4"/>
        <v>1758856.5088387718</v>
      </c>
      <c r="I113" s="55">
        <f t="shared" si="5"/>
        <v>466816.86776663223</v>
      </c>
    </row>
    <row r="114" spans="1:9" x14ac:dyDescent="0.25">
      <c r="A114" s="49">
        <f>'A) Base RI'!A105</f>
        <v>5562</v>
      </c>
      <c r="B114" s="32" t="str">
        <f>'A) Base RI'!B105</f>
        <v>Mauborget</v>
      </c>
      <c r="C114" s="31">
        <f>'D) Ecrêtage'!C103</f>
        <v>5481.8555000000006</v>
      </c>
      <c r="D114" s="14">
        <f>'A) Base RI'!V105</f>
        <v>120</v>
      </c>
      <c r="E114" s="10">
        <f t="shared" si="3"/>
        <v>107711.46278451587</v>
      </c>
      <c r="F114" s="14">
        <f>'F) Population'!K106</f>
        <v>15075.452716297787</v>
      </c>
      <c r="G114" s="10">
        <f>'G) Solidarité'!I103</f>
        <v>739.33363071385543</v>
      </c>
      <c r="H114" s="14">
        <f t="shared" si="4"/>
        <v>15814.786347011643</v>
      </c>
      <c r="I114" s="55">
        <f t="shared" si="5"/>
        <v>91896.676437504226</v>
      </c>
    </row>
    <row r="115" spans="1:9" x14ac:dyDescent="0.25">
      <c r="A115" s="49">
        <f>'A) Base RI'!A106</f>
        <v>5563</v>
      </c>
      <c r="B115" s="32" t="str">
        <f>'A) Base RI'!B106</f>
        <v>Mutrux</v>
      </c>
      <c r="C115" s="31">
        <f>'D) Ecrêtage'!C104</f>
        <v>4024.138375587273</v>
      </c>
      <c r="D115" s="14">
        <f>'A) Base RI'!V106</f>
        <v>153</v>
      </c>
      <c r="E115" s="10">
        <f t="shared" si="3"/>
        <v>79069.182119413876</v>
      </c>
      <c r="F115" s="14">
        <f>'F) Population'!K107</f>
        <v>19221.202213279677</v>
      </c>
      <c r="G115" s="10">
        <f>'G) Solidarité'!I104</f>
        <v>76160.39850803517</v>
      </c>
      <c r="H115" s="14">
        <f t="shared" si="4"/>
        <v>95381.60072131484</v>
      </c>
      <c r="I115" s="55">
        <f t="shared" si="5"/>
        <v>-16312.418601900965</v>
      </c>
    </row>
    <row r="116" spans="1:9" x14ac:dyDescent="0.25">
      <c r="A116" s="49">
        <f>'A) Base RI'!A107</f>
        <v>5564</v>
      </c>
      <c r="B116" s="32" t="str">
        <f>'A) Base RI'!B107</f>
        <v>Novalles</v>
      </c>
      <c r="C116" s="31">
        <f>'D) Ecrêtage'!C105</f>
        <v>2262.9000968180799</v>
      </c>
      <c r="D116" s="14">
        <f>'A) Base RI'!V107</f>
        <v>100</v>
      </c>
      <c r="E116" s="10">
        <f t="shared" si="3"/>
        <v>44463.098227141876</v>
      </c>
      <c r="F116" s="14">
        <f>'F) Population'!K108</f>
        <v>12562.877263581488</v>
      </c>
      <c r="G116" s="10">
        <f>'G) Solidarité'!I105</f>
        <v>53300.141030212428</v>
      </c>
      <c r="H116" s="14">
        <f t="shared" si="4"/>
        <v>65863.01829379391</v>
      </c>
      <c r="I116" s="55">
        <f t="shared" si="5"/>
        <v>-21399.920066652034</v>
      </c>
    </row>
    <row r="117" spans="1:9" x14ac:dyDescent="0.25">
      <c r="A117" s="49">
        <f>'A) Base RI'!A108</f>
        <v>5565</v>
      </c>
      <c r="B117" s="32" t="str">
        <f>'A) Base RI'!B108</f>
        <v>Onnens</v>
      </c>
      <c r="C117" s="31">
        <f>'D) Ecrêtage'!C106</f>
        <v>18662.496602351366</v>
      </c>
      <c r="D117" s="14">
        <f>'A) Base RI'!V108</f>
        <v>497</v>
      </c>
      <c r="E117" s="10">
        <f t="shared" si="3"/>
        <v>366694.23487180989</v>
      </c>
      <c r="F117" s="14">
        <f>'F) Population'!K109</f>
        <v>62437.5</v>
      </c>
      <c r="G117" s="10">
        <f>'G) Solidarité'!I106</f>
        <v>70059.617882668623</v>
      </c>
      <c r="H117" s="14">
        <f t="shared" si="4"/>
        <v>132497.11788266862</v>
      </c>
      <c r="I117" s="55">
        <f t="shared" si="5"/>
        <v>234197.11698914127</v>
      </c>
    </row>
    <row r="118" spans="1:9" x14ac:dyDescent="0.25">
      <c r="A118" s="49">
        <f>'A) Base RI'!A109</f>
        <v>5566</v>
      </c>
      <c r="B118" s="32" t="str">
        <f>'A) Base RI'!B109</f>
        <v>Provence</v>
      </c>
      <c r="C118" s="31">
        <f>'D) Ecrêtage'!C107</f>
        <v>8507.523402669327</v>
      </c>
      <c r="D118" s="14">
        <f>'A) Base RI'!V109</f>
        <v>379</v>
      </c>
      <c r="E118" s="10">
        <f t="shared" si="3"/>
        <v>167161.97469543203</v>
      </c>
      <c r="F118" s="14">
        <f>'F) Population'!K110</f>
        <v>47613.304828973844</v>
      </c>
      <c r="G118" s="10">
        <f>'G) Solidarité'!I107</f>
        <v>231245.83571774967</v>
      </c>
      <c r="H118" s="14">
        <f t="shared" si="4"/>
        <v>278859.1405467235</v>
      </c>
      <c r="I118" s="55">
        <f t="shared" si="5"/>
        <v>-111697.16585129147</v>
      </c>
    </row>
    <row r="119" spans="1:9" x14ac:dyDescent="0.25">
      <c r="A119" s="49">
        <f>'A) Base RI'!A110</f>
        <v>5568</v>
      </c>
      <c r="B119" s="32" t="str">
        <f>'A) Base RI'!B110</f>
        <v>Sainte-Croix</v>
      </c>
      <c r="C119" s="31">
        <f>'D) Ecrêtage'!C108</f>
        <v>109442.50057575936</v>
      </c>
      <c r="D119" s="14">
        <f>'A) Base RI'!V110</f>
        <v>4888</v>
      </c>
      <c r="E119" s="10">
        <f t="shared" si="3"/>
        <v>2150405.4289300875</v>
      </c>
      <c r="F119" s="14">
        <f>'F) Population'!K111</f>
        <v>1777898.3903420521</v>
      </c>
      <c r="G119" s="10">
        <f>'G) Solidarité'!I108</f>
        <v>2232782.2492132704</v>
      </c>
      <c r="H119" s="14">
        <f t="shared" si="4"/>
        <v>4010680.6395553225</v>
      </c>
      <c r="I119" s="55">
        <f t="shared" si="5"/>
        <v>-1860275.210625235</v>
      </c>
    </row>
    <row r="120" spans="1:9" x14ac:dyDescent="0.25">
      <c r="A120" s="49">
        <f>'A) Base RI'!A111</f>
        <v>5571</v>
      </c>
      <c r="B120" s="32" t="str">
        <f>'A) Base RI'!B111</f>
        <v>Tévenon</v>
      </c>
      <c r="C120" s="31">
        <f>'D) Ecrêtage'!C109</f>
        <v>24814.739648311806</v>
      </c>
      <c r="D120" s="14">
        <f>'A) Base RI'!V111</f>
        <v>896</v>
      </c>
      <c r="E120" s="10">
        <f t="shared" si="3"/>
        <v>487577.95716005052</v>
      </c>
      <c r="F120" s="14">
        <f>'F) Population'!K112</f>
        <v>112563.38028169013</v>
      </c>
      <c r="G120" s="10">
        <f>'G) Solidarité'!I109</f>
        <v>345103.88704533078</v>
      </c>
      <c r="H120" s="14">
        <f t="shared" si="4"/>
        <v>457667.26732702088</v>
      </c>
      <c r="I120" s="55">
        <f t="shared" si="5"/>
        <v>29910.689833029639</v>
      </c>
    </row>
    <row r="121" spans="1:9" x14ac:dyDescent="0.25">
      <c r="A121" s="49">
        <f>'A) Base RI'!A112</f>
        <v>5581</v>
      </c>
      <c r="B121" s="32" t="str">
        <f>'A) Base RI'!B112</f>
        <v>Belmont-sur-Lausanne</v>
      </c>
      <c r="C121" s="31">
        <f>'D) Ecrêtage'!C110</f>
        <v>187390.297037037</v>
      </c>
      <c r="D121" s="14">
        <f>'A) Base RI'!V112</f>
        <v>3773</v>
      </c>
      <c r="E121" s="10">
        <f t="shared" si="3"/>
        <v>3681980.1261606007</v>
      </c>
      <c r="F121" s="14">
        <f>'F) Population'!K113</f>
        <v>1217594.0643863177</v>
      </c>
      <c r="G121" s="10">
        <f>'G) Solidarité'!I110</f>
        <v>0</v>
      </c>
      <c r="H121" s="14">
        <f t="shared" si="4"/>
        <v>1217594.0643863177</v>
      </c>
      <c r="I121" s="55">
        <f t="shared" si="5"/>
        <v>2464386.0617742827</v>
      </c>
    </row>
    <row r="122" spans="1:9" x14ac:dyDescent="0.25">
      <c r="A122" s="49">
        <f>'A) Base RI'!A113</f>
        <v>5582</v>
      </c>
      <c r="B122" s="32" t="str">
        <f>'A) Base RI'!B113</f>
        <v>Cheseaux-sur-Lausanne</v>
      </c>
      <c r="C122" s="31">
        <f>'D) Ecrêtage'!C111</f>
        <v>165596.20409124478</v>
      </c>
      <c r="D122" s="14">
        <f>'A) Base RI'!V113</f>
        <v>4339</v>
      </c>
      <c r="E122" s="10">
        <f t="shared" si="3"/>
        <v>3253754.0207382711</v>
      </c>
      <c r="F122" s="14">
        <f>'F) Population'!K114</f>
        <v>1502017.6056338027</v>
      </c>
      <c r="G122" s="10">
        <f>'G) Solidarité'!I111</f>
        <v>745090.08091831615</v>
      </c>
      <c r="H122" s="14">
        <f t="shared" si="4"/>
        <v>2247107.686552119</v>
      </c>
      <c r="I122" s="55">
        <f t="shared" si="5"/>
        <v>1006646.3341861521</v>
      </c>
    </row>
    <row r="123" spans="1:9" x14ac:dyDescent="0.25">
      <c r="A123" s="49">
        <f>'A) Base RI'!A114</f>
        <v>5583</v>
      </c>
      <c r="B123" s="32" t="str">
        <f>'A) Base RI'!B114</f>
        <v>Crissier</v>
      </c>
      <c r="C123" s="31">
        <f>'D) Ecrêtage'!C112</f>
        <v>307386.12106978399</v>
      </c>
      <c r="D123" s="14">
        <f>'A) Base RI'!V114</f>
        <v>7944</v>
      </c>
      <c r="E123" s="10">
        <f t="shared" si="3"/>
        <v>6039744.8893143432</v>
      </c>
      <c r="F123" s="14">
        <f>'F) Population'!K115</f>
        <v>3609465.3923541247</v>
      </c>
      <c r="G123" s="10">
        <f>'G) Solidarité'!I112</f>
        <v>968246.8037268261</v>
      </c>
      <c r="H123" s="14">
        <f t="shared" si="4"/>
        <v>4577712.196080951</v>
      </c>
      <c r="I123" s="55">
        <f t="shared" si="5"/>
        <v>1462032.6932333922</v>
      </c>
    </row>
    <row r="124" spans="1:9" x14ac:dyDescent="0.25">
      <c r="A124" s="49">
        <f>'A) Base RI'!A115</f>
        <v>5584</v>
      </c>
      <c r="B124" s="32" t="str">
        <f>'A) Base RI'!B115</f>
        <v>Epalinges</v>
      </c>
      <c r="C124" s="31">
        <f>'D) Ecrêtage'!C113</f>
        <v>474209.93693948264</v>
      </c>
      <c r="D124" s="14">
        <f>'A) Base RI'!V115</f>
        <v>9701</v>
      </c>
      <c r="E124" s="10">
        <f t="shared" si="3"/>
        <v>9317619.9144075755</v>
      </c>
      <c r="F124" s="14">
        <f>'F) Population'!K116</f>
        <v>4845099.7484909464</v>
      </c>
      <c r="G124" s="10">
        <f>'G) Solidarité'!I113</f>
        <v>0</v>
      </c>
      <c r="H124" s="14">
        <f t="shared" si="4"/>
        <v>4845099.7484909464</v>
      </c>
      <c r="I124" s="55">
        <f t="shared" si="5"/>
        <v>4472520.1659166291</v>
      </c>
    </row>
    <row r="125" spans="1:9" x14ac:dyDescent="0.25">
      <c r="A125" s="49">
        <f>'A) Base RI'!A116</f>
        <v>5585</v>
      </c>
      <c r="B125" s="32" t="str">
        <f>'A) Base RI'!B116</f>
        <v>Jouxtens-Mézery</v>
      </c>
      <c r="C125" s="31">
        <f>'D) Ecrêtage'!C114</f>
        <v>229667.26461667338</v>
      </c>
      <c r="D125" s="14">
        <f>'A) Base RI'!V116</f>
        <v>1423</v>
      </c>
      <c r="E125" s="10">
        <f t="shared" si="3"/>
        <v>4512668.570993958</v>
      </c>
      <c r="F125" s="14">
        <f>'F) Population'!K117</f>
        <v>274423.49094567401</v>
      </c>
      <c r="G125" s="10">
        <f>'G) Solidarité'!I114</f>
        <v>0</v>
      </c>
      <c r="H125" s="14">
        <f t="shared" si="4"/>
        <v>274423.49094567401</v>
      </c>
      <c r="I125" s="55">
        <f t="shared" si="5"/>
        <v>4238245.0800482836</v>
      </c>
    </row>
    <row r="126" spans="1:9" x14ac:dyDescent="0.25">
      <c r="A126" s="49">
        <f>'A) Base RI'!A117</f>
        <v>5586</v>
      </c>
      <c r="B126" s="32" t="str">
        <f>'A) Base RI'!B117</f>
        <v>Lausanne</v>
      </c>
      <c r="C126" s="31">
        <f>'D) Ecrêtage'!C115</f>
        <v>5921149.2978412546</v>
      </c>
      <c r="D126" s="14">
        <f>'A) Base RI'!V117</f>
        <v>139726</v>
      </c>
      <c r="E126" s="10">
        <f t="shared" si="3"/>
        <v>116343025.13738103</v>
      </c>
      <c r="F126" s="14">
        <f>'F) Population'!K118</f>
        <v>141445234.10462776</v>
      </c>
      <c r="G126" s="10">
        <f>'G) Solidarité'!I115</f>
        <v>12476696.174864763</v>
      </c>
      <c r="H126" s="14">
        <f t="shared" si="4"/>
        <v>153921930.27949253</v>
      </c>
      <c r="I126" s="55">
        <f t="shared" si="5"/>
        <v>-37578905.142111495</v>
      </c>
    </row>
    <row r="127" spans="1:9" x14ac:dyDescent="0.25">
      <c r="A127" s="49">
        <f>'A) Base RI'!A118</f>
        <v>5587</v>
      </c>
      <c r="B127" s="32" t="str">
        <f>'A) Base RI'!B118</f>
        <v>Le Mont-sur-Lausanne</v>
      </c>
      <c r="C127" s="31">
        <f>'D) Ecrêtage'!C116</f>
        <v>435325.60080081096</v>
      </c>
      <c r="D127" s="14">
        <f>'A) Base RI'!V118</f>
        <v>8991</v>
      </c>
      <c r="E127" s="10">
        <f t="shared" si="3"/>
        <v>8553592.346570164</v>
      </c>
      <c r="F127" s="14">
        <f>'F) Population'!K119</f>
        <v>4240825.352112676</v>
      </c>
      <c r="G127" s="10">
        <f>'G) Solidarité'!I116</f>
        <v>0</v>
      </c>
      <c r="H127" s="14">
        <f t="shared" si="4"/>
        <v>4240825.352112676</v>
      </c>
      <c r="I127" s="55">
        <f t="shared" si="5"/>
        <v>4312766.9944574879</v>
      </c>
    </row>
    <row r="128" spans="1:9" x14ac:dyDescent="0.25">
      <c r="A128" s="49">
        <f>'A) Base RI'!A119</f>
        <v>5588</v>
      </c>
      <c r="B128" s="32" t="str">
        <f>'A) Base RI'!B119</f>
        <v>Paudex</v>
      </c>
      <c r="C128" s="31">
        <f>'D) Ecrêtage'!C117</f>
        <v>133190.693055262</v>
      </c>
      <c r="D128" s="14">
        <f>'A) Base RI'!V119</f>
        <v>1532</v>
      </c>
      <c r="E128" s="10">
        <f t="shared" si="3"/>
        <v>2617027.0957097881</v>
      </c>
      <c r="F128" s="14">
        <f>'F) Population'!K120</f>
        <v>312765.39235412469</v>
      </c>
      <c r="G128" s="10">
        <f>'G) Solidarité'!I117</f>
        <v>0</v>
      </c>
      <c r="H128" s="14">
        <f t="shared" si="4"/>
        <v>312765.39235412469</v>
      </c>
      <c r="I128" s="55">
        <f t="shared" si="5"/>
        <v>2304261.7033556635</v>
      </c>
    </row>
    <row r="129" spans="1:9" x14ac:dyDescent="0.25">
      <c r="A129" s="49">
        <f>'A) Base RI'!A120</f>
        <v>5589</v>
      </c>
      <c r="B129" s="32" t="str">
        <f>'A) Base RI'!B120</f>
        <v>Prilly</v>
      </c>
      <c r="C129" s="31">
        <f>'D) Ecrêtage'!C118</f>
        <v>406505.26778654603</v>
      </c>
      <c r="D129" s="14">
        <f>'A) Base RI'!V120</f>
        <v>12423</v>
      </c>
      <c r="E129" s="10">
        <f t="shared" si="3"/>
        <v>7987309.593056622</v>
      </c>
      <c r="F129" s="14">
        <f>'F) Population'!K121</f>
        <v>7234207.2434607651</v>
      </c>
      <c r="G129" s="10">
        <f>'G) Solidarité'!I118</f>
        <v>3518571.334198087</v>
      </c>
      <c r="H129" s="14">
        <f t="shared" si="4"/>
        <v>10752778.577658853</v>
      </c>
      <c r="I129" s="55">
        <f t="shared" si="5"/>
        <v>-2765468.9846022306</v>
      </c>
    </row>
    <row r="130" spans="1:9" x14ac:dyDescent="0.25">
      <c r="A130" s="49">
        <f>'A) Base RI'!A121</f>
        <v>5590</v>
      </c>
      <c r="B130" s="32" t="str">
        <f>'A) Base RI'!B121</f>
        <v>Pully</v>
      </c>
      <c r="C130" s="31">
        <f>'D) Ecrêtage'!C119</f>
        <v>1525137.1517209217</v>
      </c>
      <c r="D130" s="14">
        <f>'A) Base RI'!V121</f>
        <v>18495</v>
      </c>
      <c r="E130" s="10">
        <f t="shared" si="3"/>
        <v>29966998.137559552</v>
      </c>
      <c r="F130" s="14">
        <f>'F) Population'!K122</f>
        <v>13512379.527162978</v>
      </c>
      <c r="G130" s="10">
        <f>'G) Solidarité'!I119</f>
        <v>0</v>
      </c>
      <c r="H130" s="14">
        <f t="shared" si="4"/>
        <v>13512379.527162978</v>
      </c>
      <c r="I130" s="55">
        <f t="shared" si="5"/>
        <v>16454618.610396573</v>
      </c>
    </row>
    <row r="131" spans="1:9" x14ac:dyDescent="0.25">
      <c r="A131" s="49">
        <f>'A) Base RI'!A122</f>
        <v>5591</v>
      </c>
      <c r="B131" s="32" t="str">
        <f>'A) Base RI'!B122</f>
        <v>Renens</v>
      </c>
      <c r="C131" s="31">
        <f>'D) Ecrêtage'!C120</f>
        <v>560894.98850347521</v>
      </c>
      <c r="D131" s="14">
        <f>'A) Base RI'!V122</f>
        <v>20928</v>
      </c>
      <c r="E131" s="10">
        <f t="shared" si="3"/>
        <v>11020870.520978438</v>
      </c>
      <c r="F131" s="14">
        <f>'F) Population'!K123</f>
        <v>16079879.879275654</v>
      </c>
      <c r="G131" s="10">
        <f>'G) Solidarité'!I120</f>
        <v>9776152.1795653589</v>
      </c>
      <c r="H131" s="14">
        <f t="shared" si="4"/>
        <v>25856032.058841012</v>
      </c>
      <c r="I131" s="55">
        <f t="shared" si="5"/>
        <v>-14835161.537862575</v>
      </c>
    </row>
    <row r="132" spans="1:9" x14ac:dyDescent="0.25">
      <c r="A132" s="49">
        <f>'A) Base RI'!A123</f>
        <v>5592</v>
      </c>
      <c r="B132" s="32" t="str">
        <f>'A) Base RI'!B123</f>
        <v>Romanel-sur-Lausanne</v>
      </c>
      <c r="C132" s="31">
        <f>'D) Ecrêtage'!C121</f>
        <v>112590.71279371857</v>
      </c>
      <c r="D132" s="14">
        <f>'A) Base RI'!V123</f>
        <v>3294</v>
      </c>
      <c r="E132" s="10">
        <f t="shared" si="3"/>
        <v>2212263.7802041173</v>
      </c>
      <c r="F132" s="14">
        <f>'F) Population'!K124</f>
        <v>976889.33601609652</v>
      </c>
      <c r="G132" s="10">
        <f>'G) Solidarité'!I121</f>
        <v>796930.77591148065</v>
      </c>
      <c r="H132" s="14">
        <f t="shared" si="4"/>
        <v>1773820.1119275773</v>
      </c>
      <c r="I132" s="55">
        <f t="shared" si="5"/>
        <v>438443.66827654</v>
      </c>
    </row>
    <row r="133" spans="1:9" x14ac:dyDescent="0.25">
      <c r="A133" s="49">
        <f>'A) Base RI'!A124</f>
        <v>5601</v>
      </c>
      <c r="B133" s="32" t="str">
        <f>'A) Base RI'!B124</f>
        <v>Chexbres</v>
      </c>
      <c r="C133" s="31">
        <f>'D) Ecrêtage'!C122</f>
        <v>103283.91611303072</v>
      </c>
      <c r="D133" s="14">
        <f>'A) Base RI'!V124</f>
        <v>2235</v>
      </c>
      <c r="E133" s="10">
        <f t="shared" si="3"/>
        <v>2029397.1058974038</v>
      </c>
      <c r="F133" s="14">
        <f>'F) Population'!K125</f>
        <v>560053.0684104627</v>
      </c>
      <c r="G133" s="10">
        <f>'G) Solidarité'!I122</f>
        <v>0</v>
      </c>
      <c r="H133" s="14">
        <f t="shared" si="4"/>
        <v>560053.0684104627</v>
      </c>
      <c r="I133" s="55">
        <f t="shared" si="5"/>
        <v>1469344.0374869411</v>
      </c>
    </row>
    <row r="134" spans="1:9" x14ac:dyDescent="0.25">
      <c r="A134" s="49">
        <f>'A) Base RI'!A125</f>
        <v>5604</v>
      </c>
      <c r="B134" s="32" t="str">
        <f>'A) Base RI'!B125</f>
        <v>Forel (Lavaux)</v>
      </c>
      <c r="C134" s="31">
        <f>'D) Ecrêtage'!C123</f>
        <v>73662.582961552936</v>
      </c>
      <c r="D134" s="14">
        <f>'A) Base RI'!V125</f>
        <v>2064</v>
      </c>
      <c r="E134" s="10">
        <f t="shared" si="3"/>
        <v>1447375.722193812</v>
      </c>
      <c r="F134" s="14">
        <f>'F) Population'!K126</f>
        <v>499902.01207243453</v>
      </c>
      <c r="G134" s="10">
        <f>'G) Solidarité'!I123</f>
        <v>411750.65951387561</v>
      </c>
      <c r="H134" s="14">
        <f t="shared" si="4"/>
        <v>911652.67158631014</v>
      </c>
      <c r="I134" s="55">
        <f t="shared" si="5"/>
        <v>535723.05060750188</v>
      </c>
    </row>
    <row r="135" spans="1:9" x14ac:dyDescent="0.25">
      <c r="A135" s="49">
        <f>'A) Base RI'!A126</f>
        <v>5606</v>
      </c>
      <c r="B135" s="32" t="str">
        <f>'A) Base RI'!B126</f>
        <v>Lutry</v>
      </c>
      <c r="C135" s="31">
        <f>'D) Ecrêtage'!C124</f>
        <v>807933.92151435383</v>
      </c>
      <c r="D135" s="14">
        <f>'A) Base RI'!V126</f>
        <v>10357</v>
      </c>
      <c r="E135" s="10">
        <f t="shared" si="3"/>
        <v>15874870.200343894</v>
      </c>
      <c r="F135" s="14">
        <f>'F) Population'!K127</f>
        <v>5405504.5774647892</v>
      </c>
      <c r="G135" s="10">
        <f>'G) Solidarité'!I124</f>
        <v>0</v>
      </c>
      <c r="H135" s="14">
        <f t="shared" si="4"/>
        <v>5405504.5774647892</v>
      </c>
      <c r="I135" s="55">
        <f t="shared" si="5"/>
        <v>10469365.622879105</v>
      </c>
    </row>
    <row r="136" spans="1:9" x14ac:dyDescent="0.25">
      <c r="A136" s="49">
        <f>'A) Base RI'!A127</f>
        <v>5607</v>
      </c>
      <c r="B136" s="32" t="str">
        <f>'A) Base RI'!B127</f>
        <v>Puidoux</v>
      </c>
      <c r="C136" s="31">
        <f>'D) Ecrêtage'!C125</f>
        <v>99930.249355206179</v>
      </c>
      <c r="D136" s="14">
        <f>'A) Base RI'!V127</f>
        <v>2881</v>
      </c>
      <c r="E136" s="10">
        <f t="shared" si="3"/>
        <v>1963501.8351853092</v>
      </c>
      <c r="F136" s="14">
        <f>'F) Population'!K128</f>
        <v>787290.39235412469</v>
      </c>
      <c r="G136" s="10">
        <f>'G) Solidarité'!I125</f>
        <v>630656.0415023294</v>
      </c>
      <c r="H136" s="14">
        <f t="shared" si="4"/>
        <v>1417946.4338564542</v>
      </c>
      <c r="I136" s="55">
        <f t="shared" si="5"/>
        <v>545555.40132885496</v>
      </c>
    </row>
    <row r="137" spans="1:9" x14ac:dyDescent="0.25">
      <c r="A137" s="49">
        <f>'A) Base RI'!A128</f>
        <v>5609</v>
      </c>
      <c r="B137" s="32" t="str">
        <f>'A) Base RI'!B128</f>
        <v>Rivaz</v>
      </c>
      <c r="C137" s="31">
        <f>'D) Ecrêtage'!C126</f>
        <v>13671.143301269074</v>
      </c>
      <c r="D137" s="14">
        <f>'A) Base RI'!V128</f>
        <v>342</v>
      </c>
      <c r="E137" s="10">
        <f t="shared" si="3"/>
        <v>268620.51415190112</v>
      </c>
      <c r="F137" s="14">
        <f>'F) Population'!K129</f>
        <v>42965.040241448689</v>
      </c>
      <c r="G137" s="10">
        <f>'G) Solidarité'!I126</f>
        <v>32813.342062599477</v>
      </c>
      <c r="H137" s="14">
        <f t="shared" si="4"/>
        <v>75778.382304048166</v>
      </c>
      <c r="I137" s="55">
        <f t="shared" si="5"/>
        <v>192842.13184785296</v>
      </c>
    </row>
    <row r="138" spans="1:9" x14ac:dyDescent="0.25">
      <c r="A138" s="49">
        <f>'A) Base RI'!A129</f>
        <v>5610</v>
      </c>
      <c r="B138" s="32" t="str">
        <f>'A) Base RI'!B129</f>
        <v>St-Saphorin (Lavaux)</v>
      </c>
      <c r="C138" s="31">
        <f>'D) Ecrêtage'!C127</f>
        <v>22273.105318410097</v>
      </c>
      <c r="D138" s="14">
        <f>'A) Base RI'!V129</f>
        <v>384</v>
      </c>
      <c r="E138" s="10">
        <f t="shared" si="3"/>
        <v>437638.08706733171</v>
      </c>
      <c r="F138" s="14">
        <f>'F) Population'!K130</f>
        <v>48241.448692152917</v>
      </c>
      <c r="G138" s="10">
        <f>'G) Solidarité'!I127</f>
        <v>0</v>
      </c>
      <c r="H138" s="14">
        <f t="shared" si="4"/>
        <v>48241.448692152917</v>
      </c>
      <c r="I138" s="55">
        <f t="shared" si="5"/>
        <v>389396.63837517879</v>
      </c>
    </row>
    <row r="139" spans="1:9" x14ac:dyDescent="0.25">
      <c r="A139" s="49">
        <f>'A) Base RI'!A130</f>
        <v>5611</v>
      </c>
      <c r="B139" s="32" t="str">
        <f>'A) Base RI'!B130</f>
        <v>Savigny</v>
      </c>
      <c r="C139" s="31">
        <f>'D) Ecrêtage'!C128</f>
        <v>134511.88344270343</v>
      </c>
      <c r="D139" s="14">
        <f>'A) Base RI'!V130</f>
        <v>3359</v>
      </c>
      <c r="E139" s="10">
        <f t="shared" si="3"/>
        <v>2642986.8002748131</v>
      </c>
      <c r="F139" s="14">
        <f>'F) Population'!K131</f>
        <v>1009552.8169014084</v>
      </c>
      <c r="G139" s="10">
        <f>'G) Solidarité'!I128</f>
        <v>376036.37741772179</v>
      </c>
      <c r="H139" s="14">
        <f t="shared" si="4"/>
        <v>1385589.1943191302</v>
      </c>
      <c r="I139" s="55">
        <f t="shared" si="5"/>
        <v>1257397.6059556829</v>
      </c>
    </row>
    <row r="140" spans="1:9" x14ac:dyDescent="0.25">
      <c r="A140" s="49">
        <f>'A) Base RI'!A131</f>
        <v>5613</v>
      </c>
      <c r="B140" s="32" t="str">
        <f>'A) Base RI'!B131</f>
        <v>Bourg-en-Lavaux</v>
      </c>
      <c r="C140" s="31">
        <f>'D) Ecrêtage'!C129</f>
        <v>332932.37553055235</v>
      </c>
      <c r="D140" s="14">
        <f>'A) Base RI'!V131</f>
        <v>5345</v>
      </c>
      <c r="E140" s="10">
        <f t="shared" si="3"/>
        <v>6541696.1787335593</v>
      </c>
      <c r="F140" s="14">
        <f>'F) Population'!K132</f>
        <v>2042221.3279678067</v>
      </c>
      <c r="G140" s="10">
        <f>'G) Solidarité'!I129</f>
        <v>0</v>
      </c>
      <c r="H140" s="14">
        <f t="shared" si="4"/>
        <v>2042221.3279678067</v>
      </c>
      <c r="I140" s="55">
        <f t="shared" si="5"/>
        <v>4499474.8507657526</v>
      </c>
    </row>
    <row r="141" spans="1:9" x14ac:dyDescent="0.25">
      <c r="A141" s="49">
        <f>'A) Base RI'!A132</f>
        <v>5621</v>
      </c>
      <c r="B141" s="32" t="str">
        <f>'A) Base RI'!B132</f>
        <v>Aclens</v>
      </c>
      <c r="C141" s="31">
        <f>'D) Ecrêtage'!C130</f>
        <v>27011.410978345568</v>
      </c>
      <c r="D141" s="14">
        <f>'A) Base RI'!V132</f>
        <v>539</v>
      </c>
      <c r="E141" s="10">
        <f t="shared" si="3"/>
        <v>530739.74466334109</v>
      </c>
      <c r="F141" s="14">
        <f>'F) Population'!K133</f>
        <v>67713.908450704228</v>
      </c>
      <c r="G141" s="10">
        <f>'G) Solidarité'!I130</f>
        <v>0</v>
      </c>
      <c r="H141" s="14">
        <f t="shared" si="4"/>
        <v>67713.908450704228</v>
      </c>
      <c r="I141" s="55">
        <f t="shared" si="5"/>
        <v>463025.83621263684</v>
      </c>
    </row>
    <row r="142" spans="1:9" x14ac:dyDescent="0.25">
      <c r="A142" s="49">
        <f>'A) Base RI'!A133</f>
        <v>5622</v>
      </c>
      <c r="B142" s="32" t="str">
        <f>'A) Base RI'!B133</f>
        <v>Bremblens</v>
      </c>
      <c r="C142" s="31">
        <f>'D) Ecrêtage'!C131</f>
        <v>26937.345606060608</v>
      </c>
      <c r="D142" s="14">
        <f>'A) Base RI'!V133</f>
        <v>577</v>
      </c>
      <c r="E142" s="10">
        <f t="shared" si="3"/>
        <v>529284.45464511763</v>
      </c>
      <c r="F142" s="14">
        <f>'F) Population'!K134</f>
        <v>72487.801810865189</v>
      </c>
      <c r="G142" s="10">
        <f>'G) Solidarité'!I131</f>
        <v>0</v>
      </c>
      <c r="H142" s="14">
        <f t="shared" si="4"/>
        <v>72487.801810865189</v>
      </c>
      <c r="I142" s="55">
        <f t="shared" si="5"/>
        <v>456796.65283425245</v>
      </c>
    </row>
    <row r="143" spans="1:9" x14ac:dyDescent="0.25">
      <c r="A143" s="49">
        <f>'A) Base RI'!A134</f>
        <v>5623</v>
      </c>
      <c r="B143" s="32" t="str">
        <f>'A) Base RI'!B134</f>
        <v>Buchillon</v>
      </c>
      <c r="C143" s="31">
        <f>'D) Ecrêtage'!C132</f>
        <v>89461.877418085525</v>
      </c>
      <c r="D143" s="14">
        <f>'A) Base RI'!V134</f>
        <v>686</v>
      </c>
      <c r="E143" s="10">
        <f t="shared" si="3"/>
        <v>1757811.6898832957</v>
      </c>
      <c r="F143" s="14">
        <f>'F) Population'!K135</f>
        <v>86181.338028169004</v>
      </c>
      <c r="G143" s="10">
        <f>'G) Solidarité'!I132</f>
        <v>0</v>
      </c>
      <c r="H143" s="14">
        <f t="shared" si="4"/>
        <v>86181.338028169004</v>
      </c>
      <c r="I143" s="55">
        <f t="shared" si="5"/>
        <v>1671630.3518551267</v>
      </c>
    </row>
    <row r="144" spans="1:9" x14ac:dyDescent="0.25">
      <c r="A144" s="49">
        <f>'A) Base RI'!A135</f>
        <v>5624</v>
      </c>
      <c r="B144" s="32" t="str">
        <f>'A) Base RI'!B135</f>
        <v>Bussigny</v>
      </c>
      <c r="C144" s="31">
        <f>'D) Ecrêtage'!C133</f>
        <v>400390.10765672859</v>
      </c>
      <c r="D144" s="14">
        <f>'A) Base RI'!V135</f>
        <v>8962</v>
      </c>
      <c r="E144" s="10">
        <f t="shared" ref="E144:E207" si="6">C144*E$15</f>
        <v>7867154.5027328832</v>
      </c>
      <c r="F144" s="14">
        <f>'F) Population'!K136</f>
        <v>4223337.8269617707</v>
      </c>
      <c r="G144" s="10">
        <f>'G) Solidarité'!I133</f>
        <v>191919.48426027404</v>
      </c>
      <c r="H144" s="14">
        <f t="shared" ref="H144:H207" si="7">F144+G144</f>
        <v>4415257.3112220448</v>
      </c>
      <c r="I144" s="55">
        <f t="shared" ref="I144:I207" si="8">E144-H144</f>
        <v>3451897.1915108385</v>
      </c>
    </row>
    <row r="145" spans="1:9" x14ac:dyDescent="0.25">
      <c r="A145" s="49">
        <f>'A) Base RI'!A136</f>
        <v>5625</v>
      </c>
      <c r="B145" s="32" t="str">
        <f>'A) Base RI'!B136</f>
        <v>Bussy-Chardonney</v>
      </c>
      <c r="C145" s="31">
        <f>'D) Ecrêtage'!C134</f>
        <v>16815.127999439792</v>
      </c>
      <c r="D145" s="14">
        <f>'A) Base RI'!V136</f>
        <v>384</v>
      </c>
      <c r="E145" s="10">
        <f t="shared" si="6"/>
        <v>330395.80005867168</v>
      </c>
      <c r="F145" s="14">
        <f>'F) Population'!K137</f>
        <v>48241.448692152917</v>
      </c>
      <c r="G145" s="10">
        <f>'G) Solidarité'!I134</f>
        <v>19877.04027203274</v>
      </c>
      <c r="H145" s="14">
        <f t="shared" si="7"/>
        <v>68118.488964185657</v>
      </c>
      <c r="I145" s="55">
        <f t="shared" si="8"/>
        <v>262277.31109448604</v>
      </c>
    </row>
    <row r="146" spans="1:9" x14ac:dyDescent="0.25">
      <c r="A146" s="49">
        <f>'A) Base RI'!A137</f>
        <v>5627</v>
      </c>
      <c r="B146" s="32" t="str">
        <f>'A) Base RI'!B137</f>
        <v>Chavannes-près-Renens</v>
      </c>
      <c r="C146" s="31">
        <f>'D) Ecrêtage'!C135</f>
        <v>214338.77376035714</v>
      </c>
      <c r="D146" s="14">
        <f>'A) Base RI'!V137</f>
        <v>7887</v>
      </c>
      <c r="E146" s="10">
        <f t="shared" si="6"/>
        <v>4211483.2930505872</v>
      </c>
      <c r="F146" s="14">
        <f>'F) Population'!K138</f>
        <v>3575093.3601609655</v>
      </c>
      <c r="G146" s="10">
        <f>'G) Solidarité'!I135</f>
        <v>3658470.8723029452</v>
      </c>
      <c r="H146" s="14">
        <f t="shared" si="7"/>
        <v>7233564.2324639112</v>
      </c>
      <c r="I146" s="55">
        <f t="shared" si="8"/>
        <v>-3022080.939413324</v>
      </c>
    </row>
    <row r="147" spans="1:9" x14ac:dyDescent="0.25">
      <c r="A147" s="49">
        <f>'A) Base RI'!A138</f>
        <v>5628</v>
      </c>
      <c r="B147" s="32" t="str">
        <f>'A) Base RI'!B138</f>
        <v>Chigny</v>
      </c>
      <c r="C147" s="31">
        <f>'D) Ecrêtage'!C136</f>
        <v>22372.02129032258</v>
      </c>
      <c r="D147" s="14">
        <f>'A) Base RI'!V138</f>
        <v>382</v>
      </c>
      <c r="E147" s="10">
        <f t="shared" si="6"/>
        <v>439581.65964553005</v>
      </c>
      <c r="F147" s="14">
        <f>'F) Population'!K139</f>
        <v>47990.191146881283</v>
      </c>
      <c r="G147" s="10">
        <f>'G) Solidarité'!I136</f>
        <v>0</v>
      </c>
      <c r="H147" s="14">
        <f t="shared" si="7"/>
        <v>47990.191146881283</v>
      </c>
      <c r="I147" s="55">
        <f t="shared" si="8"/>
        <v>391591.46849864878</v>
      </c>
    </row>
    <row r="148" spans="1:9" x14ac:dyDescent="0.25">
      <c r="A148" s="49">
        <f>'A) Base RI'!A139</f>
        <v>5629</v>
      </c>
      <c r="B148" s="32" t="str">
        <f>'A) Base RI'!B139</f>
        <v>Clarmont</v>
      </c>
      <c r="C148" s="31">
        <f>'D) Ecrêtage'!C137</f>
        <v>6749.9170666666651</v>
      </c>
      <c r="D148" s="14">
        <f>'A) Base RI'!V139</f>
        <v>191</v>
      </c>
      <c r="E148" s="10">
        <f t="shared" si="6"/>
        <v>132627.25384221363</v>
      </c>
      <c r="F148" s="14">
        <f>'F) Population'!K140</f>
        <v>23995.095573440642</v>
      </c>
      <c r="G148" s="10">
        <f>'G) Solidarité'!I137</f>
        <v>45222.530781388101</v>
      </c>
      <c r="H148" s="14">
        <f t="shared" si="7"/>
        <v>69217.626354828739</v>
      </c>
      <c r="I148" s="55">
        <f t="shared" si="8"/>
        <v>63409.627487384889</v>
      </c>
    </row>
    <row r="149" spans="1:9" x14ac:dyDescent="0.25">
      <c r="A149" s="49">
        <f>'A) Base RI'!A140</f>
        <v>5631</v>
      </c>
      <c r="B149" s="32" t="str">
        <f>'A) Base RI'!B140</f>
        <v>Denens</v>
      </c>
      <c r="C149" s="31">
        <f>'D) Ecrêtage'!C138</f>
        <v>51374.095571428574</v>
      </c>
      <c r="D149" s="14">
        <f>'A) Base RI'!V140</f>
        <v>742</v>
      </c>
      <c r="E149" s="10">
        <f t="shared" si="6"/>
        <v>1009435.3970530762</v>
      </c>
      <c r="F149" s="14">
        <f>'F) Population'!K141</f>
        <v>93216.549295774646</v>
      </c>
      <c r="G149" s="10">
        <f>'G) Solidarité'!I138</f>
        <v>0</v>
      </c>
      <c r="H149" s="14">
        <f t="shared" si="7"/>
        <v>93216.549295774646</v>
      </c>
      <c r="I149" s="55">
        <f t="shared" si="8"/>
        <v>916218.84775730153</v>
      </c>
    </row>
    <row r="150" spans="1:9" x14ac:dyDescent="0.25">
      <c r="A150" s="49">
        <f>'A) Base RI'!A141</f>
        <v>5632</v>
      </c>
      <c r="B150" s="32" t="str">
        <f>'A) Base RI'!B141</f>
        <v>Denges</v>
      </c>
      <c r="C150" s="31">
        <f>'D) Ecrêtage'!C139</f>
        <v>73160.20406689003</v>
      </c>
      <c r="D150" s="14">
        <f>'A) Base RI'!V141</f>
        <v>1609</v>
      </c>
      <c r="E150" s="10">
        <f t="shared" si="6"/>
        <v>1437504.6182188515</v>
      </c>
      <c r="F150" s="14">
        <f>'F) Population'!K142</f>
        <v>339850.95573440642</v>
      </c>
      <c r="G150" s="10">
        <f>'G) Solidarité'!I139</f>
        <v>12972.675205764745</v>
      </c>
      <c r="H150" s="14">
        <f t="shared" si="7"/>
        <v>352823.63094017119</v>
      </c>
      <c r="I150" s="55">
        <f t="shared" si="8"/>
        <v>1084680.9872786803</v>
      </c>
    </row>
    <row r="151" spans="1:9" x14ac:dyDescent="0.25">
      <c r="A151" s="49">
        <f>'A) Base RI'!A142</f>
        <v>5633</v>
      </c>
      <c r="B151" s="32" t="str">
        <f>'A) Base RI'!B142</f>
        <v>Echandens</v>
      </c>
      <c r="C151" s="31">
        <f>'D) Ecrêtage'!C140</f>
        <v>160114.83181506293</v>
      </c>
      <c r="D151" s="14">
        <f>'A) Base RI'!V142</f>
        <v>2739</v>
      </c>
      <c r="E151" s="10">
        <f t="shared" si="6"/>
        <v>3146052.0526849288</v>
      </c>
      <c r="F151" s="14">
        <f>'F) Population'!K143</f>
        <v>737340.39235412469</v>
      </c>
      <c r="G151" s="10">
        <f>'G) Solidarité'!I140</f>
        <v>0</v>
      </c>
      <c r="H151" s="14">
        <f t="shared" si="7"/>
        <v>737340.39235412469</v>
      </c>
      <c r="I151" s="55">
        <f t="shared" si="8"/>
        <v>2408711.6603308041</v>
      </c>
    </row>
    <row r="152" spans="1:9" x14ac:dyDescent="0.25">
      <c r="A152" s="49">
        <f>'A) Base RI'!A143</f>
        <v>5634</v>
      </c>
      <c r="B152" s="32" t="str">
        <f>'A) Base RI'!B143</f>
        <v>Echichens</v>
      </c>
      <c r="C152" s="31">
        <f>'D) Ecrêtage'!C141</f>
        <v>173888.96393435504</v>
      </c>
      <c r="D152" s="14">
        <f>'A) Base RI'!V143</f>
        <v>3077</v>
      </c>
      <c r="E152" s="10">
        <f t="shared" si="6"/>
        <v>3416696.1656419626</v>
      </c>
      <c r="F152" s="14">
        <f>'F) Population'!K144</f>
        <v>867843.56136820919</v>
      </c>
      <c r="G152" s="10">
        <f>'G) Solidarité'!I141</f>
        <v>0</v>
      </c>
      <c r="H152" s="14">
        <f t="shared" si="7"/>
        <v>867843.56136820919</v>
      </c>
      <c r="I152" s="55">
        <f t="shared" si="8"/>
        <v>2548852.6042737532</v>
      </c>
    </row>
    <row r="153" spans="1:9" x14ac:dyDescent="0.25">
      <c r="A153" s="49">
        <f>'A) Base RI'!A144</f>
        <v>5635</v>
      </c>
      <c r="B153" s="32" t="str">
        <f>'A) Base RI'!B144</f>
        <v>Ecublens</v>
      </c>
      <c r="C153" s="31">
        <f>'D) Ecrêtage'!C142</f>
        <v>488507.72683115519</v>
      </c>
      <c r="D153" s="14">
        <f>'A) Base RI'!V144</f>
        <v>13089</v>
      </c>
      <c r="E153" s="10">
        <f t="shared" si="6"/>
        <v>9598553.2341234479</v>
      </c>
      <c r="F153" s="14">
        <f>'F) Population'!K145</f>
        <v>7903557.3440643866</v>
      </c>
      <c r="G153" s="10">
        <f>'G) Solidarité'!I142</f>
        <v>1837080.2173380349</v>
      </c>
      <c r="H153" s="14">
        <f t="shared" si="7"/>
        <v>9740637.5614024214</v>
      </c>
      <c r="I153" s="55">
        <f t="shared" si="8"/>
        <v>-142084.32727897353</v>
      </c>
    </row>
    <row r="154" spans="1:9" x14ac:dyDescent="0.25">
      <c r="A154" s="49">
        <f>'A) Base RI'!A145</f>
        <v>5636</v>
      </c>
      <c r="B154" s="32" t="str">
        <f>'A) Base RI'!B145</f>
        <v>Etoy</v>
      </c>
      <c r="C154" s="31">
        <f>'D) Ecrêtage'!C143</f>
        <v>176831.6240274295</v>
      </c>
      <c r="D154" s="14">
        <f>'A) Base RI'!V145</f>
        <v>2933</v>
      </c>
      <c r="E154" s="10">
        <f t="shared" si="6"/>
        <v>3474515.6800568663</v>
      </c>
      <c r="F154" s="14">
        <f>'F) Population'!K146</f>
        <v>805581.94164989935</v>
      </c>
      <c r="G154" s="10">
        <f>'G) Solidarité'!I143</f>
        <v>0</v>
      </c>
      <c r="H154" s="14">
        <f t="shared" si="7"/>
        <v>805581.94164989935</v>
      </c>
      <c r="I154" s="55">
        <f t="shared" si="8"/>
        <v>2668933.7384069669</v>
      </c>
    </row>
    <row r="155" spans="1:9" x14ac:dyDescent="0.25">
      <c r="A155" s="49">
        <f>'A) Base RI'!A146</f>
        <v>5637</v>
      </c>
      <c r="B155" s="32" t="str">
        <f>'A) Base RI'!B146</f>
        <v>Lavigny</v>
      </c>
      <c r="C155" s="31">
        <f>'D) Ecrêtage'!C144</f>
        <v>37137.682399987621</v>
      </c>
      <c r="D155" s="14">
        <f>'A) Base RI'!V146</f>
        <v>992</v>
      </c>
      <c r="E155" s="10">
        <f t="shared" si="6"/>
        <v>729708.05154011014</v>
      </c>
      <c r="F155" s="14">
        <f>'F) Population'!K147</f>
        <v>124623.74245472836</v>
      </c>
      <c r="G155" s="10">
        <f>'G) Solidarité'!I144</f>
        <v>186158.87982059488</v>
      </c>
      <c r="H155" s="14">
        <f t="shared" si="7"/>
        <v>310782.62227532326</v>
      </c>
      <c r="I155" s="55">
        <f t="shared" si="8"/>
        <v>418925.42926478689</v>
      </c>
    </row>
    <row r="156" spans="1:9" x14ac:dyDescent="0.25">
      <c r="A156" s="49">
        <f>'A) Base RI'!A147</f>
        <v>5638</v>
      </c>
      <c r="B156" s="32" t="str">
        <f>'A) Base RI'!B147</f>
        <v>Lonay</v>
      </c>
      <c r="C156" s="31">
        <f>'D) Ecrêtage'!C145</f>
        <v>154797.39129324263</v>
      </c>
      <c r="D156" s="14">
        <f>'A) Base RI'!V147</f>
        <v>2676</v>
      </c>
      <c r="E156" s="10">
        <f t="shared" si="6"/>
        <v>3041571.1343398676</v>
      </c>
      <c r="F156" s="14">
        <f>'F) Population'!K148</f>
        <v>715179.47686116688</v>
      </c>
      <c r="G156" s="10">
        <f>'G) Solidarité'!I145</f>
        <v>0</v>
      </c>
      <c r="H156" s="14">
        <f t="shared" si="7"/>
        <v>715179.47686116688</v>
      </c>
      <c r="I156" s="55">
        <f t="shared" si="8"/>
        <v>2326391.6574787009</v>
      </c>
    </row>
    <row r="157" spans="1:9" x14ac:dyDescent="0.25">
      <c r="A157" s="49">
        <f>'A) Base RI'!A148</f>
        <v>5639</v>
      </c>
      <c r="B157" s="32" t="str">
        <f>'A) Base RI'!B148</f>
        <v>Lully</v>
      </c>
      <c r="C157" s="31">
        <f>'D) Ecrêtage'!C146</f>
        <v>46990.489786222082</v>
      </c>
      <c r="D157" s="14">
        <f>'A) Base RI'!V148</f>
        <v>818</v>
      </c>
      <c r="E157" s="10">
        <f t="shared" si="6"/>
        <v>923303.13920803496</v>
      </c>
      <c r="F157" s="14">
        <f>'F) Population'!K149</f>
        <v>102764.33601609657</v>
      </c>
      <c r="G157" s="10">
        <f>'G) Solidarité'!I146</f>
        <v>0</v>
      </c>
      <c r="H157" s="14">
        <f t="shared" si="7"/>
        <v>102764.33601609657</v>
      </c>
      <c r="I157" s="55">
        <f t="shared" si="8"/>
        <v>820538.80319193844</v>
      </c>
    </row>
    <row r="158" spans="1:9" x14ac:dyDescent="0.25">
      <c r="A158" s="49">
        <f>'A) Base RI'!A149</f>
        <v>5640</v>
      </c>
      <c r="B158" s="32" t="str">
        <f>'A) Base RI'!B149</f>
        <v>Lussy-sur-Morges</v>
      </c>
      <c r="C158" s="31">
        <f>'D) Ecrêtage'!C147</f>
        <v>60932.654829076157</v>
      </c>
      <c r="D158" s="14">
        <f>'A) Base RI'!V149</f>
        <v>696</v>
      </c>
      <c r="E158" s="10">
        <f t="shared" si="6"/>
        <v>1197248.8846128446</v>
      </c>
      <c r="F158" s="14">
        <f>'F) Population'!K150</f>
        <v>87437.625754527166</v>
      </c>
      <c r="G158" s="10">
        <f>'G) Solidarité'!I147</f>
        <v>0</v>
      </c>
      <c r="H158" s="14">
        <f t="shared" si="7"/>
        <v>87437.625754527166</v>
      </c>
      <c r="I158" s="55">
        <f t="shared" si="8"/>
        <v>1109811.2588583175</v>
      </c>
    </row>
    <row r="159" spans="1:9" x14ac:dyDescent="0.25">
      <c r="A159" s="49">
        <f>'A) Base RI'!A150</f>
        <v>5642</v>
      </c>
      <c r="B159" s="32" t="str">
        <f>'A) Base RI'!B150</f>
        <v>Morges</v>
      </c>
      <c r="C159" s="31">
        <f>'D) Ecrêtage'!C148</f>
        <v>860073.47085290938</v>
      </c>
      <c r="D159" s="14">
        <f>'A) Base RI'!V150</f>
        <v>15862</v>
      </c>
      <c r="E159" s="10">
        <f t="shared" si="6"/>
        <v>16899345.786791082</v>
      </c>
      <c r="F159" s="14">
        <f>'F) Population'!K151</f>
        <v>10733822.837022133</v>
      </c>
      <c r="G159" s="10">
        <f>'G) Solidarité'!I148</f>
        <v>0</v>
      </c>
      <c r="H159" s="14">
        <f t="shared" si="7"/>
        <v>10733822.837022133</v>
      </c>
      <c r="I159" s="55">
        <f t="shared" si="8"/>
        <v>6165522.9497689493</v>
      </c>
    </row>
    <row r="160" spans="1:9" x14ac:dyDescent="0.25">
      <c r="A160" s="49">
        <f>'A) Base RI'!A151</f>
        <v>5643</v>
      </c>
      <c r="B160" s="32" t="str">
        <f>'A) Base RI'!B151</f>
        <v>Préverenges</v>
      </c>
      <c r="C160" s="31">
        <f>'D) Ecrêtage'!C149</f>
        <v>258751.58879529274</v>
      </c>
      <c r="D160" s="14">
        <f>'A) Base RI'!V151</f>
        <v>5243</v>
      </c>
      <c r="E160" s="10">
        <f t="shared" si="6"/>
        <v>5084138.4138926184</v>
      </c>
      <c r="F160" s="14">
        <f>'F) Population'!K152</f>
        <v>1980713.480885312</v>
      </c>
      <c r="G160" s="10">
        <f>'G) Solidarité'!I149</f>
        <v>0</v>
      </c>
      <c r="H160" s="14">
        <f t="shared" si="7"/>
        <v>1980713.480885312</v>
      </c>
      <c r="I160" s="55">
        <f t="shared" si="8"/>
        <v>3103424.9330073064</v>
      </c>
    </row>
    <row r="161" spans="1:9" x14ac:dyDescent="0.25">
      <c r="A161" s="49">
        <f>'A) Base RI'!A152</f>
        <v>5644</v>
      </c>
      <c r="B161" s="32" t="str">
        <f>'A) Base RI'!B152</f>
        <v>Reverolle</v>
      </c>
      <c r="C161" s="31">
        <f>'D) Ecrêtage'!C150</f>
        <v>16806.032344441897</v>
      </c>
      <c r="D161" s="14">
        <f>'A) Base RI'!V152</f>
        <v>413</v>
      </c>
      <c r="E161" s="10">
        <f t="shared" si="6"/>
        <v>330217.08204890171</v>
      </c>
      <c r="F161" s="14">
        <f>'F) Population'!K153</f>
        <v>51884.683098591544</v>
      </c>
      <c r="G161" s="10">
        <f>'G) Solidarité'!I150</f>
        <v>49994.503582319609</v>
      </c>
      <c r="H161" s="14">
        <f t="shared" si="7"/>
        <v>101879.18668091115</v>
      </c>
      <c r="I161" s="55">
        <f t="shared" si="8"/>
        <v>228337.89536799054</v>
      </c>
    </row>
    <row r="162" spans="1:9" x14ac:dyDescent="0.25">
      <c r="A162" s="49">
        <f>'A) Base RI'!A153</f>
        <v>5645</v>
      </c>
      <c r="B162" s="32" t="str">
        <f>'A) Base RI'!B153</f>
        <v>Romanel-sur-Morges</v>
      </c>
      <c r="C162" s="31">
        <f>'D) Ecrêtage'!C151</f>
        <v>30104.624556076433</v>
      </c>
      <c r="D162" s="14">
        <f>'A) Base RI'!V153</f>
        <v>470</v>
      </c>
      <c r="E162" s="10">
        <f t="shared" si="6"/>
        <v>591517.44286467403</v>
      </c>
      <c r="F162" s="14">
        <f>'F) Population'!K154</f>
        <v>59045.523138832992</v>
      </c>
      <c r="G162" s="10">
        <f>'G) Solidarité'!I151</f>
        <v>0</v>
      </c>
      <c r="H162" s="14">
        <f t="shared" si="7"/>
        <v>59045.523138832992</v>
      </c>
      <c r="I162" s="55">
        <f t="shared" si="8"/>
        <v>532471.91972584103</v>
      </c>
    </row>
    <row r="163" spans="1:9" x14ac:dyDescent="0.25">
      <c r="A163" s="49">
        <f>'A) Base RI'!A154</f>
        <v>5646</v>
      </c>
      <c r="B163" s="32" t="str">
        <f>'A) Base RI'!B154</f>
        <v>Saint-Prex</v>
      </c>
      <c r="C163" s="31">
        <f>'D) Ecrêtage'!C152</f>
        <v>410896.75287158613</v>
      </c>
      <c r="D163" s="14">
        <f>'A) Base RI'!V154</f>
        <v>5774</v>
      </c>
      <c r="E163" s="10">
        <f t="shared" si="6"/>
        <v>8073596.6690851767</v>
      </c>
      <c r="F163" s="14">
        <f>'F) Population'!K155</f>
        <v>2300916.0965794767</v>
      </c>
      <c r="G163" s="10">
        <f>'G) Solidarité'!I152</f>
        <v>0</v>
      </c>
      <c r="H163" s="14">
        <f t="shared" si="7"/>
        <v>2300916.0965794767</v>
      </c>
      <c r="I163" s="55">
        <f t="shared" si="8"/>
        <v>5772680.5725056995</v>
      </c>
    </row>
    <row r="164" spans="1:9" x14ac:dyDescent="0.25">
      <c r="A164" s="49">
        <f>'A) Base RI'!A155</f>
        <v>5648</v>
      </c>
      <c r="B164" s="32" t="str">
        <f>'A) Base RI'!B155</f>
        <v>Saint-Sulpice</v>
      </c>
      <c r="C164" s="31">
        <f>'D) Ecrêtage'!C153</f>
        <v>382700.93610668415</v>
      </c>
      <c r="D164" s="14">
        <f>'A) Base RI'!V155</f>
        <v>4717</v>
      </c>
      <c r="E164" s="10">
        <f t="shared" si="6"/>
        <v>7519584.8626536196</v>
      </c>
      <c r="F164" s="14">
        <f>'F) Population'!K156</f>
        <v>1691968.3098591547</v>
      </c>
      <c r="G164" s="10">
        <f>'G) Solidarité'!I153</f>
        <v>0</v>
      </c>
      <c r="H164" s="14">
        <f t="shared" si="7"/>
        <v>1691968.3098591547</v>
      </c>
      <c r="I164" s="55">
        <f t="shared" si="8"/>
        <v>5827616.5527944649</v>
      </c>
    </row>
    <row r="165" spans="1:9" x14ac:dyDescent="0.25">
      <c r="A165" s="49">
        <f>'A) Base RI'!A156</f>
        <v>5649</v>
      </c>
      <c r="B165" s="32" t="str">
        <f>'A) Base RI'!B156</f>
        <v>Tolochenaz</v>
      </c>
      <c r="C165" s="31">
        <f>'D) Ecrêtage'!C154</f>
        <v>102752.22096213103</v>
      </c>
      <c r="D165" s="14">
        <f>'A) Base RI'!V156</f>
        <v>1907</v>
      </c>
      <c r="E165" s="10">
        <f t="shared" si="6"/>
        <v>2018949.9749106716</v>
      </c>
      <c r="F165" s="14">
        <f>'F) Population'!K157</f>
        <v>444675.60362173035</v>
      </c>
      <c r="G165" s="10">
        <f>'G) Solidarité'!I154</f>
        <v>0</v>
      </c>
      <c r="H165" s="14">
        <f t="shared" si="7"/>
        <v>444675.60362173035</v>
      </c>
      <c r="I165" s="55">
        <f t="shared" si="8"/>
        <v>1574274.3712889412</v>
      </c>
    </row>
    <row r="166" spans="1:9" x14ac:dyDescent="0.25">
      <c r="A166" s="49">
        <f>'A) Base RI'!A157</f>
        <v>5650</v>
      </c>
      <c r="B166" s="32" t="str">
        <f>'A) Base RI'!B157</f>
        <v>Vaux-sur-Morges</v>
      </c>
      <c r="C166" s="31">
        <f>'D) Ecrêtage'!C155</f>
        <v>91360.78017857144</v>
      </c>
      <c r="D166" s="14">
        <f>'A) Base RI'!V157</f>
        <v>196</v>
      </c>
      <c r="E166" s="10">
        <f t="shared" si="6"/>
        <v>1795122.7051075192</v>
      </c>
      <c r="F166" s="14">
        <f>'F) Population'!K158</f>
        <v>24623.239436619719</v>
      </c>
      <c r="G166" s="10">
        <f>'G) Solidarité'!I155</f>
        <v>0</v>
      </c>
      <c r="H166" s="14">
        <f t="shared" si="7"/>
        <v>24623.239436619719</v>
      </c>
      <c r="I166" s="55">
        <f t="shared" si="8"/>
        <v>1770499.4656708995</v>
      </c>
    </row>
    <row r="167" spans="1:9" x14ac:dyDescent="0.25">
      <c r="A167" s="49">
        <f>'A) Base RI'!A158</f>
        <v>5651</v>
      </c>
      <c r="B167" s="32" t="str">
        <f>'A) Base RI'!B158</f>
        <v>Villars-Sainte-Croix</v>
      </c>
      <c r="C167" s="31">
        <f>'D) Ecrêtage'!C156</f>
        <v>58663.104123472025</v>
      </c>
      <c r="D167" s="14">
        <f>'A) Base RI'!V158</f>
        <v>973</v>
      </c>
      <c r="E167" s="10">
        <f t="shared" si="6"/>
        <v>1152655.1104128037</v>
      </c>
      <c r="F167" s="14">
        <f>'F) Population'!K159</f>
        <v>122236.79577464788</v>
      </c>
      <c r="G167" s="10">
        <f>'G) Solidarité'!I156</f>
        <v>0</v>
      </c>
      <c r="H167" s="14">
        <f t="shared" si="7"/>
        <v>122236.79577464788</v>
      </c>
      <c r="I167" s="55">
        <f t="shared" si="8"/>
        <v>1030418.3146381559</v>
      </c>
    </row>
    <row r="168" spans="1:9" x14ac:dyDescent="0.25">
      <c r="A168" s="49">
        <f>'A) Base RI'!A159</f>
        <v>5652</v>
      </c>
      <c r="B168" s="32" t="str">
        <f>'A) Base RI'!B159</f>
        <v>Villars-sous-Yens</v>
      </c>
      <c r="C168" s="31">
        <f>'D) Ecrêtage'!C157</f>
        <v>32914.720873332524</v>
      </c>
      <c r="D168" s="14">
        <f>'A) Base RI'!V159</f>
        <v>603</v>
      </c>
      <c r="E168" s="10">
        <f t="shared" si="6"/>
        <v>646732.24830729002</v>
      </c>
      <c r="F168" s="14">
        <f>'F) Population'!K160</f>
        <v>75754.149899396376</v>
      </c>
      <c r="G168" s="10">
        <f>'G) Solidarité'!I157</f>
        <v>0</v>
      </c>
      <c r="H168" s="14">
        <f t="shared" si="7"/>
        <v>75754.149899396376</v>
      </c>
      <c r="I168" s="55">
        <f t="shared" si="8"/>
        <v>570978.09840789367</v>
      </c>
    </row>
    <row r="169" spans="1:9" x14ac:dyDescent="0.25">
      <c r="A169" s="49">
        <f>'A) Base RI'!A160</f>
        <v>5653</v>
      </c>
      <c r="B169" s="32" t="str">
        <f>'A) Base RI'!B160</f>
        <v>Vufflens-le-Château</v>
      </c>
      <c r="C169" s="31">
        <f>'D) Ecrêtage'!C158</f>
        <v>71945.00670599271</v>
      </c>
      <c r="D169" s="14">
        <f>'A) Base RI'!V160</f>
        <v>883</v>
      </c>
      <c r="E169" s="10">
        <f t="shared" si="6"/>
        <v>1413627.5413214152</v>
      </c>
      <c r="F169" s="14">
        <f>'F) Population'!K161</f>
        <v>110930.20623742454</v>
      </c>
      <c r="G169" s="10">
        <f>'G) Solidarité'!I158</f>
        <v>0</v>
      </c>
      <c r="H169" s="14">
        <f t="shared" si="7"/>
        <v>110930.20623742454</v>
      </c>
      <c r="I169" s="55">
        <f t="shared" si="8"/>
        <v>1302697.3350839906</v>
      </c>
    </row>
    <row r="170" spans="1:9" x14ac:dyDescent="0.25">
      <c r="A170" s="49">
        <f>'A) Base RI'!A161</f>
        <v>5654</v>
      </c>
      <c r="B170" s="32" t="str">
        <f>'A) Base RI'!B161</f>
        <v>Vullierens</v>
      </c>
      <c r="C170" s="31">
        <f>'D) Ecrêtage'!C159</f>
        <v>18024.22731423103</v>
      </c>
      <c r="D170" s="14">
        <f>'A) Base RI'!V161</f>
        <v>513</v>
      </c>
      <c r="E170" s="10">
        <f t="shared" si="6"/>
        <v>354153.05813450384</v>
      </c>
      <c r="F170" s="14">
        <f>'F) Population'!K162</f>
        <v>64447.560362173033</v>
      </c>
      <c r="G170" s="10">
        <f>'G) Solidarité'!I159</f>
        <v>127119.70025819544</v>
      </c>
      <c r="H170" s="14">
        <f t="shared" si="7"/>
        <v>191567.26062036847</v>
      </c>
      <c r="I170" s="55">
        <f t="shared" si="8"/>
        <v>162585.79751413537</v>
      </c>
    </row>
    <row r="171" spans="1:9" x14ac:dyDescent="0.25">
      <c r="A171" s="49">
        <f>'A) Base RI'!A162</f>
        <v>5655</v>
      </c>
      <c r="B171" s="32" t="str">
        <f>'A) Base RI'!B162</f>
        <v>Yens</v>
      </c>
      <c r="C171" s="31">
        <f>'D) Ecrêtage'!C160</f>
        <v>77001.825217451595</v>
      </c>
      <c r="D171" s="14">
        <f>'A) Base RI'!V162</f>
        <v>1477</v>
      </c>
      <c r="E171" s="10">
        <f t="shared" si="6"/>
        <v>1512987.5698564714</v>
      </c>
      <c r="F171" s="14">
        <f>'F) Population'!K163</f>
        <v>293418.56136820919</v>
      </c>
      <c r="G171" s="10">
        <f>'G) Solidarité'!I160</f>
        <v>0</v>
      </c>
      <c r="H171" s="14">
        <f t="shared" si="7"/>
        <v>293418.56136820919</v>
      </c>
      <c r="I171" s="55">
        <f t="shared" si="8"/>
        <v>1219569.0084882621</v>
      </c>
    </row>
    <row r="172" spans="1:9" x14ac:dyDescent="0.25">
      <c r="A172" s="49">
        <f>'A) Base RI'!A163</f>
        <v>5661</v>
      </c>
      <c r="B172" s="32" t="str">
        <f>'A) Base RI'!B163</f>
        <v>Boulens</v>
      </c>
      <c r="C172" s="31">
        <f>'D) Ecrêtage'!C161</f>
        <v>10064.101124681909</v>
      </c>
      <c r="D172" s="14">
        <f>'A) Base RI'!V163</f>
        <v>361</v>
      </c>
      <c r="E172" s="10">
        <f t="shared" si="6"/>
        <v>197746.73990417653</v>
      </c>
      <c r="F172" s="14">
        <f>'F) Population'!K164</f>
        <v>45351.986921529169</v>
      </c>
      <c r="G172" s="10">
        <f>'G) Solidarité'!I161</f>
        <v>137650.12035866204</v>
      </c>
      <c r="H172" s="14">
        <f t="shared" si="7"/>
        <v>183002.10728019121</v>
      </c>
      <c r="I172" s="55">
        <f t="shared" si="8"/>
        <v>14744.632623985322</v>
      </c>
    </row>
    <row r="173" spans="1:9" x14ac:dyDescent="0.25">
      <c r="A173" s="49">
        <f>'A) Base RI'!A164</f>
        <v>5663</v>
      </c>
      <c r="B173" s="32" t="str">
        <f>'A) Base RI'!B164</f>
        <v>Bussy-sur-Moudon</v>
      </c>
      <c r="C173" s="31">
        <f>'D) Ecrêtage'!C162</f>
        <v>6370.1104534474161</v>
      </c>
      <c r="D173" s="14">
        <f>'A) Base RI'!V164</f>
        <v>218</v>
      </c>
      <c r="E173" s="10">
        <f t="shared" si="6"/>
        <v>125164.53872958833</v>
      </c>
      <c r="F173" s="14">
        <f>'F) Population'!K165</f>
        <v>27387.072434607646</v>
      </c>
      <c r="G173" s="10">
        <f>'G) Solidarité'!I162</f>
        <v>92435.486836507233</v>
      </c>
      <c r="H173" s="14">
        <f t="shared" si="7"/>
        <v>119822.55927111488</v>
      </c>
      <c r="I173" s="55">
        <f t="shared" si="8"/>
        <v>5341.9794584734482</v>
      </c>
    </row>
    <row r="174" spans="1:9" x14ac:dyDescent="0.25">
      <c r="A174" s="49">
        <f>'A) Base RI'!A165</f>
        <v>5665</v>
      </c>
      <c r="B174" s="32" t="str">
        <f>'A) Base RI'!B165</f>
        <v>Chavannes-sur-Moudon</v>
      </c>
      <c r="C174" s="31">
        <f>'D) Ecrêtage'!C163</f>
        <v>4725.8157534246584</v>
      </c>
      <c r="D174" s="14">
        <f>'A) Base RI'!V165</f>
        <v>210</v>
      </c>
      <c r="E174" s="10">
        <f t="shared" si="6"/>
        <v>92856.246876897581</v>
      </c>
      <c r="F174" s="14">
        <f>'F) Population'!K166</f>
        <v>26382.042253521126</v>
      </c>
      <c r="G174" s="10">
        <f>'G) Solidarité'!I163</f>
        <v>103820.93143056294</v>
      </c>
      <c r="H174" s="14">
        <f t="shared" si="7"/>
        <v>130202.97368408406</v>
      </c>
      <c r="I174" s="55">
        <f t="shared" si="8"/>
        <v>-37346.726807186482</v>
      </c>
    </row>
    <row r="175" spans="1:9" x14ac:dyDescent="0.25">
      <c r="A175" s="49">
        <f>'A) Base RI'!A166</f>
        <v>5669</v>
      </c>
      <c r="B175" s="32" t="str">
        <f>'A) Base RI'!B166</f>
        <v>Curtilles</v>
      </c>
      <c r="C175" s="31">
        <f>'D) Ecrêtage'!C164</f>
        <v>9981.2313977454014</v>
      </c>
      <c r="D175" s="14">
        <f>'A) Base RI'!V166</f>
        <v>310</v>
      </c>
      <c r="E175" s="10">
        <f t="shared" si="6"/>
        <v>196118.45555613333</v>
      </c>
      <c r="F175" s="14">
        <f>'F) Population'!K167</f>
        <v>38944.919517102615</v>
      </c>
      <c r="G175" s="10">
        <f>'G) Solidarité'!I164</f>
        <v>95032.634240333675</v>
      </c>
      <c r="H175" s="14">
        <f t="shared" si="7"/>
        <v>133977.55375743628</v>
      </c>
      <c r="I175" s="55">
        <f t="shared" si="8"/>
        <v>62140.901798697043</v>
      </c>
    </row>
    <row r="176" spans="1:9" x14ac:dyDescent="0.25">
      <c r="A176" s="49">
        <f>'A) Base RI'!A167</f>
        <v>5671</v>
      </c>
      <c r="B176" s="32" t="str">
        <f>'A) Base RI'!B167</f>
        <v>Dompierre</v>
      </c>
      <c r="C176" s="31">
        <f>'D) Ecrêtage'!C165</f>
        <v>6546.2666570185083</v>
      </c>
      <c r="D176" s="14">
        <f>'A) Base RI'!V167</f>
        <v>232</v>
      </c>
      <c r="E176" s="10">
        <f t="shared" si="6"/>
        <v>128625.78325987727</v>
      </c>
      <c r="F176" s="14">
        <f>'F) Population'!K168</f>
        <v>29145.875251509053</v>
      </c>
      <c r="G176" s="10">
        <f>'G) Solidarité'!I165</f>
        <v>104257.77316481061</v>
      </c>
      <c r="H176" s="14">
        <f t="shared" si="7"/>
        <v>133403.64841631966</v>
      </c>
      <c r="I176" s="55">
        <f t="shared" si="8"/>
        <v>-4777.8651564423926</v>
      </c>
    </row>
    <row r="177" spans="1:9" x14ac:dyDescent="0.25">
      <c r="A177" s="49">
        <f>'A) Base RI'!A168</f>
        <v>5673</v>
      </c>
      <c r="B177" s="32" t="str">
        <f>'A) Base RI'!B168</f>
        <v>Hermenches</v>
      </c>
      <c r="C177" s="31">
        <f>'D) Ecrêtage'!C166</f>
        <v>9911.4858119507371</v>
      </c>
      <c r="D177" s="14">
        <f>'A) Base RI'!V168</f>
        <v>367</v>
      </c>
      <c r="E177" s="10">
        <f t="shared" si="6"/>
        <v>194748.0438280777</v>
      </c>
      <c r="F177" s="14">
        <f>'F) Population'!K169</f>
        <v>46105.759557344063</v>
      </c>
      <c r="G177" s="10">
        <f>'G) Solidarité'!I166</f>
        <v>154815.25302493552</v>
      </c>
      <c r="H177" s="14">
        <f t="shared" si="7"/>
        <v>200921.01258227957</v>
      </c>
      <c r="I177" s="55">
        <f t="shared" si="8"/>
        <v>-6172.9687542018655</v>
      </c>
    </row>
    <row r="178" spans="1:9" x14ac:dyDescent="0.25">
      <c r="A178" s="49">
        <f>'A) Base RI'!A169</f>
        <v>5674</v>
      </c>
      <c r="B178" s="32" t="str">
        <f>'A) Base RI'!B169</f>
        <v>Lovatens</v>
      </c>
      <c r="C178" s="31">
        <f>'D) Ecrêtage'!C167</f>
        <v>3212.7201333333333</v>
      </c>
      <c r="D178" s="14">
        <f>'A) Base RI'!V169</f>
        <v>136</v>
      </c>
      <c r="E178" s="10">
        <f t="shared" si="6"/>
        <v>63125.849464400904</v>
      </c>
      <c r="F178" s="14">
        <f>'F) Population'!K170</f>
        <v>17085.513078470824</v>
      </c>
      <c r="G178" s="10">
        <f>'G) Solidarité'!I167</f>
        <v>67590.988700834481</v>
      </c>
      <c r="H178" s="14">
        <f t="shared" si="7"/>
        <v>84676.501779305312</v>
      </c>
      <c r="I178" s="55">
        <f t="shared" si="8"/>
        <v>-21550.652314904408</v>
      </c>
    </row>
    <row r="179" spans="1:9" x14ac:dyDescent="0.25">
      <c r="A179" s="49">
        <f>'A) Base RI'!A170</f>
        <v>5675</v>
      </c>
      <c r="B179" s="32" t="str">
        <f>'A) Base RI'!B170</f>
        <v>Lucens</v>
      </c>
      <c r="C179" s="31">
        <f>'D) Ecrêtage'!C168</f>
        <v>97171.957057014763</v>
      </c>
      <c r="D179" s="14">
        <f>'A) Base RI'!V170</f>
        <v>4220</v>
      </c>
      <c r="E179" s="10">
        <f t="shared" si="6"/>
        <v>1909304.9125875751</v>
      </c>
      <c r="F179" s="14">
        <f>'F) Population'!K171</f>
        <v>1442218.3098591547</v>
      </c>
      <c r="G179" s="10">
        <f>'G) Solidarité'!I168</f>
        <v>1822473.8794127342</v>
      </c>
      <c r="H179" s="14">
        <f t="shared" si="7"/>
        <v>3264692.1892718887</v>
      </c>
      <c r="I179" s="55">
        <f t="shared" si="8"/>
        <v>-1355387.2766843135</v>
      </c>
    </row>
    <row r="180" spans="1:9" x14ac:dyDescent="0.25">
      <c r="A180" s="49">
        <f>'A) Base RI'!A171</f>
        <v>5678</v>
      </c>
      <c r="B180" s="32" t="str">
        <f>'A) Base RI'!B171</f>
        <v>Moudon</v>
      </c>
      <c r="C180" s="31">
        <f>'D) Ecrêtage'!C169</f>
        <v>124990.90700543707</v>
      </c>
      <c r="D180" s="14">
        <f>'A) Base RI'!V171</f>
        <v>6080</v>
      </c>
      <c r="E180" s="10">
        <f t="shared" si="6"/>
        <v>2455911.7671596808</v>
      </c>
      <c r="F180" s="14">
        <f>'F) Population'!K172</f>
        <v>2485439.6378269615</v>
      </c>
      <c r="G180" s="10">
        <f>'G) Solidarité'!I169</f>
        <v>3435620.8520806339</v>
      </c>
      <c r="H180" s="14">
        <f t="shared" si="7"/>
        <v>5921060.4899075953</v>
      </c>
      <c r="I180" s="55">
        <f t="shared" si="8"/>
        <v>-3465148.7227479145</v>
      </c>
    </row>
    <row r="181" spans="1:9" x14ac:dyDescent="0.25">
      <c r="A181" s="49">
        <f>'A) Base RI'!A172</f>
        <v>5680</v>
      </c>
      <c r="B181" s="32" t="str">
        <f>'A) Base RI'!B172</f>
        <v>Ogens</v>
      </c>
      <c r="C181" s="31">
        <f>'D) Ecrêtage'!C170</f>
        <v>6319.984442335237</v>
      </c>
      <c r="D181" s="14">
        <f>'A) Base RI'!V172</f>
        <v>296</v>
      </c>
      <c r="E181" s="10">
        <f t="shared" si="6"/>
        <v>124179.62659893371</v>
      </c>
      <c r="F181" s="14">
        <f>'F) Population'!K173</f>
        <v>37186.116700201208</v>
      </c>
      <c r="G181" s="10">
        <f>'G) Solidarité'!I170</f>
        <v>175266.24766604643</v>
      </c>
      <c r="H181" s="14">
        <f t="shared" si="7"/>
        <v>212452.36436624764</v>
      </c>
      <c r="I181" s="55">
        <f t="shared" si="8"/>
        <v>-88272.737767313927</v>
      </c>
    </row>
    <row r="182" spans="1:9" x14ac:dyDescent="0.25">
      <c r="A182" s="49">
        <f>'A) Base RI'!A173</f>
        <v>5683</v>
      </c>
      <c r="B182" s="32" t="str">
        <f>'A) Base RI'!B173</f>
        <v>Prévonloup</v>
      </c>
      <c r="C182" s="31">
        <f>'D) Ecrêtage'!C171</f>
        <v>4554.1237837837825</v>
      </c>
      <c r="D182" s="14">
        <f>'A) Base RI'!V173</f>
        <v>194</v>
      </c>
      <c r="E182" s="10">
        <f t="shared" si="6"/>
        <v>89482.718844578339</v>
      </c>
      <c r="F182" s="14">
        <f>'F) Population'!K174</f>
        <v>24371.981891348089</v>
      </c>
      <c r="G182" s="10">
        <f>'G) Solidarité'!I171</f>
        <v>94483.697252791171</v>
      </c>
      <c r="H182" s="14">
        <f t="shared" si="7"/>
        <v>118855.67914413926</v>
      </c>
      <c r="I182" s="55">
        <f t="shared" si="8"/>
        <v>-29372.960299560917</v>
      </c>
    </row>
    <row r="183" spans="1:9" x14ac:dyDescent="0.25">
      <c r="A183" s="49">
        <f>'A) Base RI'!A174</f>
        <v>5684</v>
      </c>
      <c r="B183" s="32" t="str">
        <f>'A) Base RI'!B174</f>
        <v>Rossenges</v>
      </c>
      <c r="C183" s="31">
        <f>'D) Ecrêtage'!C172</f>
        <v>3099.5946967890927</v>
      </c>
      <c r="D183" s="14">
        <f>'A) Base RI'!V174</f>
        <v>84</v>
      </c>
      <c r="E183" s="10">
        <f t="shared" si="6"/>
        <v>60903.079045093597</v>
      </c>
      <c r="F183" s="14">
        <f>'F) Population'!K175</f>
        <v>10552.816901408451</v>
      </c>
      <c r="G183" s="10">
        <f>'G) Solidarité'!I172</f>
        <v>16978.025480248496</v>
      </c>
      <c r="H183" s="14">
        <f t="shared" si="7"/>
        <v>27530.842381656948</v>
      </c>
      <c r="I183" s="55">
        <f t="shared" si="8"/>
        <v>33372.236663436648</v>
      </c>
    </row>
    <row r="184" spans="1:9" x14ac:dyDescent="0.25">
      <c r="A184" s="49">
        <f>'A) Base RI'!A175</f>
        <v>5688</v>
      </c>
      <c r="B184" s="32" t="str">
        <f>'A) Base RI'!B175</f>
        <v>Syens</v>
      </c>
      <c r="C184" s="31">
        <f>'D) Ecrêtage'!C173</f>
        <v>2722.3146828511958</v>
      </c>
      <c r="D184" s="14">
        <f>'A) Base RI'!V175</f>
        <v>155</v>
      </c>
      <c r="E184" s="10">
        <f t="shared" si="6"/>
        <v>53490.008383049804</v>
      </c>
      <c r="F184" s="14">
        <f>'F) Population'!K176</f>
        <v>19472.459758551307</v>
      </c>
      <c r="G184" s="10">
        <f>'G) Solidarité'!I173</f>
        <v>99466.338071315637</v>
      </c>
      <c r="H184" s="14">
        <f t="shared" si="7"/>
        <v>118938.79782986695</v>
      </c>
      <c r="I184" s="55">
        <f t="shared" si="8"/>
        <v>-65448.789446817143</v>
      </c>
    </row>
    <row r="185" spans="1:9" x14ac:dyDescent="0.25">
      <c r="A185" s="49">
        <f>'A) Base RI'!A176</f>
        <v>5690</v>
      </c>
      <c r="B185" s="32" t="str">
        <f>'A) Base RI'!B176</f>
        <v>Villars-le-Comte</v>
      </c>
      <c r="C185" s="31">
        <f>'D) Ecrêtage'!C174</f>
        <v>3015.9771931576993</v>
      </c>
      <c r="D185" s="14">
        <f>'A) Base RI'!V176</f>
        <v>122</v>
      </c>
      <c r="E185" s="10">
        <f t="shared" si="6"/>
        <v>59260.101839560368</v>
      </c>
      <c r="F185" s="14">
        <f>'F) Population'!K177</f>
        <v>15326.710261569417</v>
      </c>
      <c r="G185" s="10">
        <f>'G) Solidarité'!I174</f>
        <v>50226.11072892318</v>
      </c>
      <c r="H185" s="14">
        <f t="shared" si="7"/>
        <v>65552.82099049259</v>
      </c>
      <c r="I185" s="55">
        <f t="shared" si="8"/>
        <v>-6292.719150932222</v>
      </c>
    </row>
    <row r="186" spans="1:9" x14ac:dyDescent="0.25">
      <c r="A186" s="49">
        <f>'A) Base RI'!A177</f>
        <v>5692</v>
      </c>
      <c r="B186" s="32" t="str">
        <f>'A) Base RI'!B177</f>
        <v>Vucherens</v>
      </c>
      <c r="C186" s="31">
        <f>'D) Ecrêtage'!C175</f>
        <v>15976.51835443038</v>
      </c>
      <c r="D186" s="14">
        <f>'A) Base RI'!V177</f>
        <v>580</v>
      </c>
      <c r="E186" s="10">
        <f t="shared" si="6"/>
        <v>313918.19105034095</v>
      </c>
      <c r="F186" s="14">
        <f>'F) Population'!K178</f>
        <v>72864.688128772628</v>
      </c>
      <c r="G186" s="10">
        <f>'G) Solidarité'!I175</f>
        <v>263758.24652746588</v>
      </c>
      <c r="H186" s="14">
        <f t="shared" si="7"/>
        <v>336622.93465623853</v>
      </c>
      <c r="I186" s="55">
        <f t="shared" si="8"/>
        <v>-22704.743605897587</v>
      </c>
    </row>
    <row r="187" spans="1:9" x14ac:dyDescent="0.25">
      <c r="A187" s="49">
        <f>'A) Base RI'!A178</f>
        <v>5693</v>
      </c>
      <c r="B187" s="32" t="str">
        <f>'A) Base RI'!B178</f>
        <v>Montanaire</v>
      </c>
      <c r="C187" s="31">
        <f>'D) Ecrêtage'!C176</f>
        <v>70480.928098220116</v>
      </c>
      <c r="D187" s="14">
        <f>'A) Base RI'!V178</f>
        <v>2717</v>
      </c>
      <c r="E187" s="10">
        <f t="shared" si="6"/>
        <v>1384860.2656289598</v>
      </c>
      <c r="F187" s="14">
        <f>'F) Population'!K179</f>
        <v>729601.65995975852</v>
      </c>
      <c r="G187" s="10">
        <f>'G) Solidarité'!I176</f>
        <v>1115567.1820769066</v>
      </c>
      <c r="H187" s="14">
        <f t="shared" si="7"/>
        <v>1845168.842036665</v>
      </c>
      <c r="I187" s="55">
        <f t="shared" si="8"/>
        <v>-460308.5764077052</v>
      </c>
    </row>
    <row r="188" spans="1:9" x14ac:dyDescent="0.25">
      <c r="A188" s="49">
        <f>'A) Base RI'!A179</f>
        <v>5701</v>
      </c>
      <c r="B188" s="32" t="str">
        <f>'A) Base RI'!B179</f>
        <v>Arnex-sur-Nyon</v>
      </c>
      <c r="C188" s="31">
        <f>'D) Ecrêtage'!C177</f>
        <v>12114.196611371119</v>
      </c>
      <c r="D188" s="14">
        <f>'A) Base RI'!V179</f>
        <v>229</v>
      </c>
      <c r="E188" s="10">
        <f t="shared" si="6"/>
        <v>238028.49919521014</v>
      </c>
      <c r="F188" s="14">
        <f>'F) Population'!K180</f>
        <v>28768.988933601609</v>
      </c>
      <c r="G188" s="10">
        <f>'G) Solidarité'!I177</f>
        <v>0</v>
      </c>
      <c r="H188" s="14">
        <f t="shared" si="7"/>
        <v>28768.988933601609</v>
      </c>
      <c r="I188" s="55">
        <f t="shared" si="8"/>
        <v>209259.51026160852</v>
      </c>
    </row>
    <row r="189" spans="1:9" x14ac:dyDescent="0.25">
      <c r="A189" s="49">
        <f>'A) Base RI'!A180</f>
        <v>5702</v>
      </c>
      <c r="B189" s="32" t="str">
        <f>'A) Base RI'!B180</f>
        <v>Arzier-Le Muids</v>
      </c>
      <c r="C189" s="31">
        <f>'D) Ecrêtage'!C178</f>
        <v>174460.56839607147</v>
      </c>
      <c r="D189" s="14">
        <f>'A) Base RI'!V180</f>
        <v>2801</v>
      </c>
      <c r="E189" s="10">
        <f t="shared" si="6"/>
        <v>3427927.4636405385</v>
      </c>
      <c r="F189" s="14">
        <f>'F) Population'!K181</f>
        <v>759149.54728370218</v>
      </c>
      <c r="G189" s="10">
        <f>'G) Solidarité'!I178</f>
        <v>0</v>
      </c>
      <c r="H189" s="14">
        <f t="shared" si="7"/>
        <v>759149.54728370218</v>
      </c>
      <c r="I189" s="55">
        <f t="shared" si="8"/>
        <v>2668777.9163568364</v>
      </c>
    </row>
    <row r="190" spans="1:9" x14ac:dyDescent="0.25">
      <c r="A190" s="49">
        <f>'A) Base RI'!A181</f>
        <v>5703</v>
      </c>
      <c r="B190" s="32" t="str">
        <f>'A) Base RI'!B181</f>
        <v>Bassins</v>
      </c>
      <c r="C190" s="31">
        <f>'D) Ecrêtage'!C179</f>
        <v>58935.560453684549</v>
      </c>
      <c r="D190" s="14">
        <f>'A) Base RI'!V181</f>
        <v>1395</v>
      </c>
      <c r="E190" s="10">
        <f t="shared" si="6"/>
        <v>1158008.5295009378</v>
      </c>
      <c r="F190" s="14">
        <f>'F) Population'!K182</f>
        <v>264574.19517102616</v>
      </c>
      <c r="G190" s="10">
        <f>'G) Solidarité'!I179</f>
        <v>113191.65811664269</v>
      </c>
      <c r="H190" s="14">
        <f t="shared" si="7"/>
        <v>377765.85328766884</v>
      </c>
      <c r="I190" s="55">
        <f t="shared" si="8"/>
        <v>780242.67621326889</v>
      </c>
    </row>
    <row r="191" spans="1:9" x14ac:dyDescent="0.25">
      <c r="A191" s="49">
        <f>'A) Base RI'!A182</f>
        <v>5704</v>
      </c>
      <c r="B191" s="32" t="str">
        <f>'A) Base RI'!B182</f>
        <v>Begnins</v>
      </c>
      <c r="C191" s="31">
        <f>'D) Ecrêtage'!C180</f>
        <v>129508.82887740067</v>
      </c>
      <c r="D191" s="14">
        <f>'A) Base RI'!V182</f>
        <v>1931</v>
      </c>
      <c r="E191" s="10">
        <f t="shared" si="6"/>
        <v>2544683.1646500668</v>
      </c>
      <c r="F191" s="14">
        <f>'F) Population'!K183</f>
        <v>453117.85714285716</v>
      </c>
      <c r="G191" s="10">
        <f>'G) Solidarité'!I180</f>
        <v>0</v>
      </c>
      <c r="H191" s="14">
        <f t="shared" si="7"/>
        <v>453117.85714285716</v>
      </c>
      <c r="I191" s="55">
        <f t="shared" si="8"/>
        <v>2091565.3075072095</v>
      </c>
    </row>
    <row r="192" spans="1:9" x14ac:dyDescent="0.25">
      <c r="A192" s="49">
        <f>'A) Base RI'!A183</f>
        <v>5705</v>
      </c>
      <c r="B192" s="32" t="str">
        <f>'A) Base RI'!B183</f>
        <v>Bogis-Bossey</v>
      </c>
      <c r="C192" s="31">
        <f>'D) Ecrêtage'!C181</f>
        <v>47399.998914219243</v>
      </c>
      <c r="D192" s="14">
        <f>'A) Base RI'!V183</f>
        <v>825</v>
      </c>
      <c r="E192" s="10">
        <f t="shared" si="6"/>
        <v>931349.47081969201</v>
      </c>
      <c r="F192" s="14">
        <f>'F) Population'!K184</f>
        <v>103643.73742454727</v>
      </c>
      <c r="G192" s="10">
        <f>'G) Solidarité'!I181</f>
        <v>0</v>
      </c>
      <c r="H192" s="14">
        <f t="shared" si="7"/>
        <v>103643.73742454727</v>
      </c>
      <c r="I192" s="55">
        <f t="shared" si="8"/>
        <v>827705.73339514469</v>
      </c>
    </row>
    <row r="193" spans="1:9" x14ac:dyDescent="0.25">
      <c r="A193" s="49">
        <f>'A) Base RI'!A184</f>
        <v>5706</v>
      </c>
      <c r="B193" s="32" t="str">
        <f>'A) Base RI'!B184</f>
        <v>Borex</v>
      </c>
      <c r="C193" s="31">
        <f>'D) Ecrêtage'!C182</f>
        <v>76732.339331916941</v>
      </c>
      <c r="D193" s="14">
        <f>'A) Base RI'!V184</f>
        <v>1132</v>
      </c>
      <c r="E193" s="10">
        <f t="shared" si="6"/>
        <v>1507692.5162143756</v>
      </c>
      <c r="F193" s="14">
        <f>'F) Population'!K185</f>
        <v>172061.16700201205</v>
      </c>
      <c r="G193" s="10">
        <f>'G) Solidarité'!I182</f>
        <v>0</v>
      </c>
      <c r="H193" s="14">
        <f t="shared" si="7"/>
        <v>172061.16700201205</v>
      </c>
      <c r="I193" s="55">
        <f t="shared" si="8"/>
        <v>1335631.3492123636</v>
      </c>
    </row>
    <row r="194" spans="1:9" x14ac:dyDescent="0.25">
      <c r="A194" s="49">
        <f>'A) Base RI'!A185</f>
        <v>5707</v>
      </c>
      <c r="B194" s="32" t="str">
        <f>'A) Base RI'!B185</f>
        <v>Chavannes-de-Bogis</v>
      </c>
      <c r="C194" s="31">
        <f>'D) Ecrêtage'!C183</f>
        <v>80433.672291066076</v>
      </c>
      <c r="D194" s="14">
        <f>'A) Base RI'!V185</f>
        <v>1357</v>
      </c>
      <c r="E194" s="10">
        <f t="shared" si="6"/>
        <v>1580418.9839737855</v>
      </c>
      <c r="F194" s="14">
        <f>'F) Population'!K186</f>
        <v>251207.29376257543</v>
      </c>
      <c r="G194" s="10">
        <f>'G) Solidarité'!I183</f>
        <v>0</v>
      </c>
      <c r="H194" s="14">
        <f t="shared" si="7"/>
        <v>251207.29376257543</v>
      </c>
      <c r="I194" s="55">
        <f t="shared" si="8"/>
        <v>1329211.6902112102</v>
      </c>
    </row>
    <row r="195" spans="1:9" x14ac:dyDescent="0.25">
      <c r="A195" s="49">
        <f>'A) Base RI'!A186</f>
        <v>5708</v>
      </c>
      <c r="B195" s="32" t="str">
        <f>'A) Base RI'!B186</f>
        <v>Chavannes-des-Bois</v>
      </c>
      <c r="C195" s="31">
        <f>'D) Ecrêtage'!C184</f>
        <v>64673.600200081586</v>
      </c>
      <c r="D195" s="14">
        <f>'A) Base RI'!V186</f>
        <v>960</v>
      </c>
      <c r="E195" s="10">
        <f t="shared" si="6"/>
        <v>1270753.6856985276</v>
      </c>
      <c r="F195" s="14">
        <f>'F) Population'!K187</f>
        <v>120603.62173038229</v>
      </c>
      <c r="G195" s="10">
        <f>'G) Solidarité'!I184</f>
        <v>0</v>
      </c>
      <c r="H195" s="14">
        <f t="shared" si="7"/>
        <v>120603.62173038229</v>
      </c>
      <c r="I195" s="55">
        <f t="shared" si="8"/>
        <v>1150150.0639681453</v>
      </c>
    </row>
    <row r="196" spans="1:9" x14ac:dyDescent="0.25">
      <c r="A196" s="49">
        <f>'A) Base RI'!A187</f>
        <v>5709</v>
      </c>
      <c r="B196" s="32" t="str">
        <f>'A) Base RI'!B187</f>
        <v>Chéserex</v>
      </c>
      <c r="C196" s="31">
        <f>'D) Ecrêtage'!C185</f>
        <v>96665.564675304791</v>
      </c>
      <c r="D196" s="14">
        <f>'A) Base RI'!V187</f>
        <v>1238</v>
      </c>
      <c r="E196" s="10">
        <f t="shared" si="6"/>
        <v>1899354.9487155038</v>
      </c>
      <c r="F196" s="14">
        <f>'F) Population'!K188</f>
        <v>209347.78672032192</v>
      </c>
      <c r="G196" s="10">
        <f>'G) Solidarité'!I185</f>
        <v>0</v>
      </c>
      <c r="H196" s="14">
        <f t="shared" si="7"/>
        <v>209347.78672032192</v>
      </c>
      <c r="I196" s="55">
        <f t="shared" si="8"/>
        <v>1690007.1619951818</v>
      </c>
    </row>
    <row r="197" spans="1:9" x14ac:dyDescent="0.25">
      <c r="A197" s="49">
        <f>'A) Base RI'!A188</f>
        <v>5710</v>
      </c>
      <c r="B197" s="32" t="str">
        <f>'A) Base RI'!B188</f>
        <v>Coinsins</v>
      </c>
      <c r="C197" s="31">
        <f>'D) Ecrêtage'!C186</f>
        <v>116722.0098047505</v>
      </c>
      <c r="D197" s="14">
        <f>'A) Base RI'!V188</f>
        <v>494</v>
      </c>
      <c r="E197" s="10">
        <f t="shared" si="6"/>
        <v>2293438.4927180731</v>
      </c>
      <c r="F197" s="14">
        <f>'F) Population'!K189</f>
        <v>62060.613682092553</v>
      </c>
      <c r="G197" s="10">
        <f>'G) Solidarité'!I186</f>
        <v>0</v>
      </c>
      <c r="H197" s="14">
        <f t="shared" si="7"/>
        <v>62060.613682092553</v>
      </c>
      <c r="I197" s="55">
        <f t="shared" si="8"/>
        <v>2231377.8790359804</v>
      </c>
    </row>
    <row r="198" spans="1:9" x14ac:dyDescent="0.25">
      <c r="A198" s="49">
        <f>'A) Base RI'!A189</f>
        <v>5711</v>
      </c>
      <c r="B198" s="32" t="str">
        <f>'A) Base RI'!B189</f>
        <v>Commugny</v>
      </c>
      <c r="C198" s="31">
        <f>'D) Ecrêtage'!C187</f>
        <v>257446.98641964147</v>
      </c>
      <c r="D198" s="14">
        <f>'A) Base RI'!V189</f>
        <v>2935</v>
      </c>
      <c r="E198" s="10">
        <f t="shared" si="6"/>
        <v>5058504.6425840613</v>
      </c>
      <c r="F198" s="14">
        <f>'F) Population'!K190</f>
        <v>806285.46277665987</v>
      </c>
      <c r="G198" s="10">
        <f>'G) Solidarité'!I187</f>
        <v>0</v>
      </c>
      <c r="H198" s="14">
        <f t="shared" si="7"/>
        <v>806285.46277665987</v>
      </c>
      <c r="I198" s="55">
        <f t="shared" si="8"/>
        <v>4252219.1798074013</v>
      </c>
    </row>
    <row r="199" spans="1:9" x14ac:dyDescent="0.25">
      <c r="A199" s="49">
        <f>'A) Base RI'!A190</f>
        <v>5712</v>
      </c>
      <c r="B199" s="32" t="str">
        <f>'A) Base RI'!B190</f>
        <v>Coppet</v>
      </c>
      <c r="C199" s="31">
        <f>'D) Ecrêtage'!C188</f>
        <v>389580.29972433241</v>
      </c>
      <c r="D199" s="14">
        <f>'A) Base RI'!V190</f>
        <v>3211</v>
      </c>
      <c r="E199" s="10">
        <f t="shared" si="6"/>
        <v>7654755.5759793306</v>
      </c>
      <c r="F199" s="14">
        <f>'F) Population'!K191</f>
        <v>935180.58350100601</v>
      </c>
      <c r="G199" s="10">
        <f>'G) Solidarité'!I188</f>
        <v>0</v>
      </c>
      <c r="H199" s="14">
        <f t="shared" si="7"/>
        <v>935180.58350100601</v>
      </c>
      <c r="I199" s="55">
        <f t="shared" si="8"/>
        <v>6719574.9924783241</v>
      </c>
    </row>
    <row r="200" spans="1:9" x14ac:dyDescent="0.25">
      <c r="A200" s="49">
        <f>'A) Base RI'!A191</f>
        <v>5713</v>
      </c>
      <c r="B200" s="32" t="str">
        <f>'A) Base RI'!B191</f>
        <v>Crans-près-Céligny</v>
      </c>
      <c r="C200" s="31">
        <f>'D) Ecrêtage'!C189</f>
        <v>285688.37252656295</v>
      </c>
      <c r="D200" s="14">
        <f>'A) Base RI'!V191</f>
        <v>2286</v>
      </c>
      <c r="E200" s="10">
        <f t="shared" si="6"/>
        <v>5613411.8284153584</v>
      </c>
      <c r="F200" s="14">
        <f>'F) Population'!K192</f>
        <v>577992.85714285716</v>
      </c>
      <c r="G200" s="10">
        <f>'G) Solidarité'!I189</f>
        <v>0</v>
      </c>
      <c r="H200" s="14">
        <f t="shared" si="7"/>
        <v>577992.85714285716</v>
      </c>
      <c r="I200" s="55">
        <f t="shared" si="8"/>
        <v>5035418.9712725012</v>
      </c>
    </row>
    <row r="201" spans="1:9" x14ac:dyDescent="0.25">
      <c r="A201" s="49">
        <f>'A) Base RI'!A192</f>
        <v>5714</v>
      </c>
      <c r="B201" s="32" t="str">
        <f>'A) Base RI'!B192</f>
        <v>Crassier</v>
      </c>
      <c r="C201" s="31">
        <f>'D) Ecrêtage'!C190</f>
        <v>69464.601004636497</v>
      </c>
      <c r="D201" s="14">
        <f>'A) Base RI'!V192</f>
        <v>1169</v>
      </c>
      <c r="E201" s="10">
        <f t="shared" si="6"/>
        <v>1364890.7356190158</v>
      </c>
      <c r="F201" s="14">
        <f>'F) Population'!K193</f>
        <v>185076.3078470825</v>
      </c>
      <c r="G201" s="10">
        <f>'G) Solidarité'!I190</f>
        <v>0</v>
      </c>
      <c r="H201" s="14">
        <f t="shared" si="7"/>
        <v>185076.3078470825</v>
      </c>
      <c r="I201" s="55">
        <f t="shared" si="8"/>
        <v>1179814.4277719334</v>
      </c>
    </row>
    <row r="202" spans="1:9" x14ac:dyDescent="0.25">
      <c r="A202" s="49">
        <f>'A) Base RI'!A193</f>
        <v>5715</v>
      </c>
      <c r="B202" s="32" t="str">
        <f>'A) Base RI'!B193</f>
        <v>Duillier</v>
      </c>
      <c r="C202" s="31">
        <f>'D) Ecrêtage'!C191</f>
        <v>70057.743908647069</v>
      </c>
      <c r="D202" s="14">
        <f>'A) Base RI'!V193</f>
        <v>1090</v>
      </c>
      <c r="E202" s="10">
        <f t="shared" si="6"/>
        <v>1376545.2365140566</v>
      </c>
      <c r="F202" s="14">
        <f>'F) Population'!K194</f>
        <v>157287.22334004022</v>
      </c>
      <c r="G202" s="10">
        <f>'G) Solidarité'!I191</f>
        <v>0</v>
      </c>
      <c r="H202" s="14">
        <f t="shared" si="7"/>
        <v>157287.22334004022</v>
      </c>
      <c r="I202" s="55">
        <f t="shared" si="8"/>
        <v>1219258.0131740163</v>
      </c>
    </row>
    <row r="203" spans="1:9" x14ac:dyDescent="0.25">
      <c r="A203" s="49">
        <f>'A) Base RI'!A194</f>
        <v>5716</v>
      </c>
      <c r="B203" s="32" t="str">
        <f>'A) Base RI'!B194</f>
        <v>Eysins</v>
      </c>
      <c r="C203" s="31">
        <f>'D) Ecrêtage'!C192</f>
        <v>215421.00462875623</v>
      </c>
      <c r="D203" s="14">
        <f>'A) Base RI'!V194</f>
        <v>1737</v>
      </c>
      <c r="E203" s="10">
        <f t="shared" si="6"/>
        <v>4232747.7481070589</v>
      </c>
      <c r="F203" s="14">
        <f>'F) Population'!K195</f>
        <v>384876.3078470825</v>
      </c>
      <c r="G203" s="10">
        <f>'G) Solidarité'!I192</f>
        <v>0</v>
      </c>
      <c r="H203" s="14">
        <f t="shared" si="7"/>
        <v>384876.3078470825</v>
      </c>
      <c r="I203" s="55">
        <f t="shared" si="8"/>
        <v>3847871.4402599763</v>
      </c>
    </row>
    <row r="204" spans="1:9" x14ac:dyDescent="0.25">
      <c r="A204" s="49">
        <f>'A) Base RI'!A195</f>
        <v>5717</v>
      </c>
      <c r="B204" s="32" t="str">
        <f>'A) Base RI'!B195</f>
        <v>Founex</v>
      </c>
      <c r="C204" s="31">
        <f>'D) Ecrêtage'!C193</f>
        <v>344785.57941848523</v>
      </c>
      <c r="D204" s="14">
        <f>'A) Base RI'!V195</f>
        <v>3772</v>
      </c>
      <c r="E204" s="10">
        <f t="shared" si="6"/>
        <v>6774596.5040800339</v>
      </c>
      <c r="F204" s="14">
        <f>'F) Population'!K196</f>
        <v>1217091.5492957747</v>
      </c>
      <c r="G204" s="10">
        <f>'G) Solidarité'!I193</f>
        <v>0</v>
      </c>
      <c r="H204" s="14">
        <f t="shared" si="7"/>
        <v>1217091.5492957747</v>
      </c>
      <c r="I204" s="55">
        <f t="shared" si="8"/>
        <v>5557504.9547842592</v>
      </c>
    </row>
    <row r="205" spans="1:9" x14ac:dyDescent="0.25">
      <c r="A205" s="49">
        <f>'A) Base RI'!A196</f>
        <v>5718</v>
      </c>
      <c r="B205" s="32" t="str">
        <f>'A) Base RI'!B196</f>
        <v>Genolier</v>
      </c>
      <c r="C205" s="31">
        <f>'D) Ecrêtage'!C194</f>
        <v>170276.54994177341</v>
      </c>
      <c r="D205" s="14">
        <f>'A) Base RI'!V196</f>
        <v>2000</v>
      </c>
      <c r="E205" s="10">
        <f t="shared" si="6"/>
        <v>3345716.8420672677</v>
      </c>
      <c r="F205" s="14">
        <f>'F) Population'!K197</f>
        <v>477389.33601609652</v>
      </c>
      <c r="G205" s="10">
        <f>'G) Solidarité'!I194</f>
        <v>0</v>
      </c>
      <c r="H205" s="14">
        <f t="shared" si="7"/>
        <v>477389.33601609652</v>
      </c>
      <c r="I205" s="55">
        <f t="shared" si="8"/>
        <v>2868327.5060511711</v>
      </c>
    </row>
    <row r="206" spans="1:9" x14ac:dyDescent="0.25">
      <c r="A206" s="49">
        <f>'A) Base RI'!A197</f>
        <v>5719</v>
      </c>
      <c r="B206" s="32" t="str">
        <f>'A) Base RI'!B197</f>
        <v>Gingins</v>
      </c>
      <c r="C206" s="31">
        <f>'D) Ecrêtage'!C195</f>
        <v>142327.02027947939</v>
      </c>
      <c r="D206" s="14">
        <f>'A) Base RI'!V197</f>
        <v>1239</v>
      </c>
      <c r="E206" s="10">
        <f t="shared" si="6"/>
        <v>2796544.2628073976</v>
      </c>
      <c r="F206" s="14">
        <f>'F) Population'!K198</f>
        <v>209699.54728370218</v>
      </c>
      <c r="G206" s="10">
        <f>'G) Solidarité'!I195</f>
        <v>0</v>
      </c>
      <c r="H206" s="14">
        <f t="shared" si="7"/>
        <v>209699.54728370218</v>
      </c>
      <c r="I206" s="55">
        <f t="shared" si="8"/>
        <v>2586844.7155236956</v>
      </c>
    </row>
    <row r="207" spans="1:9" x14ac:dyDescent="0.25">
      <c r="A207" s="49">
        <f>'A) Base RI'!A198</f>
        <v>5720</v>
      </c>
      <c r="B207" s="32" t="str">
        <f>'A) Base RI'!B198</f>
        <v>Givrins</v>
      </c>
      <c r="C207" s="31">
        <f>'D) Ecrêtage'!C196</f>
        <v>82417.202201596621</v>
      </c>
      <c r="D207" s="14">
        <f>'A) Base RI'!V198</f>
        <v>1032</v>
      </c>
      <c r="E207" s="10">
        <f t="shared" si="6"/>
        <v>1619392.8146667115</v>
      </c>
      <c r="F207" s="14">
        <f>'F) Population'!K199</f>
        <v>136885.11066398388</v>
      </c>
      <c r="G207" s="10">
        <f>'G) Solidarité'!I196</f>
        <v>0</v>
      </c>
      <c r="H207" s="14">
        <f t="shared" si="7"/>
        <v>136885.11066398388</v>
      </c>
      <c r="I207" s="55">
        <f t="shared" si="8"/>
        <v>1482507.7040027275</v>
      </c>
    </row>
    <row r="208" spans="1:9" x14ac:dyDescent="0.25">
      <c r="A208" s="49">
        <f>'A) Base RI'!A199</f>
        <v>5721</v>
      </c>
      <c r="B208" s="32" t="str">
        <f>'A) Base RI'!B199</f>
        <v>Gland</v>
      </c>
      <c r="C208" s="31">
        <f>'D) Ecrêtage'!C197</f>
        <v>657906.43691215932</v>
      </c>
      <c r="D208" s="14">
        <f>'A) Base RI'!V199</f>
        <v>13194</v>
      </c>
      <c r="E208" s="10">
        <f t="shared" ref="E208:E271" si="9">C208*E$15</f>
        <v>12927021.643521519</v>
      </c>
      <c r="F208" s="14">
        <f>'F) Population'!K200</f>
        <v>8009085.5130784716</v>
      </c>
      <c r="G208" s="10">
        <f>'G) Solidarité'!I197</f>
        <v>0</v>
      </c>
      <c r="H208" s="14">
        <f t="shared" ref="H208:H271" si="10">F208+G208</f>
        <v>8009085.5130784716</v>
      </c>
      <c r="I208" s="55">
        <f t="shared" ref="I208:I271" si="11">E208-H208</f>
        <v>4917936.1304430477</v>
      </c>
    </row>
    <row r="209" spans="1:9" x14ac:dyDescent="0.25">
      <c r="A209" s="49">
        <f>'A) Base RI'!A200</f>
        <v>5722</v>
      </c>
      <c r="B209" s="32" t="str">
        <f>'A) Base RI'!B200</f>
        <v>Grens</v>
      </c>
      <c r="C209" s="31">
        <f>'D) Ecrêtage'!C198</f>
        <v>20260.981774193551</v>
      </c>
      <c r="D209" s="14">
        <f>'A) Base RI'!V200</f>
        <v>383</v>
      </c>
      <c r="E209" s="10">
        <f t="shared" si="9"/>
        <v>398102.42797330261</v>
      </c>
      <c r="F209" s="14">
        <f>'F) Population'!K201</f>
        <v>48115.819919517104</v>
      </c>
      <c r="G209" s="10">
        <f>'G) Solidarité'!I198</f>
        <v>0</v>
      </c>
      <c r="H209" s="14">
        <f t="shared" si="10"/>
        <v>48115.819919517104</v>
      </c>
      <c r="I209" s="55">
        <f t="shared" si="11"/>
        <v>349986.60805378552</v>
      </c>
    </row>
    <row r="210" spans="1:9" x14ac:dyDescent="0.25">
      <c r="A210" s="49">
        <f>'A) Base RI'!A201</f>
        <v>5723</v>
      </c>
      <c r="B210" s="32" t="str">
        <f>'A) Base RI'!B201</f>
        <v>Mies</v>
      </c>
      <c r="C210" s="31">
        <f>'D) Ecrêtage'!C199</f>
        <v>196584.50934585766</v>
      </c>
      <c r="D210" s="14">
        <f>'A) Base RI'!V201</f>
        <v>2116</v>
      </c>
      <c r="E210" s="10">
        <f t="shared" si="9"/>
        <v>3862634.6612782218</v>
      </c>
      <c r="F210" s="14">
        <f>'F) Population'!K202</f>
        <v>518193.56136820919</v>
      </c>
      <c r="G210" s="10">
        <f>'G) Solidarité'!I199</f>
        <v>0</v>
      </c>
      <c r="H210" s="14">
        <f t="shared" si="10"/>
        <v>518193.56136820919</v>
      </c>
      <c r="I210" s="55">
        <f t="shared" si="11"/>
        <v>3344441.0999100124</v>
      </c>
    </row>
    <row r="211" spans="1:9" x14ac:dyDescent="0.25">
      <c r="A211" s="49">
        <f>'A) Base RI'!A202</f>
        <v>5724</v>
      </c>
      <c r="B211" s="32" t="str">
        <f>'A) Base RI'!B202</f>
        <v>Nyon</v>
      </c>
      <c r="C211" s="31">
        <f>'D) Ecrêtage'!C200</f>
        <v>1385271.3719392153</v>
      </c>
      <c r="D211" s="14">
        <f>'A) Base RI'!V202</f>
        <v>21416</v>
      </c>
      <c r="E211" s="10">
        <f t="shared" si="9"/>
        <v>27218814.108669229</v>
      </c>
      <c r="F211" s="14">
        <f>'F) Population'!K203</f>
        <v>16594857.344064387</v>
      </c>
      <c r="G211" s="10">
        <f>'G) Solidarité'!I200</f>
        <v>0</v>
      </c>
      <c r="H211" s="14">
        <f t="shared" si="10"/>
        <v>16594857.344064387</v>
      </c>
      <c r="I211" s="55">
        <f t="shared" si="11"/>
        <v>10623956.764604842</v>
      </c>
    </row>
    <row r="212" spans="1:9" x14ac:dyDescent="0.25">
      <c r="A212" s="49">
        <f>'A) Base RI'!A203</f>
        <v>5725</v>
      </c>
      <c r="B212" s="32" t="str">
        <f>'A) Base RI'!B203</f>
        <v>Prangins</v>
      </c>
      <c r="C212" s="31">
        <f>'D) Ecrêtage'!C201</f>
        <v>342757.72234116954</v>
      </c>
      <c r="D212" s="14">
        <f>'A) Base RI'!V203</f>
        <v>4088</v>
      </c>
      <c r="E212" s="10">
        <f t="shared" si="9"/>
        <v>6734751.7011450417</v>
      </c>
      <c r="F212" s="14">
        <f>'F) Population'!K204</f>
        <v>1375886.3179074447</v>
      </c>
      <c r="G212" s="10">
        <f>'G) Solidarité'!I201</f>
        <v>0</v>
      </c>
      <c r="H212" s="14">
        <f t="shared" si="10"/>
        <v>1375886.3179074447</v>
      </c>
      <c r="I212" s="55">
        <f t="shared" si="11"/>
        <v>5358865.3832375966</v>
      </c>
    </row>
    <row r="213" spans="1:9" x14ac:dyDescent="0.25">
      <c r="A213" s="49">
        <f>'A) Base RI'!A204</f>
        <v>5726</v>
      </c>
      <c r="B213" s="32" t="str">
        <f>'A) Base RI'!B204</f>
        <v>La Rippe</v>
      </c>
      <c r="C213" s="31">
        <f>'D) Ecrêtage'!C202</f>
        <v>61259.007150466066</v>
      </c>
      <c r="D213" s="14">
        <f>'A) Base RI'!V204</f>
        <v>1136</v>
      </c>
      <c r="E213" s="10">
        <f t="shared" si="9"/>
        <v>1203661.2911273958</v>
      </c>
      <c r="F213" s="14">
        <f>'F) Population'!K205</f>
        <v>173468.20925553318</v>
      </c>
      <c r="G213" s="10">
        <f>'G) Solidarité'!I202</f>
        <v>0</v>
      </c>
      <c r="H213" s="14">
        <f t="shared" si="10"/>
        <v>173468.20925553318</v>
      </c>
      <c r="I213" s="55">
        <f t="shared" si="11"/>
        <v>1030193.0818718626</v>
      </c>
    </row>
    <row r="214" spans="1:9" x14ac:dyDescent="0.25">
      <c r="A214" s="49">
        <f>'A) Base RI'!A205</f>
        <v>5727</v>
      </c>
      <c r="B214" s="32" t="str">
        <f>'A) Base RI'!B205</f>
        <v>Saint-Cergue</v>
      </c>
      <c r="C214" s="31">
        <f>'D) Ecrêtage'!C203</f>
        <v>96033.059668733855</v>
      </c>
      <c r="D214" s="14">
        <f>'A) Base RI'!V205</f>
        <v>2603</v>
      </c>
      <c r="E214" s="10">
        <f t="shared" si="9"/>
        <v>1886927.0327523258</v>
      </c>
      <c r="F214" s="14">
        <f>'F) Population'!K206</f>
        <v>689500.95573440637</v>
      </c>
      <c r="G214" s="10">
        <f>'G) Solidarité'!I203</f>
        <v>407725.31769890682</v>
      </c>
      <c r="H214" s="14">
        <f t="shared" si="10"/>
        <v>1097226.2734333132</v>
      </c>
      <c r="I214" s="55">
        <f t="shared" si="11"/>
        <v>789700.75931901252</v>
      </c>
    </row>
    <row r="215" spans="1:9" x14ac:dyDescent="0.25">
      <c r="A215" s="49">
        <f>'A) Base RI'!A206</f>
        <v>5728</v>
      </c>
      <c r="B215" s="32" t="str">
        <f>'A) Base RI'!B206</f>
        <v>Signy-Avenex</v>
      </c>
      <c r="C215" s="31">
        <f>'D) Ecrêtage'!C204</f>
        <v>43425.016490818416</v>
      </c>
      <c r="D215" s="14">
        <f>'A) Base RI'!V206</f>
        <v>586</v>
      </c>
      <c r="E215" s="10">
        <f t="shared" si="9"/>
        <v>853246.14041135798</v>
      </c>
      <c r="F215" s="14">
        <f>'F) Population'!K207</f>
        <v>73618.460764587522</v>
      </c>
      <c r="G215" s="10">
        <f>'G) Solidarité'!I204</f>
        <v>0</v>
      </c>
      <c r="H215" s="14">
        <f t="shared" si="10"/>
        <v>73618.460764587522</v>
      </c>
      <c r="I215" s="55">
        <f t="shared" si="11"/>
        <v>779627.67964677047</v>
      </c>
    </row>
    <row r="216" spans="1:9" x14ac:dyDescent="0.25">
      <c r="A216" s="49">
        <f>'A) Base RI'!A207</f>
        <v>5729</v>
      </c>
      <c r="B216" s="32" t="str">
        <f>'A) Base RI'!B207</f>
        <v>Tannay</v>
      </c>
      <c r="C216" s="31">
        <f>'D) Ecrêtage'!C205</f>
        <v>176785.12407552512</v>
      </c>
      <c r="D216" s="14">
        <f>'A) Base RI'!V207</f>
        <v>1600</v>
      </c>
      <c r="E216" s="10">
        <f t="shared" si="9"/>
        <v>3473602.0153608466</v>
      </c>
      <c r="F216" s="14">
        <f>'F) Population'!K208</f>
        <v>336685.11066398385</v>
      </c>
      <c r="G216" s="10">
        <f>'G) Solidarité'!I205</f>
        <v>0</v>
      </c>
      <c r="H216" s="14">
        <f t="shared" si="10"/>
        <v>336685.11066398385</v>
      </c>
      <c r="I216" s="55">
        <f t="shared" si="11"/>
        <v>3136916.9046968627</v>
      </c>
    </row>
    <row r="217" spans="1:9" x14ac:dyDescent="0.25">
      <c r="A217" s="49">
        <f>'A) Base RI'!A208</f>
        <v>5730</v>
      </c>
      <c r="B217" s="32" t="str">
        <f>'A) Base RI'!B208</f>
        <v>Trélex</v>
      </c>
      <c r="C217" s="31">
        <f>'D) Ecrêtage'!C206</f>
        <v>134389.74453035684</v>
      </c>
      <c r="D217" s="14">
        <f>'A) Base RI'!V208</f>
        <v>1434</v>
      </c>
      <c r="E217" s="10">
        <f t="shared" si="9"/>
        <v>2640586.9265620233</v>
      </c>
      <c r="F217" s="14">
        <f>'F) Population'!K209</f>
        <v>278292.85714285716</v>
      </c>
      <c r="G217" s="10">
        <f>'G) Solidarité'!I206</f>
        <v>0</v>
      </c>
      <c r="H217" s="14">
        <f t="shared" si="10"/>
        <v>278292.85714285716</v>
      </c>
      <c r="I217" s="55">
        <f t="shared" si="11"/>
        <v>2362294.0694191661</v>
      </c>
    </row>
    <row r="218" spans="1:9" x14ac:dyDescent="0.25">
      <c r="A218" s="49">
        <f>'A) Base RI'!A209</f>
        <v>5731</v>
      </c>
      <c r="B218" s="32" t="str">
        <f>'A) Base RI'!B209</f>
        <v>Le Vaud</v>
      </c>
      <c r="C218" s="31">
        <f>'D) Ecrêtage'!C207</f>
        <v>61951.44694342916</v>
      </c>
      <c r="D218" s="14">
        <f>'A) Base RI'!V209</f>
        <v>1362</v>
      </c>
      <c r="E218" s="10">
        <f t="shared" si="9"/>
        <v>1217266.8491342172</v>
      </c>
      <c r="F218" s="14">
        <f>'F) Population'!K210</f>
        <v>252966.09657947684</v>
      </c>
      <c r="G218" s="10">
        <f>'G) Solidarité'!I207</f>
        <v>15576.532984725503</v>
      </c>
      <c r="H218" s="14">
        <f t="shared" si="10"/>
        <v>268542.62956420233</v>
      </c>
      <c r="I218" s="55">
        <f t="shared" si="11"/>
        <v>948724.21957001486</v>
      </c>
    </row>
    <row r="219" spans="1:9" x14ac:dyDescent="0.25">
      <c r="A219" s="49">
        <f>'A) Base RI'!A210</f>
        <v>5732</v>
      </c>
      <c r="B219" s="32" t="str">
        <f>'A) Base RI'!B210</f>
        <v>Vich</v>
      </c>
      <c r="C219" s="31">
        <f>'D) Ecrêtage'!C208</f>
        <v>62590.343939393941</v>
      </c>
      <c r="D219" s="14">
        <f>'A) Base RI'!V210</f>
        <v>1083</v>
      </c>
      <c r="E219" s="10">
        <f t="shared" si="9"/>
        <v>1229820.3595293744</v>
      </c>
      <c r="F219" s="14">
        <f>'F) Population'!K211</f>
        <v>154824.89939637826</v>
      </c>
      <c r="G219" s="10">
        <f>'G) Solidarité'!I208</f>
        <v>0</v>
      </c>
      <c r="H219" s="14">
        <f t="shared" si="10"/>
        <v>154824.89939637826</v>
      </c>
      <c r="I219" s="55">
        <f t="shared" si="11"/>
        <v>1074995.4601329961</v>
      </c>
    </row>
    <row r="220" spans="1:9" x14ac:dyDescent="0.25">
      <c r="A220" s="49">
        <f>'A) Base RI'!A211</f>
        <v>5741</v>
      </c>
      <c r="B220" s="32" t="str">
        <f>'A) Base RI'!B211</f>
        <v>L'Abergement</v>
      </c>
      <c r="C220" s="31">
        <f>'D) Ecrêtage'!C209</f>
        <v>7136.3252688010616</v>
      </c>
      <c r="D220" s="14">
        <f>'A) Base RI'!V211</f>
        <v>244</v>
      </c>
      <c r="E220" s="10">
        <f t="shared" si="9"/>
        <v>140219.68174985016</v>
      </c>
      <c r="F220" s="14">
        <f>'F) Population'!K212</f>
        <v>30653.420523138833</v>
      </c>
      <c r="G220" s="10">
        <f>'G) Solidarité'!I209</f>
        <v>105894.78273316522</v>
      </c>
      <c r="H220" s="14">
        <f t="shared" si="10"/>
        <v>136548.20325630406</v>
      </c>
      <c r="I220" s="55">
        <f t="shared" si="11"/>
        <v>3671.4784935461066</v>
      </c>
    </row>
    <row r="221" spans="1:9" x14ac:dyDescent="0.25">
      <c r="A221" s="49">
        <f>'A) Base RI'!A212</f>
        <v>5742</v>
      </c>
      <c r="B221" s="32" t="str">
        <f>'A) Base RI'!B212</f>
        <v>Agiez</v>
      </c>
      <c r="C221" s="31">
        <f>'D) Ecrêtage'!C210</f>
        <v>9012.3275646255879</v>
      </c>
      <c r="D221" s="14">
        <f>'A) Base RI'!V212</f>
        <v>354</v>
      </c>
      <c r="E221" s="10">
        <f t="shared" si="9"/>
        <v>177080.73207676405</v>
      </c>
      <c r="F221" s="14">
        <f>'F) Population'!K213</f>
        <v>44472.585513078469</v>
      </c>
      <c r="G221" s="10">
        <f>'G) Solidarité'!I210</f>
        <v>165839.08273430256</v>
      </c>
      <c r="H221" s="14">
        <f t="shared" si="10"/>
        <v>210311.66824738102</v>
      </c>
      <c r="I221" s="55">
        <f t="shared" si="11"/>
        <v>-33230.936170616973</v>
      </c>
    </row>
    <row r="222" spans="1:9" x14ac:dyDescent="0.25">
      <c r="A222" s="49">
        <f>'A) Base RI'!A213</f>
        <v>5743</v>
      </c>
      <c r="B222" s="32" t="str">
        <f>'A) Base RI'!B213</f>
        <v>Arnex-sur-Orbe</v>
      </c>
      <c r="C222" s="31">
        <f>'D) Ecrêtage'!C211</f>
        <v>18985.341168070638</v>
      </c>
      <c r="D222" s="14">
        <f>'A) Base RI'!V213</f>
        <v>633</v>
      </c>
      <c r="E222" s="10">
        <f t="shared" si="9"/>
        <v>373037.71846521262</v>
      </c>
      <c r="F222" s="14">
        <f>'F) Population'!K214</f>
        <v>79523.013078470816</v>
      </c>
      <c r="G222" s="10">
        <f>'G) Solidarité'!I211</f>
        <v>213205.32278581371</v>
      </c>
      <c r="H222" s="14">
        <f t="shared" si="10"/>
        <v>292728.33586428454</v>
      </c>
      <c r="I222" s="55">
        <f t="shared" si="11"/>
        <v>80309.382600928075</v>
      </c>
    </row>
    <row r="223" spans="1:9" x14ac:dyDescent="0.25">
      <c r="A223" s="49">
        <f>'A) Base RI'!A214</f>
        <v>5744</v>
      </c>
      <c r="B223" s="32" t="str">
        <f>'A) Base RI'!B214</f>
        <v>Ballaigues</v>
      </c>
      <c r="C223" s="31">
        <f>'D) Ecrêtage'!C212</f>
        <v>59853.218669078378</v>
      </c>
      <c r="D223" s="14">
        <f>'A) Base RI'!V214</f>
        <v>1108</v>
      </c>
      <c r="E223" s="10">
        <f t="shared" si="9"/>
        <v>1176039.3420089101</v>
      </c>
      <c r="F223" s="14">
        <f>'F) Population'!K215</f>
        <v>163618.9134808853</v>
      </c>
      <c r="G223" s="10">
        <f>'G) Solidarité'!I212</f>
        <v>0</v>
      </c>
      <c r="H223" s="14">
        <f t="shared" si="10"/>
        <v>163618.9134808853</v>
      </c>
      <c r="I223" s="55">
        <f t="shared" si="11"/>
        <v>1012420.4285280248</v>
      </c>
    </row>
    <row r="224" spans="1:9" x14ac:dyDescent="0.25">
      <c r="A224" s="49">
        <f>'A) Base RI'!A215</f>
        <v>5745</v>
      </c>
      <c r="B224" s="32" t="str">
        <f>'A) Base RI'!B215</f>
        <v>Baulmes</v>
      </c>
      <c r="C224" s="31">
        <f>'D) Ecrêtage'!C213</f>
        <v>27688.42729631942</v>
      </c>
      <c r="D224" s="14">
        <f>'A) Base RI'!V215</f>
        <v>1042</v>
      </c>
      <c r="E224" s="10">
        <f t="shared" si="9"/>
        <v>544042.25107525766</v>
      </c>
      <c r="F224" s="14">
        <f>'F) Population'!K216</f>
        <v>140402.71629778671</v>
      </c>
      <c r="G224" s="10">
        <f>'G) Solidarité'!I213</f>
        <v>486297.98753917636</v>
      </c>
      <c r="H224" s="14">
        <f t="shared" si="10"/>
        <v>626700.70383696305</v>
      </c>
      <c r="I224" s="55">
        <f t="shared" si="11"/>
        <v>-82658.452761705383</v>
      </c>
    </row>
    <row r="225" spans="1:9" x14ac:dyDescent="0.25">
      <c r="A225" s="49">
        <f>'A) Base RI'!A216</f>
        <v>5746</v>
      </c>
      <c r="B225" s="32" t="str">
        <f>'A) Base RI'!B216</f>
        <v>Bavois</v>
      </c>
      <c r="C225" s="31">
        <f>'D) Ecrêtage'!C214</f>
        <v>26210.064905994277</v>
      </c>
      <c r="D225" s="14">
        <f>'A) Base RI'!V216</f>
        <v>952</v>
      </c>
      <c r="E225" s="10">
        <f t="shared" si="9"/>
        <v>514994.31728941918</v>
      </c>
      <c r="F225" s="14">
        <f>'F) Population'!K217</f>
        <v>119598.59154929577</v>
      </c>
      <c r="G225" s="10">
        <f>'G) Solidarité'!I214</f>
        <v>369946.71718107892</v>
      </c>
      <c r="H225" s="14">
        <f t="shared" si="10"/>
        <v>489545.30873037467</v>
      </c>
      <c r="I225" s="55">
        <f t="shared" si="11"/>
        <v>25449.008559044509</v>
      </c>
    </row>
    <row r="226" spans="1:9" x14ac:dyDescent="0.25">
      <c r="A226" s="49">
        <f>'A) Base RI'!A217</f>
        <v>5747</v>
      </c>
      <c r="B226" s="32" t="str">
        <f>'A) Base RI'!B217</f>
        <v>Bofflens</v>
      </c>
      <c r="C226" s="31">
        <f>'D) Ecrêtage'!C215</f>
        <v>5918.808029883834</v>
      </c>
      <c r="D226" s="14">
        <f>'A) Base RI'!V217</f>
        <v>194</v>
      </c>
      <c r="E226" s="10">
        <f t="shared" si="9"/>
        <v>116297.02221073251</v>
      </c>
      <c r="F226" s="14">
        <f>'F) Population'!K218</f>
        <v>24371.981891348089</v>
      </c>
      <c r="G226" s="10">
        <f>'G) Solidarité'!I215</f>
        <v>56493.675846512255</v>
      </c>
      <c r="H226" s="14">
        <f t="shared" si="10"/>
        <v>80865.65773786034</v>
      </c>
      <c r="I226" s="55">
        <f t="shared" si="11"/>
        <v>35431.36447287217</v>
      </c>
    </row>
    <row r="227" spans="1:9" x14ac:dyDescent="0.25">
      <c r="A227" s="49">
        <f>'A) Base RI'!A218</f>
        <v>5748</v>
      </c>
      <c r="B227" s="32" t="str">
        <f>'A) Base RI'!B218</f>
        <v>Bretonnières</v>
      </c>
      <c r="C227" s="31">
        <f>'D) Ecrêtage'!C216</f>
        <v>7309.8392085479882</v>
      </c>
      <c r="D227" s="14">
        <f>'A) Base RI'!V218</f>
        <v>269</v>
      </c>
      <c r="E227" s="10">
        <f t="shared" si="9"/>
        <v>143629.00916894132</v>
      </c>
      <c r="F227" s="14">
        <f>'F) Population'!K219</f>
        <v>33794.1398390342</v>
      </c>
      <c r="G227" s="10">
        <f>'G) Solidarité'!I216</f>
        <v>103657.08770359894</v>
      </c>
      <c r="H227" s="14">
        <f t="shared" si="10"/>
        <v>137451.22754263313</v>
      </c>
      <c r="I227" s="55">
        <f t="shared" si="11"/>
        <v>6177.7816263081913</v>
      </c>
    </row>
    <row r="228" spans="1:9" x14ac:dyDescent="0.25">
      <c r="A228" s="49">
        <f>'A) Base RI'!A219</f>
        <v>5749</v>
      </c>
      <c r="B228" s="32" t="str">
        <f>'A) Base RI'!B219</f>
        <v>Chavornay</v>
      </c>
      <c r="C228" s="31">
        <f>'D) Ecrêtage'!C217</f>
        <v>132437.33386463847</v>
      </c>
      <c r="D228" s="14">
        <f>'A) Base RI'!V219</f>
        <v>5135</v>
      </c>
      <c r="E228" s="10">
        <f t="shared" si="9"/>
        <v>2602224.5493047941</v>
      </c>
      <c r="F228" s="14">
        <f>'F) Population'!K220</f>
        <v>1915587.5251509054</v>
      </c>
      <c r="G228" s="10">
        <f>'G) Solidarité'!I217</f>
        <v>2124093.1907513007</v>
      </c>
      <c r="H228" s="14">
        <f t="shared" si="10"/>
        <v>4039680.715902206</v>
      </c>
      <c r="I228" s="55">
        <f t="shared" si="11"/>
        <v>-1437456.166597412</v>
      </c>
    </row>
    <row r="229" spans="1:9" x14ac:dyDescent="0.25">
      <c r="A229" s="49">
        <f>'A) Base RI'!A220</f>
        <v>5750</v>
      </c>
      <c r="B229" s="32" t="str">
        <f>'A) Base RI'!B220</f>
        <v>Les Clées</v>
      </c>
      <c r="C229" s="31">
        <f>'D) Ecrêtage'!C218</f>
        <v>5045.6080220470376</v>
      </c>
      <c r="D229" s="14">
        <f>'A) Base RI'!V220</f>
        <v>185</v>
      </c>
      <c r="E229" s="10">
        <f t="shared" si="9"/>
        <v>99139.756728716064</v>
      </c>
      <c r="F229" s="14">
        <f>'F) Population'!K221</f>
        <v>23241.322937625755</v>
      </c>
      <c r="G229" s="10">
        <f>'G) Solidarité'!I218</f>
        <v>87545.45287053581</v>
      </c>
      <c r="H229" s="14">
        <f t="shared" si="10"/>
        <v>110786.77580816156</v>
      </c>
      <c r="I229" s="55">
        <f t="shared" si="11"/>
        <v>-11647.019079445497</v>
      </c>
    </row>
    <row r="230" spans="1:9" x14ac:dyDescent="0.25">
      <c r="A230" s="49">
        <f>'A) Base RI'!A221</f>
        <v>5752</v>
      </c>
      <c r="B230" s="32" t="str">
        <f>'A) Base RI'!B221</f>
        <v>Croy</v>
      </c>
      <c r="C230" s="31">
        <f>'D) Ecrêtage'!C219</f>
        <v>9708.3693774468666</v>
      </c>
      <c r="D230" s="14">
        <f>'A) Base RI'!V221</f>
        <v>403</v>
      </c>
      <c r="E230" s="10">
        <f t="shared" si="9"/>
        <v>190757.0651756876</v>
      </c>
      <c r="F230" s="14">
        <f>'F) Population'!K222</f>
        <v>50628.395372233397</v>
      </c>
      <c r="G230" s="10">
        <f>'G) Solidarité'!I219</f>
        <v>190910.84381958441</v>
      </c>
      <c r="H230" s="14">
        <f t="shared" si="10"/>
        <v>241539.23919181782</v>
      </c>
      <c r="I230" s="55">
        <f t="shared" si="11"/>
        <v>-50782.174016130215</v>
      </c>
    </row>
    <row r="231" spans="1:9" x14ac:dyDescent="0.25">
      <c r="A231" s="49">
        <f>'A) Base RI'!A222</f>
        <v>5754</v>
      </c>
      <c r="B231" s="32" t="str">
        <f>'A) Base RI'!B222</f>
        <v>Juriens</v>
      </c>
      <c r="C231" s="31">
        <f>'D) Ecrêtage'!C220</f>
        <v>9236.0554663405946</v>
      </c>
      <c r="D231" s="14">
        <f>'A) Base RI'!V222</f>
        <v>328</v>
      </c>
      <c r="E231" s="10">
        <f t="shared" si="9"/>
        <v>181476.69974855581</v>
      </c>
      <c r="F231" s="14">
        <f>'F) Population'!K223</f>
        <v>41206.237424547282</v>
      </c>
      <c r="G231" s="10">
        <f>'G) Solidarité'!I220</f>
        <v>144205.44296113978</v>
      </c>
      <c r="H231" s="14">
        <f t="shared" si="10"/>
        <v>185411.68038568707</v>
      </c>
      <c r="I231" s="55">
        <f t="shared" si="11"/>
        <v>-3934.9806371312588</v>
      </c>
    </row>
    <row r="232" spans="1:9" x14ac:dyDescent="0.25">
      <c r="A232" s="49">
        <f>'A) Base RI'!A223</f>
        <v>5755</v>
      </c>
      <c r="B232" s="32" t="str">
        <f>'A) Base RI'!B223</f>
        <v>Lignerolle</v>
      </c>
      <c r="C232" s="31">
        <f>'D) Ecrêtage'!C221</f>
        <v>9814.7983020645443</v>
      </c>
      <c r="D232" s="14">
        <f>'A) Base RI'!V223</f>
        <v>437</v>
      </c>
      <c r="E232" s="10">
        <f t="shared" si="9"/>
        <v>192848.25768398211</v>
      </c>
      <c r="F232" s="14">
        <f>'F) Population'!K224</f>
        <v>54899.773641851105</v>
      </c>
      <c r="G232" s="10">
        <f>'G) Solidarité'!I221</f>
        <v>259956.71889798439</v>
      </c>
      <c r="H232" s="14">
        <f t="shared" si="10"/>
        <v>314856.49253983551</v>
      </c>
      <c r="I232" s="55">
        <f t="shared" si="11"/>
        <v>-122008.2348558534</v>
      </c>
    </row>
    <row r="233" spans="1:9" x14ac:dyDescent="0.25">
      <c r="A233" s="49">
        <f>'A) Base RI'!A224</f>
        <v>5756</v>
      </c>
      <c r="B233" s="32" t="str">
        <f>'A) Base RI'!B224</f>
        <v>Montcherand</v>
      </c>
      <c r="C233" s="31">
        <f>'D) Ecrêtage'!C222</f>
        <v>16245.150277777775</v>
      </c>
      <c r="D233" s="14">
        <f>'A) Base RI'!V224</f>
        <v>505</v>
      </c>
      <c r="E233" s="10">
        <f t="shared" si="9"/>
        <v>319196.46542557137</v>
      </c>
      <c r="F233" s="14">
        <f>'F) Population'!K225</f>
        <v>63442.530181086513</v>
      </c>
      <c r="G233" s="10">
        <f>'G) Solidarité'!I222</f>
        <v>142972.81294119204</v>
      </c>
      <c r="H233" s="14">
        <f t="shared" si="10"/>
        <v>206415.34312227854</v>
      </c>
      <c r="I233" s="55">
        <f t="shared" si="11"/>
        <v>112781.12230329282</v>
      </c>
    </row>
    <row r="234" spans="1:9" x14ac:dyDescent="0.25">
      <c r="A234" s="49">
        <f>'A) Base RI'!A225</f>
        <v>5757</v>
      </c>
      <c r="B234" s="32" t="str">
        <f>'A) Base RI'!B225</f>
        <v>Orbe</v>
      </c>
      <c r="C234" s="31">
        <f>'D) Ecrêtage'!C223</f>
        <v>201366.36924156587</v>
      </c>
      <c r="D234" s="14">
        <f>'A) Base RI'!V225</f>
        <v>7030</v>
      </c>
      <c r="E234" s="10">
        <f t="shared" si="9"/>
        <v>3956592.1040085792</v>
      </c>
      <c r="F234" s="14">
        <f>'F) Population'!K226</f>
        <v>3058306.8410462774</v>
      </c>
      <c r="G234" s="10">
        <f>'G) Solidarité'!I223</f>
        <v>2856389.7678939956</v>
      </c>
      <c r="H234" s="14">
        <f t="shared" si="10"/>
        <v>5914696.6089402735</v>
      </c>
      <c r="I234" s="55">
        <f t="shared" si="11"/>
        <v>-1958104.5049316944</v>
      </c>
    </row>
    <row r="235" spans="1:9" x14ac:dyDescent="0.25">
      <c r="A235" s="49">
        <f>'A) Base RI'!A226</f>
        <v>5758</v>
      </c>
      <c r="B235" s="32" t="str">
        <f>'A) Base RI'!B226</f>
        <v>La Praz</v>
      </c>
      <c r="C235" s="31">
        <f>'D) Ecrêtage'!C224</f>
        <v>4518.3622106026551</v>
      </c>
      <c r="D235" s="14">
        <f>'A) Base RI'!V226</f>
        <v>165</v>
      </c>
      <c r="E235" s="10">
        <f t="shared" si="9"/>
        <v>88780.049582534717</v>
      </c>
      <c r="F235" s="14">
        <f>'F) Population'!K227</f>
        <v>20728.747484909454</v>
      </c>
      <c r="G235" s="10">
        <f>'G) Solidarité'!I224</f>
        <v>83551.232869941843</v>
      </c>
      <c r="H235" s="14">
        <f t="shared" si="10"/>
        <v>104279.9803548513</v>
      </c>
      <c r="I235" s="55">
        <f t="shared" si="11"/>
        <v>-15499.930772316584</v>
      </c>
    </row>
    <row r="236" spans="1:9" x14ac:dyDescent="0.25">
      <c r="A236" s="49">
        <f>'A) Base RI'!A227</f>
        <v>5759</v>
      </c>
      <c r="B236" s="32" t="str">
        <f>'A) Base RI'!B227</f>
        <v>Premier</v>
      </c>
      <c r="C236" s="31">
        <f>'D) Ecrêtage'!C225</f>
        <v>5274.1329854177848</v>
      </c>
      <c r="D236" s="14">
        <f>'A) Base RI'!V227</f>
        <v>215</v>
      </c>
      <c r="E236" s="10">
        <f t="shared" si="9"/>
        <v>103629.98053841719</v>
      </c>
      <c r="F236" s="14">
        <f>'F) Population'!K228</f>
        <v>27010.186116700199</v>
      </c>
      <c r="G236" s="10">
        <f>'G) Solidarité'!I225</f>
        <v>119577.14665542291</v>
      </c>
      <c r="H236" s="14">
        <f t="shared" si="10"/>
        <v>146587.3327721231</v>
      </c>
      <c r="I236" s="55">
        <f t="shared" si="11"/>
        <v>-42957.352233705911</v>
      </c>
    </row>
    <row r="237" spans="1:9" x14ac:dyDescent="0.25">
      <c r="A237" s="49">
        <f>'A) Base RI'!A228</f>
        <v>5760</v>
      </c>
      <c r="B237" s="32" t="str">
        <f>'A) Base RI'!B228</f>
        <v>Rances</v>
      </c>
      <c r="C237" s="31">
        <f>'D) Ecrêtage'!C226</f>
        <v>12374.249316544765</v>
      </c>
      <c r="D237" s="14">
        <f>'A) Base RI'!V228</f>
        <v>505</v>
      </c>
      <c r="E237" s="10">
        <f t="shared" si="9"/>
        <v>243138.20288501444</v>
      </c>
      <c r="F237" s="14">
        <f>'F) Population'!K229</f>
        <v>63442.530181086513</v>
      </c>
      <c r="G237" s="10">
        <f>'G) Solidarité'!I226</f>
        <v>260779.77792696955</v>
      </c>
      <c r="H237" s="14">
        <f t="shared" si="10"/>
        <v>324222.30810805608</v>
      </c>
      <c r="I237" s="55">
        <f t="shared" si="11"/>
        <v>-81084.105223041639</v>
      </c>
    </row>
    <row r="238" spans="1:9" x14ac:dyDescent="0.25">
      <c r="A238" s="49">
        <f>'A) Base RI'!A229</f>
        <v>5761</v>
      </c>
      <c r="B238" s="32" t="str">
        <f>'A) Base RI'!B229</f>
        <v>Romainmôtier-Envy</v>
      </c>
      <c r="C238" s="31">
        <f>'D) Ecrêtage'!C227</f>
        <v>12292.452150942587</v>
      </c>
      <c r="D238" s="14">
        <f>'A) Base RI'!V229</f>
        <v>535</v>
      </c>
      <c r="E238" s="10">
        <f t="shared" si="9"/>
        <v>241530.99299802672</v>
      </c>
      <c r="F238" s="14">
        <f>'F) Population'!K230</f>
        <v>67211.393360160961</v>
      </c>
      <c r="G238" s="10">
        <f>'G) Solidarité'!I227</f>
        <v>319093.79288005881</v>
      </c>
      <c r="H238" s="14">
        <f t="shared" si="10"/>
        <v>386305.18624021974</v>
      </c>
      <c r="I238" s="55">
        <f t="shared" si="11"/>
        <v>-144774.19324219303</v>
      </c>
    </row>
    <row r="239" spans="1:9" x14ac:dyDescent="0.25">
      <c r="A239" s="49">
        <f>'A) Base RI'!A230</f>
        <v>5762</v>
      </c>
      <c r="B239" s="32" t="str">
        <f>'A) Base RI'!B230</f>
        <v>Sergey</v>
      </c>
      <c r="C239" s="31">
        <f>'D) Ecrêtage'!C228</f>
        <v>3995.7603289795202</v>
      </c>
      <c r="D239" s="14">
        <f>'A) Base RI'!V230</f>
        <v>145</v>
      </c>
      <c r="E239" s="10">
        <f t="shared" si="9"/>
        <v>78511.589729193409</v>
      </c>
      <c r="F239" s="14">
        <f>'F) Population'!K231</f>
        <v>18216.172032193157</v>
      </c>
      <c r="G239" s="10">
        <f>'G) Solidarité'!I228</f>
        <v>64241.598166586358</v>
      </c>
      <c r="H239" s="14">
        <f t="shared" si="10"/>
        <v>82457.770198779515</v>
      </c>
      <c r="I239" s="55">
        <f t="shared" si="11"/>
        <v>-3946.1804695861065</v>
      </c>
    </row>
    <row r="240" spans="1:9" x14ac:dyDescent="0.25">
      <c r="A240" s="49">
        <f>'A) Base RI'!A231</f>
        <v>5763</v>
      </c>
      <c r="B240" s="32" t="str">
        <f>'A) Base RI'!B231</f>
        <v>Valeyres-sous-Rances</v>
      </c>
      <c r="C240" s="31">
        <f>'D) Ecrêtage'!C229</f>
        <v>21943.401480636676</v>
      </c>
      <c r="D240" s="14">
        <f>'A) Base RI'!V231</f>
        <v>620</v>
      </c>
      <c r="E240" s="10">
        <f t="shared" si="9"/>
        <v>431159.82753417845</v>
      </c>
      <c r="F240" s="14">
        <f>'F) Population'!K232</f>
        <v>77889.83903420523</v>
      </c>
      <c r="G240" s="10">
        <f>'G) Solidarité'!I229</f>
        <v>120075.98197155689</v>
      </c>
      <c r="H240" s="14">
        <f t="shared" si="10"/>
        <v>197965.82100576212</v>
      </c>
      <c r="I240" s="55">
        <f t="shared" si="11"/>
        <v>233194.00652841633</v>
      </c>
    </row>
    <row r="241" spans="1:9" x14ac:dyDescent="0.25">
      <c r="A241" s="49">
        <f>'A) Base RI'!A232</f>
        <v>5764</v>
      </c>
      <c r="B241" s="32" t="str">
        <f>'A) Base RI'!B232</f>
        <v>Vallorbe</v>
      </c>
      <c r="C241" s="31">
        <f>'D) Ecrêtage'!C230</f>
        <v>87589.078285934462</v>
      </c>
      <c r="D241" s="14">
        <f>'A) Base RI'!V232</f>
        <v>3857</v>
      </c>
      <c r="E241" s="10">
        <f t="shared" si="9"/>
        <v>1721013.5776336088</v>
      </c>
      <c r="F241" s="14">
        <f>'F) Population'!K233</f>
        <v>1259805.3319919517</v>
      </c>
      <c r="G241" s="10">
        <f>'G) Solidarité'!I230</f>
        <v>1890188.7704031537</v>
      </c>
      <c r="H241" s="14">
        <f t="shared" si="10"/>
        <v>3149994.1023951052</v>
      </c>
      <c r="I241" s="55">
        <f t="shared" si="11"/>
        <v>-1428980.5247614963</v>
      </c>
    </row>
    <row r="242" spans="1:9" x14ac:dyDescent="0.25">
      <c r="A242" s="49">
        <f>'A) Base RI'!A233</f>
        <v>5765</v>
      </c>
      <c r="B242" s="32" t="str">
        <f>'A) Base RI'!B233</f>
        <v>Vaulion</v>
      </c>
      <c r="C242" s="31">
        <f>'D) Ecrêtage'!C231</f>
        <v>11954.157309155948</v>
      </c>
      <c r="D242" s="14">
        <f>'A) Base RI'!V233</f>
        <v>496</v>
      </c>
      <c r="E242" s="10">
        <f t="shared" si="9"/>
        <v>234883.93120274678</v>
      </c>
      <c r="F242" s="14">
        <f>'F) Population'!K234</f>
        <v>62311.87122736418</v>
      </c>
      <c r="G242" s="10">
        <f>'G) Solidarité'!I231</f>
        <v>281383.20645380515</v>
      </c>
      <c r="H242" s="14">
        <f t="shared" si="10"/>
        <v>343695.07768116932</v>
      </c>
      <c r="I242" s="55">
        <f t="shared" si="11"/>
        <v>-108811.14647842254</v>
      </c>
    </row>
    <row r="243" spans="1:9" x14ac:dyDescent="0.25">
      <c r="A243" s="49">
        <f>'A) Base RI'!A234</f>
        <v>5766</v>
      </c>
      <c r="B243" s="32" t="str">
        <f>'A) Base RI'!B234</f>
        <v>Vuiteboeuf</v>
      </c>
      <c r="C243" s="31">
        <f>'D) Ecrêtage'!C232</f>
        <v>13945.258329251963</v>
      </c>
      <c r="D243" s="14">
        <f>'A) Base RI'!V234</f>
        <v>576</v>
      </c>
      <c r="E243" s="10">
        <f t="shared" si="9"/>
        <v>274006.52453383396</v>
      </c>
      <c r="F243" s="14">
        <f>'F) Population'!K235</f>
        <v>72362.173038229375</v>
      </c>
      <c r="G243" s="10">
        <f>'G) Solidarité'!I232</f>
        <v>293816.05759230128</v>
      </c>
      <c r="H243" s="14">
        <f t="shared" si="10"/>
        <v>366178.23063053063</v>
      </c>
      <c r="I243" s="55">
        <f t="shared" si="11"/>
        <v>-92171.706096696667</v>
      </c>
    </row>
    <row r="244" spans="1:9" x14ac:dyDescent="0.25">
      <c r="A244" s="49">
        <f>'A) Base RI'!A235</f>
        <v>5785</v>
      </c>
      <c r="B244" s="32" t="str">
        <f>'A) Base RI'!B235</f>
        <v>Corcelles-le-Jorat</v>
      </c>
      <c r="C244" s="31">
        <f>'D) Ecrêtage'!C233</f>
        <v>16950.059611084645</v>
      </c>
      <c r="D244" s="14">
        <f>'A) Base RI'!V235</f>
        <v>458</v>
      </c>
      <c r="E244" s="10">
        <f t="shared" si="9"/>
        <v>333047.03398232022</v>
      </c>
      <c r="F244" s="14">
        <f>'F) Population'!K236</f>
        <v>57537.977867203219</v>
      </c>
      <c r="G244" s="10">
        <f>'G) Solidarité'!I233</f>
        <v>96405.721068916639</v>
      </c>
      <c r="H244" s="14">
        <f t="shared" si="10"/>
        <v>153943.69893611985</v>
      </c>
      <c r="I244" s="55">
        <f t="shared" si="11"/>
        <v>179103.33504620037</v>
      </c>
    </row>
    <row r="245" spans="1:9" x14ac:dyDescent="0.25">
      <c r="A245" s="49">
        <f>'A) Base RI'!A236</f>
        <v>5788</v>
      </c>
      <c r="B245" s="32" t="str">
        <f>'A) Base RI'!B236</f>
        <v>Essertes</v>
      </c>
      <c r="C245" s="31">
        <f>'D) Ecrêtage'!C234</f>
        <v>12357.652912226366</v>
      </c>
      <c r="D245" s="14">
        <f>'A) Base RI'!V236</f>
        <v>380</v>
      </c>
      <c r="E245" s="10">
        <f t="shared" si="9"/>
        <v>242812.10472607936</v>
      </c>
      <c r="F245" s="14">
        <f>'F) Population'!K237</f>
        <v>47738.933601609657</v>
      </c>
      <c r="G245" s="10">
        <f>'G) Solidarité'!I234</f>
        <v>104849.38256053907</v>
      </c>
      <c r="H245" s="14">
        <f t="shared" si="10"/>
        <v>152588.31616214872</v>
      </c>
      <c r="I245" s="55">
        <f t="shared" si="11"/>
        <v>90223.788563930633</v>
      </c>
    </row>
    <row r="246" spans="1:9" x14ac:dyDescent="0.25">
      <c r="A246" s="49">
        <f>'A) Base RI'!A237</f>
        <v>5790</v>
      </c>
      <c r="B246" s="32" t="str">
        <f>'A) Base RI'!B237</f>
        <v>Maracon</v>
      </c>
      <c r="C246" s="31">
        <f>'D) Ecrêtage'!C235</f>
        <v>14432.201593410035</v>
      </c>
      <c r="D246" s="14">
        <f>'A) Base RI'!V237</f>
        <v>538</v>
      </c>
      <c r="E246" s="10">
        <f t="shared" si="9"/>
        <v>283574.33807352552</v>
      </c>
      <c r="F246" s="14">
        <f>'F) Population'!K238</f>
        <v>67588.2796780684</v>
      </c>
      <c r="G246" s="10">
        <f>'G) Solidarité'!I235</f>
        <v>235264.45095329569</v>
      </c>
      <c r="H246" s="14">
        <f t="shared" si="10"/>
        <v>302852.7306313641</v>
      </c>
      <c r="I246" s="55">
        <f t="shared" si="11"/>
        <v>-19278.392557838582</v>
      </c>
    </row>
    <row r="247" spans="1:9" x14ac:dyDescent="0.25">
      <c r="A247" s="49">
        <f>'A) Base RI'!A238</f>
        <v>5792</v>
      </c>
      <c r="B247" s="32" t="str">
        <f>'A) Base RI'!B238</f>
        <v>Montpreveyres</v>
      </c>
      <c r="C247" s="31">
        <f>'D) Ecrêtage'!C236</f>
        <v>20198.938593400278</v>
      </c>
      <c r="D247" s="14">
        <f>'A) Base RI'!V238</f>
        <v>657</v>
      </c>
      <c r="E247" s="10">
        <f t="shared" si="9"/>
        <v>396883.3586711206</v>
      </c>
      <c r="F247" s="14">
        <f>'F) Population'!K239</f>
        <v>82538.103621730377</v>
      </c>
      <c r="G247" s="10">
        <f>'G) Solidarité'!I236</f>
        <v>234645.12012623411</v>
      </c>
      <c r="H247" s="14">
        <f t="shared" si="10"/>
        <v>317183.22374796448</v>
      </c>
      <c r="I247" s="55">
        <f t="shared" si="11"/>
        <v>79700.134923156118</v>
      </c>
    </row>
    <row r="248" spans="1:9" x14ac:dyDescent="0.25">
      <c r="A248" s="49">
        <f>'A) Base RI'!A239</f>
        <v>5798</v>
      </c>
      <c r="B248" s="32" t="str">
        <f>'A) Base RI'!B239</f>
        <v>Ropraz</v>
      </c>
      <c r="C248" s="31">
        <f>'D) Ecrêtage'!C237</f>
        <v>14359.812261053485</v>
      </c>
      <c r="D248" s="14">
        <f>'A) Base RI'!V239</f>
        <v>488</v>
      </c>
      <c r="E248" s="10">
        <f t="shared" si="9"/>
        <v>282151.98010036873</v>
      </c>
      <c r="F248" s="14">
        <f>'F) Population'!K240</f>
        <v>61306.841046277666</v>
      </c>
      <c r="G248" s="10">
        <f>'G) Solidarité'!I237</f>
        <v>191815.1860880132</v>
      </c>
      <c r="H248" s="14">
        <f t="shared" si="10"/>
        <v>253122.02713429087</v>
      </c>
      <c r="I248" s="55">
        <f t="shared" si="11"/>
        <v>29029.952966077864</v>
      </c>
    </row>
    <row r="249" spans="1:9" x14ac:dyDescent="0.25">
      <c r="A249" s="49">
        <f>'A) Base RI'!A240</f>
        <v>5799</v>
      </c>
      <c r="B249" s="32" t="str">
        <f>'A) Base RI'!B240</f>
        <v>Servion</v>
      </c>
      <c r="C249" s="31">
        <f>'D) Ecrêtage'!C238</f>
        <v>70991.881594202918</v>
      </c>
      <c r="D249" s="14">
        <f>'A) Base RI'!V240</f>
        <v>1997</v>
      </c>
      <c r="E249" s="10">
        <f t="shared" si="9"/>
        <v>1394899.8495740618</v>
      </c>
      <c r="F249" s="14">
        <f>'F) Population'!K241</f>
        <v>476334.05432595569</v>
      </c>
      <c r="G249" s="10">
        <f>'G) Solidarité'!I238</f>
        <v>392338.06440046872</v>
      </c>
      <c r="H249" s="14">
        <f t="shared" si="10"/>
        <v>868672.11872642441</v>
      </c>
      <c r="I249" s="55">
        <f t="shared" si="11"/>
        <v>526227.7308476374</v>
      </c>
    </row>
    <row r="250" spans="1:9" x14ac:dyDescent="0.25">
      <c r="A250" s="49">
        <f>'A) Base RI'!A241</f>
        <v>5803</v>
      </c>
      <c r="B250" s="32" t="str">
        <f>'A) Base RI'!B241</f>
        <v>Vulliens</v>
      </c>
      <c r="C250" s="31">
        <f>'D) Ecrêtage'!C239</f>
        <v>17439.644358974365</v>
      </c>
      <c r="D250" s="14">
        <f>'A) Base RI'!V241</f>
        <v>614</v>
      </c>
      <c r="E250" s="10">
        <f t="shared" si="9"/>
        <v>342666.74930538744</v>
      </c>
      <c r="F250" s="14">
        <f>'F) Population'!K242</f>
        <v>77136.066398390336</v>
      </c>
      <c r="G250" s="10">
        <f>'G) Solidarité'!I239</f>
        <v>259546.71945215968</v>
      </c>
      <c r="H250" s="14">
        <f t="shared" si="10"/>
        <v>336682.78585055005</v>
      </c>
      <c r="I250" s="55">
        <f t="shared" si="11"/>
        <v>5983.963454837387</v>
      </c>
    </row>
    <row r="251" spans="1:9" x14ac:dyDescent="0.25">
      <c r="A251" s="49">
        <f>'A) Base RI'!A242</f>
        <v>5804</v>
      </c>
      <c r="B251" s="32" t="str">
        <f>'A) Base RI'!B242</f>
        <v>Jorat-Menthue</v>
      </c>
      <c r="C251" s="31">
        <f>'D) Ecrêtage'!C240</f>
        <v>44226.697072071111</v>
      </c>
      <c r="D251" s="14">
        <f>'A) Base RI'!V242</f>
        <v>1591</v>
      </c>
      <c r="E251" s="10">
        <f t="shared" si="9"/>
        <v>868998.14045817952</v>
      </c>
      <c r="F251" s="14">
        <f>'F) Population'!K243</f>
        <v>333519.26559356134</v>
      </c>
      <c r="G251" s="10">
        <f>'G) Solidarité'!I240</f>
        <v>592761.62982655654</v>
      </c>
      <c r="H251" s="14">
        <f t="shared" si="10"/>
        <v>926280.89542011789</v>
      </c>
      <c r="I251" s="55">
        <f t="shared" si="11"/>
        <v>-57282.754961938364</v>
      </c>
    </row>
    <row r="252" spans="1:9" x14ac:dyDescent="0.25">
      <c r="A252" s="49">
        <f>'A) Base RI'!A243</f>
        <v>5805</v>
      </c>
      <c r="B252" s="32" t="str">
        <f>'A) Base RI'!B243</f>
        <v>Oron</v>
      </c>
      <c r="C252" s="31">
        <f>'D) Ecrêtage'!C241</f>
        <v>157769.23671351318</v>
      </c>
      <c r="D252" s="14">
        <f>'A) Base RI'!V243</f>
        <v>5669</v>
      </c>
      <c r="E252" s="10">
        <f t="shared" si="9"/>
        <v>3099964.1031780294</v>
      </c>
      <c r="F252" s="14">
        <f>'F) Population'!K244</f>
        <v>2237599.195171026</v>
      </c>
      <c r="G252" s="10">
        <f>'G) Solidarité'!I241</f>
        <v>1936343.9429045615</v>
      </c>
      <c r="H252" s="14">
        <f t="shared" si="10"/>
        <v>4173943.1380755873</v>
      </c>
      <c r="I252" s="55">
        <f t="shared" si="11"/>
        <v>-1073979.0348975579</v>
      </c>
    </row>
    <row r="253" spans="1:9" x14ac:dyDescent="0.25">
      <c r="A253" s="49">
        <f>'A) Base RI'!A244</f>
        <v>5806</v>
      </c>
      <c r="B253" s="32" t="str">
        <f>'A) Base RI'!B244</f>
        <v>Jorat-Mézières</v>
      </c>
      <c r="C253" s="31">
        <f>'D) Ecrêtage'!C242</f>
        <v>91829.883122314393</v>
      </c>
      <c r="D253" s="14">
        <f>'A) Base RI'!V244</f>
        <v>2949</v>
      </c>
      <c r="E253" s="10">
        <f t="shared" si="9"/>
        <v>1804339.9791248797</v>
      </c>
      <c r="F253" s="14">
        <f>'F) Population'!K245</f>
        <v>811210.11066398385</v>
      </c>
      <c r="G253" s="10">
        <f>'G) Solidarité'!I242</f>
        <v>999471.66474878986</v>
      </c>
      <c r="H253" s="14">
        <f t="shared" si="10"/>
        <v>1810681.7754127737</v>
      </c>
      <c r="I253" s="55">
        <f t="shared" si="11"/>
        <v>-6341.7962878940161</v>
      </c>
    </row>
    <row r="254" spans="1:9" x14ac:dyDescent="0.25">
      <c r="A254" s="49">
        <f>'A) Base RI'!A245</f>
        <v>5812</v>
      </c>
      <c r="B254" s="32" t="str">
        <f>'A) Base RI'!B245</f>
        <v>Champtauroz</v>
      </c>
      <c r="C254" s="31">
        <f>'D) Ecrêtage'!C243</f>
        <v>3710.6575152359092</v>
      </c>
      <c r="D254" s="14">
        <f>'A) Base RI'!V245</f>
        <v>130</v>
      </c>
      <c r="E254" s="10">
        <f t="shared" si="9"/>
        <v>72909.683383375697</v>
      </c>
      <c r="F254" s="14">
        <f>'F) Population'!K246</f>
        <v>16331.740442655935</v>
      </c>
      <c r="G254" s="10">
        <f>'G) Solidarité'!I243</f>
        <v>53126.239713711984</v>
      </c>
      <c r="H254" s="14">
        <f t="shared" si="10"/>
        <v>69457.980156367921</v>
      </c>
      <c r="I254" s="55">
        <f t="shared" si="11"/>
        <v>3451.7032270077761</v>
      </c>
    </row>
    <row r="255" spans="1:9" x14ac:dyDescent="0.25">
      <c r="A255" s="49">
        <f>'A) Base RI'!A246</f>
        <v>5813</v>
      </c>
      <c r="B255" s="32" t="str">
        <f>'A) Base RI'!B246</f>
        <v>Chevroux</v>
      </c>
      <c r="C255" s="31">
        <f>'D) Ecrêtage'!C244</f>
        <v>14709.945528749027</v>
      </c>
      <c r="D255" s="14">
        <f>'A) Base RI'!V246</f>
        <v>492</v>
      </c>
      <c r="E255" s="10">
        <f t="shared" si="9"/>
        <v>289031.65185257187</v>
      </c>
      <c r="F255" s="14">
        <f>'F) Population'!K247</f>
        <v>61809.356136820919</v>
      </c>
      <c r="G255" s="10">
        <f>'G) Solidarité'!I244</f>
        <v>153271.96090664205</v>
      </c>
      <c r="H255" s="14">
        <f t="shared" si="10"/>
        <v>215081.31704346297</v>
      </c>
      <c r="I255" s="55">
        <f t="shared" si="11"/>
        <v>73950.334809108899</v>
      </c>
    </row>
    <row r="256" spans="1:9" x14ac:dyDescent="0.25">
      <c r="A256" s="49">
        <f>'A) Base RI'!A247</f>
        <v>5816</v>
      </c>
      <c r="B256" s="32" t="str">
        <f>'A) Base RI'!B247</f>
        <v>Corcelles-près-Payerne</v>
      </c>
      <c r="C256" s="31">
        <f>'D) Ecrêtage'!C245</f>
        <v>60414.642640490056</v>
      </c>
      <c r="D256" s="14">
        <f>'A) Base RI'!V247</f>
        <v>2571</v>
      </c>
      <c r="E256" s="10">
        <f t="shared" si="9"/>
        <v>1187070.6063687687</v>
      </c>
      <c r="F256" s="14">
        <f>'F) Population'!K248</f>
        <v>678244.61770623736</v>
      </c>
      <c r="G256" s="10">
        <f>'G) Solidarité'!I245</f>
        <v>1119267.6457317667</v>
      </c>
      <c r="H256" s="14">
        <f t="shared" si="10"/>
        <v>1797512.2634380041</v>
      </c>
      <c r="I256" s="55">
        <f t="shared" si="11"/>
        <v>-610441.65706923534</v>
      </c>
    </row>
    <row r="257" spans="1:9" x14ac:dyDescent="0.25">
      <c r="A257" s="49">
        <f>'A) Base RI'!A248</f>
        <v>5817</v>
      </c>
      <c r="B257" s="32" t="str">
        <f>'A) Base RI'!B248</f>
        <v>Grandcour</v>
      </c>
      <c r="C257" s="31">
        <f>'D) Ecrêtage'!C246</f>
        <v>21808.970149396955</v>
      </c>
      <c r="D257" s="14">
        <f>'A) Base RI'!V248</f>
        <v>953</v>
      </c>
      <c r="E257" s="10">
        <f t="shared" si="9"/>
        <v>428518.42348186439</v>
      </c>
      <c r="F257" s="14">
        <f>'F) Population'!K249</f>
        <v>119724.22032193159</v>
      </c>
      <c r="G257" s="10">
        <f>'G) Solidarité'!I246</f>
        <v>515704.40168621414</v>
      </c>
      <c r="H257" s="14">
        <f t="shared" si="10"/>
        <v>635428.62200814579</v>
      </c>
      <c r="I257" s="55">
        <f t="shared" si="11"/>
        <v>-206910.1985262814</v>
      </c>
    </row>
    <row r="258" spans="1:9" x14ac:dyDescent="0.25">
      <c r="A258" s="49">
        <f>'A) Base RI'!A249</f>
        <v>5819</v>
      </c>
      <c r="B258" s="32" t="str">
        <f>'A) Base RI'!B249</f>
        <v>Henniez</v>
      </c>
      <c r="C258" s="31">
        <f>'D) Ecrêtage'!C247</f>
        <v>11876.79478923147</v>
      </c>
      <c r="D258" s="14">
        <f>'A) Base RI'!V249</f>
        <v>376</v>
      </c>
      <c r="E258" s="10">
        <f t="shared" si="9"/>
        <v>233363.85644233733</v>
      </c>
      <c r="F258" s="14">
        <f>'F) Population'!K250</f>
        <v>47236.418511066397</v>
      </c>
      <c r="G258" s="10">
        <f>'G) Solidarité'!I247</f>
        <v>101874.25335818174</v>
      </c>
      <c r="H258" s="14">
        <f t="shared" si="10"/>
        <v>149110.67186924815</v>
      </c>
      <c r="I258" s="55">
        <f t="shared" si="11"/>
        <v>84253.18457308918</v>
      </c>
    </row>
    <row r="259" spans="1:9" x14ac:dyDescent="0.25">
      <c r="A259" s="49">
        <f>'A) Base RI'!A250</f>
        <v>5821</v>
      </c>
      <c r="B259" s="32" t="str">
        <f>'A) Base RI'!B250</f>
        <v>Missy</v>
      </c>
      <c r="C259" s="31">
        <f>'D) Ecrêtage'!C248</f>
        <v>8348.6455555555567</v>
      </c>
      <c r="D259" s="14">
        <f>'A) Base RI'!V250</f>
        <v>362</v>
      </c>
      <c r="E259" s="10">
        <f t="shared" si="9"/>
        <v>164040.22781307096</v>
      </c>
      <c r="F259" s="14">
        <f>'F) Population'!K251</f>
        <v>45477.61569416499</v>
      </c>
      <c r="G259" s="10">
        <f>'G) Solidarité'!I248</f>
        <v>169958.41478745369</v>
      </c>
      <c r="H259" s="14">
        <f t="shared" si="10"/>
        <v>215436.03048161868</v>
      </c>
      <c r="I259" s="55">
        <f t="shared" si="11"/>
        <v>-51395.802668547723</v>
      </c>
    </row>
    <row r="260" spans="1:9" x14ac:dyDescent="0.25">
      <c r="A260" s="49">
        <f>'A) Base RI'!A251</f>
        <v>5822</v>
      </c>
      <c r="B260" s="32" t="str">
        <f>'A) Base RI'!B251</f>
        <v>Payerne</v>
      </c>
      <c r="C260" s="31">
        <f>'D) Ecrêtage'!C249</f>
        <v>243639.04906619081</v>
      </c>
      <c r="D260" s="14">
        <f>'A) Base RI'!V251</f>
        <v>10072</v>
      </c>
      <c r="E260" s="10">
        <f t="shared" si="9"/>
        <v>4787196.2999294391</v>
      </c>
      <c r="F260" s="14">
        <f>'F) Population'!K252</f>
        <v>5162036.0160965798</v>
      </c>
      <c r="G260" s="10">
        <f>'G) Solidarité'!I249</f>
        <v>4878920.9976700917</v>
      </c>
      <c r="H260" s="14">
        <f t="shared" si="10"/>
        <v>10040957.013766672</v>
      </c>
      <c r="I260" s="55">
        <f t="shared" si="11"/>
        <v>-5253760.7138372334</v>
      </c>
    </row>
    <row r="261" spans="1:9" x14ac:dyDescent="0.25">
      <c r="A261" s="49">
        <f>'A) Base RI'!A252</f>
        <v>5827</v>
      </c>
      <c r="B261" s="32" t="str">
        <f>'A) Base RI'!B252</f>
        <v>Trey</v>
      </c>
      <c r="C261" s="31">
        <f>'D) Ecrêtage'!C250</f>
        <v>6759.3804152474768</v>
      </c>
      <c r="D261" s="14">
        <f>'A) Base RI'!V252</f>
        <v>285</v>
      </c>
      <c r="E261" s="10">
        <f t="shared" si="9"/>
        <v>132813.1965615135</v>
      </c>
      <c r="F261" s="14">
        <f>'F) Population'!K253</f>
        <v>35804.200201207241</v>
      </c>
      <c r="G261" s="10">
        <f>'G) Solidarité'!I250</f>
        <v>160479.84639201543</v>
      </c>
      <c r="H261" s="14">
        <f t="shared" si="10"/>
        <v>196284.04659322268</v>
      </c>
      <c r="I261" s="55">
        <f t="shared" si="11"/>
        <v>-63470.850031709182</v>
      </c>
    </row>
    <row r="262" spans="1:9" x14ac:dyDescent="0.25">
      <c r="A262" s="49">
        <f>'A) Base RI'!A253</f>
        <v>5828</v>
      </c>
      <c r="B262" s="32" t="str">
        <f>'A) Base RI'!B253</f>
        <v>Treytorrens (Payerne)</v>
      </c>
      <c r="C262" s="31">
        <f>'D) Ecrêtage'!C251</f>
        <v>2423.0145634920641</v>
      </c>
      <c r="D262" s="14">
        <f>'A) Base RI'!V253</f>
        <v>111</v>
      </c>
      <c r="E262" s="10">
        <f t="shared" si="9"/>
        <v>47609.143105270727</v>
      </c>
      <c r="F262" s="14">
        <f>'F) Population'!K254</f>
        <v>13944.793762575451</v>
      </c>
      <c r="G262" s="10">
        <f>'G) Solidarité'!I251</f>
        <v>74748.145684575284</v>
      </c>
      <c r="H262" s="14">
        <f t="shared" si="10"/>
        <v>88692.93944715074</v>
      </c>
      <c r="I262" s="55">
        <f t="shared" si="11"/>
        <v>-41083.796341880014</v>
      </c>
    </row>
    <row r="263" spans="1:9" x14ac:dyDescent="0.25">
      <c r="A263" s="49">
        <f>'A) Base RI'!A254</f>
        <v>5830</v>
      </c>
      <c r="B263" s="32" t="str">
        <f>'A) Base RI'!B254</f>
        <v>Villarzel</v>
      </c>
      <c r="C263" s="31">
        <f>'D) Ecrêtage'!C252</f>
        <v>13663.209789449775</v>
      </c>
      <c r="D263" s="14">
        <f>'A) Base RI'!V254</f>
        <v>451</v>
      </c>
      <c r="E263" s="10">
        <f t="shared" si="9"/>
        <v>268464.63077207201</v>
      </c>
      <c r="F263" s="14">
        <f>'F) Population'!K255</f>
        <v>56658.576458752512</v>
      </c>
      <c r="G263" s="10">
        <f>'G) Solidarité'!I252</f>
        <v>165811.64865650269</v>
      </c>
      <c r="H263" s="14">
        <f t="shared" si="10"/>
        <v>222470.22511525519</v>
      </c>
      <c r="I263" s="55">
        <f t="shared" si="11"/>
        <v>45994.405656816816</v>
      </c>
    </row>
    <row r="264" spans="1:9" x14ac:dyDescent="0.25">
      <c r="A264" s="49">
        <f>'A) Base RI'!A255</f>
        <v>5831</v>
      </c>
      <c r="B264" s="32" t="str">
        <f>'A) Base RI'!B255</f>
        <v>Valbroye</v>
      </c>
      <c r="C264" s="31">
        <f>'D) Ecrêtage'!C253</f>
        <v>90456.809812842344</v>
      </c>
      <c r="D264" s="14">
        <f>'A) Base RI'!V255</f>
        <v>3296</v>
      </c>
      <c r="E264" s="10">
        <f t="shared" si="9"/>
        <v>1777360.8413724143</v>
      </c>
      <c r="F264" s="14">
        <f>'F) Population'!K256</f>
        <v>977894.36619718303</v>
      </c>
      <c r="G264" s="10">
        <f>'G) Solidarité'!I253</f>
        <v>1286868.4899599834</v>
      </c>
      <c r="H264" s="14">
        <f t="shared" si="10"/>
        <v>2264762.8561571664</v>
      </c>
      <c r="I264" s="55">
        <f t="shared" si="11"/>
        <v>-487402.01478475216</v>
      </c>
    </row>
    <row r="265" spans="1:9" x14ac:dyDescent="0.25">
      <c r="A265" s="49">
        <f>'A) Base RI'!A256</f>
        <v>5841</v>
      </c>
      <c r="B265" s="32" t="str">
        <f>'A) Base RI'!B256</f>
        <v>Château-d'Oex</v>
      </c>
      <c r="C265" s="31">
        <f>'D) Ecrêtage'!C254</f>
        <v>118378.66757105118</v>
      </c>
      <c r="D265" s="14">
        <f>'A) Base RI'!V256</f>
        <v>3468</v>
      </c>
      <c r="E265" s="10">
        <f t="shared" si="9"/>
        <v>2325989.7030412154</v>
      </c>
      <c r="F265" s="14">
        <f>'F) Population'!K257</f>
        <v>1064326.9617706237</v>
      </c>
      <c r="G265" s="10">
        <f>'G) Solidarité'!I254</f>
        <v>1119317.8451665733</v>
      </c>
      <c r="H265" s="14">
        <f t="shared" si="10"/>
        <v>2183644.8069371972</v>
      </c>
      <c r="I265" s="55">
        <f t="shared" si="11"/>
        <v>142344.8961040182</v>
      </c>
    </row>
    <row r="266" spans="1:9" x14ac:dyDescent="0.25">
      <c r="A266" s="49">
        <f>'A) Base RI'!A257</f>
        <v>5842</v>
      </c>
      <c r="B266" s="32" t="str">
        <f>'A) Base RI'!B257</f>
        <v>Rossinière</v>
      </c>
      <c r="C266" s="31">
        <f>'D) Ecrêtage'!C255</f>
        <v>13768.598420203307</v>
      </c>
      <c r="D266" s="14">
        <f>'A) Base RI'!V257</f>
        <v>548</v>
      </c>
      <c r="E266" s="10">
        <f t="shared" si="9"/>
        <v>270535.38283390948</v>
      </c>
      <c r="F266" s="14">
        <f>'F) Population'!K258</f>
        <v>68844.567404426562</v>
      </c>
      <c r="G266" s="10">
        <f>'G) Solidarité'!I255</f>
        <v>296345.63959946792</v>
      </c>
      <c r="H266" s="14">
        <f t="shared" si="10"/>
        <v>365190.20700389449</v>
      </c>
      <c r="I266" s="55">
        <f t="shared" si="11"/>
        <v>-94654.824169985019</v>
      </c>
    </row>
    <row r="267" spans="1:9" x14ac:dyDescent="0.25">
      <c r="A267" s="49">
        <f>'A) Base RI'!A258</f>
        <v>5843</v>
      </c>
      <c r="B267" s="32" t="str">
        <f>'A) Base RI'!B258</f>
        <v>Rougemont</v>
      </c>
      <c r="C267" s="31">
        <f>'D) Ecrêtage'!C256</f>
        <v>85900.087382527112</v>
      </c>
      <c r="D267" s="14">
        <f>'A) Base RI'!V258</f>
        <v>858</v>
      </c>
      <c r="E267" s="10">
        <f t="shared" si="9"/>
        <v>1687827.0624407609</v>
      </c>
      <c r="F267" s="14">
        <f>'F) Population'!K259</f>
        <v>107789.48692152917</v>
      </c>
      <c r="G267" s="10">
        <f>'G) Solidarité'!I256</f>
        <v>0</v>
      </c>
      <c r="H267" s="14">
        <f t="shared" si="10"/>
        <v>107789.48692152917</v>
      </c>
      <c r="I267" s="55">
        <f t="shared" si="11"/>
        <v>1580037.5755192316</v>
      </c>
    </row>
    <row r="268" spans="1:9" x14ac:dyDescent="0.25">
      <c r="A268" s="49">
        <f>'A) Base RI'!A259</f>
        <v>5851</v>
      </c>
      <c r="B268" s="32" t="str">
        <f>'A) Base RI'!B259</f>
        <v>Allaman</v>
      </c>
      <c r="C268" s="31">
        <f>'D) Ecrêtage'!C257</f>
        <v>23250.654215447554</v>
      </c>
      <c r="D268" s="14">
        <f>'A) Base RI'!V259</f>
        <v>451</v>
      </c>
      <c r="E268" s="10">
        <f t="shared" si="9"/>
        <v>456845.67501694016</v>
      </c>
      <c r="F268" s="14">
        <f>'F) Population'!K260</f>
        <v>56658.576458752512</v>
      </c>
      <c r="G268" s="10">
        <f>'G) Solidarité'!I257</f>
        <v>0</v>
      </c>
      <c r="H268" s="14">
        <f t="shared" si="10"/>
        <v>56658.576458752512</v>
      </c>
      <c r="I268" s="55">
        <f t="shared" si="11"/>
        <v>400187.09855818766</v>
      </c>
    </row>
    <row r="269" spans="1:9" x14ac:dyDescent="0.25">
      <c r="A269" s="49">
        <f>'A) Base RI'!A260</f>
        <v>5852</v>
      </c>
      <c r="B269" s="32" t="str">
        <f>'A) Base RI'!B260</f>
        <v>Bursinel</v>
      </c>
      <c r="C269" s="31">
        <f>'D) Ecrêtage'!C258</f>
        <v>39678.838013791166</v>
      </c>
      <c r="D269" s="14">
        <f>'A) Base RI'!V260</f>
        <v>473</v>
      </c>
      <c r="E269" s="10">
        <f t="shared" si="9"/>
        <v>779638.51547259872</v>
      </c>
      <c r="F269" s="14">
        <f>'F) Population'!K261</f>
        <v>59422.409456740439</v>
      </c>
      <c r="G269" s="10">
        <f>'G) Solidarité'!I258</f>
        <v>0</v>
      </c>
      <c r="H269" s="14">
        <f t="shared" si="10"/>
        <v>59422.409456740439</v>
      </c>
      <c r="I269" s="55">
        <f t="shared" si="11"/>
        <v>720216.10601585824</v>
      </c>
    </row>
    <row r="270" spans="1:9" x14ac:dyDescent="0.25">
      <c r="A270" s="49">
        <f>'A) Base RI'!A261</f>
        <v>5853</v>
      </c>
      <c r="B270" s="32" t="str">
        <f>'A) Base RI'!B261</f>
        <v>Bursins</v>
      </c>
      <c r="C270" s="31">
        <f>'D) Ecrêtage'!C259</f>
        <v>36264.072017403523</v>
      </c>
      <c r="D270" s="14">
        <f>'A) Base RI'!V261</f>
        <v>782</v>
      </c>
      <c r="E270" s="10">
        <f t="shared" si="9"/>
        <v>712542.7227181677</v>
      </c>
      <c r="F270" s="14">
        <f>'F) Population'!K262</f>
        <v>98241.700201207233</v>
      </c>
      <c r="G270" s="10">
        <f>'G) Solidarité'!I259</f>
        <v>0</v>
      </c>
      <c r="H270" s="14">
        <f t="shared" si="10"/>
        <v>98241.700201207233</v>
      </c>
      <c r="I270" s="55">
        <f t="shared" si="11"/>
        <v>614301.02251696051</v>
      </c>
    </row>
    <row r="271" spans="1:9" x14ac:dyDescent="0.25">
      <c r="A271" s="49">
        <f>'A) Base RI'!A262</f>
        <v>5854</v>
      </c>
      <c r="B271" s="32" t="str">
        <f>'A) Base RI'!B262</f>
        <v>Burtigny</v>
      </c>
      <c r="C271" s="31">
        <f>'D) Ecrêtage'!C260</f>
        <v>11037.411333333333</v>
      </c>
      <c r="D271" s="14">
        <f>'A) Base RI'!V262</f>
        <v>390</v>
      </c>
      <c r="E271" s="10">
        <f t="shared" si="9"/>
        <v>216871.04303784127</v>
      </c>
      <c r="F271" s="14">
        <f>'F) Population'!K263</f>
        <v>48995.221327967804</v>
      </c>
      <c r="G271" s="10">
        <f>'G) Solidarité'!I260</f>
        <v>174429.2654502106</v>
      </c>
      <c r="H271" s="14">
        <f t="shared" si="10"/>
        <v>223424.4867781784</v>
      </c>
      <c r="I271" s="55">
        <f t="shared" si="11"/>
        <v>-6553.4437403371267</v>
      </c>
    </row>
    <row r="272" spans="1:9" x14ac:dyDescent="0.25">
      <c r="A272" s="49">
        <f>'A) Base RI'!A263</f>
        <v>5855</v>
      </c>
      <c r="B272" s="32" t="str">
        <f>'A) Base RI'!B263</f>
        <v>Dully</v>
      </c>
      <c r="C272" s="31">
        <f>'D) Ecrêtage'!C261</f>
        <v>79587.82351399264</v>
      </c>
      <c r="D272" s="14">
        <f>'A) Base RI'!V263</f>
        <v>639</v>
      </c>
      <c r="E272" s="10">
        <f t="shared" ref="E272:E323" si="12">C272*E$15</f>
        <v>1563799.1352614155</v>
      </c>
      <c r="F272" s="14">
        <f>'F) Population'!K264</f>
        <v>80276.78571428571</v>
      </c>
      <c r="G272" s="10">
        <f>'G) Solidarité'!I261</f>
        <v>0</v>
      </c>
      <c r="H272" s="14">
        <f t="shared" ref="H272:H323" si="13">F272+G272</f>
        <v>80276.78571428571</v>
      </c>
      <c r="I272" s="55">
        <f t="shared" ref="I272:I323" si="14">E272-H272</f>
        <v>1483522.3495471298</v>
      </c>
    </row>
    <row r="273" spans="1:9" x14ac:dyDescent="0.25">
      <c r="A273" s="49">
        <f>'A) Base RI'!A264</f>
        <v>5856</v>
      </c>
      <c r="B273" s="32" t="str">
        <f>'A) Base RI'!B264</f>
        <v>Essertines-sur-Rolle</v>
      </c>
      <c r="C273" s="31">
        <f>'D) Ecrêtage'!C262</f>
        <v>36512.686266191689</v>
      </c>
      <c r="D273" s="14">
        <f>'A) Base RI'!V264</f>
        <v>722</v>
      </c>
      <c r="E273" s="10">
        <f t="shared" si="12"/>
        <v>717427.67534160824</v>
      </c>
      <c r="F273" s="14">
        <f>'F) Population'!K265</f>
        <v>90703.973843058338</v>
      </c>
      <c r="G273" s="10">
        <f>'G) Solidarité'!I262</f>
        <v>0</v>
      </c>
      <c r="H273" s="14">
        <f t="shared" si="13"/>
        <v>90703.973843058338</v>
      </c>
      <c r="I273" s="55">
        <f t="shared" si="14"/>
        <v>626723.7014985499</v>
      </c>
    </row>
    <row r="274" spans="1:9" x14ac:dyDescent="0.25">
      <c r="A274" s="49">
        <f>'A) Base RI'!A265</f>
        <v>5857</v>
      </c>
      <c r="B274" s="32" t="str">
        <f>'A) Base RI'!B265</f>
        <v>Gilly</v>
      </c>
      <c r="C274" s="31">
        <f>'D) Ecrêtage'!C263</f>
        <v>85445.15246923732</v>
      </c>
      <c r="D274" s="14">
        <f>'A) Base RI'!V265</f>
        <v>1370</v>
      </c>
      <c r="E274" s="10">
        <f t="shared" si="12"/>
        <v>1678888.1721357922</v>
      </c>
      <c r="F274" s="14">
        <f>'F) Population'!K266</f>
        <v>255780.18108651909</v>
      </c>
      <c r="G274" s="10">
        <f>'G) Solidarité'!I263</f>
        <v>0</v>
      </c>
      <c r="H274" s="14">
        <f t="shared" si="13"/>
        <v>255780.18108651909</v>
      </c>
      <c r="I274" s="55">
        <f t="shared" si="14"/>
        <v>1423107.9910492732</v>
      </c>
    </row>
    <row r="275" spans="1:9" x14ac:dyDescent="0.25">
      <c r="A275" s="49">
        <f>'A) Base RI'!A266</f>
        <v>5858</v>
      </c>
      <c r="B275" s="32" t="str">
        <f>'A) Base RI'!B266</f>
        <v>Luins</v>
      </c>
      <c r="C275" s="31">
        <f>'D) Ecrêtage'!C264</f>
        <v>46686.611465586961</v>
      </c>
      <c r="D275" s="14">
        <f>'A) Base RI'!V266</f>
        <v>621</v>
      </c>
      <c r="E275" s="10">
        <f t="shared" si="12"/>
        <v>917332.31811942533</v>
      </c>
      <c r="F275" s="14">
        <f>'F) Population'!K267</f>
        <v>78015.467806841043</v>
      </c>
      <c r="G275" s="10">
        <f>'G) Solidarité'!I264</f>
        <v>0</v>
      </c>
      <c r="H275" s="14">
        <f t="shared" si="13"/>
        <v>78015.467806841043</v>
      </c>
      <c r="I275" s="55">
        <f t="shared" si="14"/>
        <v>839316.85031258431</v>
      </c>
    </row>
    <row r="276" spans="1:9" x14ac:dyDescent="0.25">
      <c r="A276" s="49">
        <f>'A) Base RI'!A267</f>
        <v>5859</v>
      </c>
      <c r="B276" s="32" t="str">
        <f>'A) Base RI'!B267</f>
        <v>Mont-sur-Rolle</v>
      </c>
      <c r="C276" s="31">
        <f>'D) Ecrêtage'!C265</f>
        <v>136353.72580116385</v>
      </c>
      <c r="D276" s="14">
        <f>'A) Base RI'!V267</f>
        <v>2677</v>
      </c>
      <c r="E276" s="10">
        <f t="shared" si="12"/>
        <v>2679176.6514389408</v>
      </c>
      <c r="F276" s="14">
        <f>'F) Population'!K268</f>
        <v>715531.2374245472</v>
      </c>
      <c r="G276" s="10">
        <f>'G) Solidarité'!I265</f>
        <v>0</v>
      </c>
      <c r="H276" s="14">
        <f t="shared" si="13"/>
        <v>715531.2374245472</v>
      </c>
      <c r="I276" s="55">
        <f t="shared" si="14"/>
        <v>1963645.4140143935</v>
      </c>
    </row>
    <row r="277" spans="1:9" x14ac:dyDescent="0.25">
      <c r="A277" s="49">
        <f>'A) Base RI'!A268</f>
        <v>5860</v>
      </c>
      <c r="B277" s="32" t="str">
        <f>'A) Base RI'!B268</f>
        <v>Perroy</v>
      </c>
      <c r="C277" s="31">
        <f>'D) Ecrêtage'!C266</f>
        <v>102639.35399012771</v>
      </c>
      <c r="D277" s="14">
        <f>'A) Base RI'!V268</f>
        <v>1497</v>
      </c>
      <c r="E277" s="10">
        <f t="shared" si="12"/>
        <v>2016732.2829896538</v>
      </c>
      <c r="F277" s="14">
        <f>'F) Population'!K269</f>
        <v>300453.77263581485</v>
      </c>
      <c r="G277" s="10">
        <f>'G) Solidarité'!I266</f>
        <v>0</v>
      </c>
      <c r="H277" s="14">
        <f t="shared" si="13"/>
        <v>300453.77263581485</v>
      </c>
      <c r="I277" s="55">
        <f t="shared" si="14"/>
        <v>1716278.510353839</v>
      </c>
    </row>
    <row r="278" spans="1:9" x14ac:dyDescent="0.25">
      <c r="A278" s="49">
        <f>'A) Base RI'!A269</f>
        <v>5861</v>
      </c>
      <c r="B278" s="32" t="str">
        <f>'A) Base RI'!B269</f>
        <v>Rolle</v>
      </c>
      <c r="C278" s="31">
        <f>'D) Ecrêtage'!C267</f>
        <v>542281.32528677804</v>
      </c>
      <c r="D278" s="14">
        <f>'A) Base RI'!V269</f>
        <v>6245</v>
      </c>
      <c r="E278" s="10">
        <f t="shared" si="12"/>
        <v>10655135.799797118</v>
      </c>
      <c r="F278" s="14">
        <f>'F) Population'!K270</f>
        <v>2584937.6257545273</v>
      </c>
      <c r="G278" s="10">
        <f>'G) Solidarité'!I267</f>
        <v>0</v>
      </c>
      <c r="H278" s="14">
        <f t="shared" si="13"/>
        <v>2584937.6257545273</v>
      </c>
      <c r="I278" s="55">
        <f t="shared" si="14"/>
        <v>8070198.17404259</v>
      </c>
    </row>
    <row r="279" spans="1:9" x14ac:dyDescent="0.25">
      <c r="A279" s="49">
        <f>'A) Base RI'!A270</f>
        <v>5862</v>
      </c>
      <c r="B279" s="32" t="str">
        <f>'A) Base RI'!B270</f>
        <v>Tartegnin</v>
      </c>
      <c r="C279" s="31">
        <f>'D) Ecrêtage'!C268</f>
        <v>10952.855675530331</v>
      </c>
      <c r="D279" s="14">
        <f>'A) Base RI'!V270</f>
        <v>233</v>
      </c>
      <c r="E279" s="10">
        <f t="shared" si="12"/>
        <v>215209.63230042427</v>
      </c>
      <c r="F279" s="14">
        <f>'F) Population'!K271</f>
        <v>29271.504024144866</v>
      </c>
      <c r="G279" s="10">
        <f>'G) Solidarité'!I268</f>
        <v>0</v>
      </c>
      <c r="H279" s="14">
        <f t="shared" si="13"/>
        <v>29271.504024144866</v>
      </c>
      <c r="I279" s="55">
        <f t="shared" si="14"/>
        <v>185938.1282762794</v>
      </c>
    </row>
    <row r="280" spans="1:9" x14ac:dyDescent="0.25">
      <c r="A280" s="49">
        <f>'A) Base RI'!A271</f>
        <v>5863</v>
      </c>
      <c r="B280" s="32" t="str">
        <f>'A) Base RI'!B271</f>
        <v>Vinzel</v>
      </c>
      <c r="C280" s="31">
        <f>'D) Ecrêtage'!C269</f>
        <v>17853.344314731814</v>
      </c>
      <c r="D280" s="14">
        <f>'A) Base RI'!V271</f>
        <v>355</v>
      </c>
      <c r="E280" s="10">
        <f t="shared" si="12"/>
        <v>350795.42533278803</v>
      </c>
      <c r="F280" s="14">
        <f>'F) Population'!K272</f>
        <v>44598.214285714283</v>
      </c>
      <c r="G280" s="10">
        <f>'G) Solidarité'!I269</f>
        <v>0</v>
      </c>
      <c r="H280" s="14">
        <f t="shared" si="13"/>
        <v>44598.214285714283</v>
      </c>
      <c r="I280" s="55">
        <f t="shared" si="14"/>
        <v>306197.21104707377</v>
      </c>
    </row>
    <row r="281" spans="1:9" x14ac:dyDescent="0.25">
      <c r="A281" s="49">
        <f>'A) Base RI'!A272</f>
        <v>5871</v>
      </c>
      <c r="B281" s="32" t="str">
        <f>'A) Base RI'!B272</f>
        <v>L'Abbaye</v>
      </c>
      <c r="C281" s="31">
        <f>'D) Ecrêtage'!C270</f>
        <v>46407.687824597124</v>
      </c>
      <c r="D281" s="14">
        <f>'A) Base RI'!V272</f>
        <v>1481</v>
      </c>
      <c r="E281" s="10">
        <f t="shared" si="12"/>
        <v>911851.82463027758</v>
      </c>
      <c r="F281" s="14">
        <f>'F) Population'!K273</f>
        <v>294825.60362173035</v>
      </c>
      <c r="G281" s="10">
        <f>'G) Solidarité'!I270</f>
        <v>516392.43480676261</v>
      </c>
      <c r="H281" s="14">
        <f t="shared" si="13"/>
        <v>811218.03842849296</v>
      </c>
      <c r="I281" s="55">
        <f t="shared" si="14"/>
        <v>100633.78620178462</v>
      </c>
    </row>
    <row r="282" spans="1:9" x14ac:dyDescent="0.25">
      <c r="A282" s="49">
        <f>'A) Base RI'!A273</f>
        <v>5872</v>
      </c>
      <c r="B282" s="32" t="str">
        <f>'A) Base RI'!B273</f>
        <v>Le Chenit</v>
      </c>
      <c r="C282" s="31">
        <f>'D) Ecrêtage'!C271</f>
        <v>253970.36617173007</v>
      </c>
      <c r="D282" s="14">
        <f>'A) Base RI'!V273</f>
        <v>4657</v>
      </c>
      <c r="E282" s="10">
        <f t="shared" si="12"/>
        <v>4990193.4927464193</v>
      </c>
      <c r="F282" s="14">
        <f>'F) Population'!K274</f>
        <v>1661817.4044265593</v>
      </c>
      <c r="G282" s="10">
        <f>'G) Solidarité'!I271</f>
        <v>0</v>
      </c>
      <c r="H282" s="14">
        <f t="shared" si="13"/>
        <v>1661817.4044265593</v>
      </c>
      <c r="I282" s="55">
        <f t="shared" si="14"/>
        <v>3328376.0883198599</v>
      </c>
    </row>
    <row r="283" spans="1:9" x14ac:dyDescent="0.25">
      <c r="A283" s="49">
        <f>'A) Base RI'!A274</f>
        <v>5873</v>
      </c>
      <c r="B283" s="32" t="str">
        <f>'A) Base RI'!B274</f>
        <v>Le Lieu</v>
      </c>
      <c r="C283" s="31">
        <f>'D) Ecrêtage'!C272</f>
        <v>28515.54687424951</v>
      </c>
      <c r="D283" s="14">
        <f>'A) Base RI'!V274</f>
        <v>900</v>
      </c>
      <c r="E283" s="10">
        <f t="shared" si="12"/>
        <v>560294.09493297362</v>
      </c>
      <c r="F283" s="14">
        <f>'F) Population'!K275</f>
        <v>113065.8953722334</v>
      </c>
      <c r="G283" s="10">
        <f>'G) Solidarité'!I272</f>
        <v>249283.10733511348</v>
      </c>
      <c r="H283" s="14">
        <f t="shared" si="13"/>
        <v>362349.00270734687</v>
      </c>
      <c r="I283" s="55">
        <f t="shared" si="14"/>
        <v>197945.09222562675</v>
      </c>
    </row>
    <row r="284" spans="1:9" x14ac:dyDescent="0.25">
      <c r="A284" s="49">
        <f>'A) Base RI'!A275</f>
        <v>5881</v>
      </c>
      <c r="B284" s="32" t="str">
        <f>'A) Base RI'!B275</f>
        <v>Blonay</v>
      </c>
      <c r="C284" s="31">
        <f>'D) Ecrêtage'!C273</f>
        <v>355094.49330320884</v>
      </c>
      <c r="D284" s="14">
        <f>'A) Base RI'!V275</f>
        <v>6151</v>
      </c>
      <c r="E284" s="10">
        <f t="shared" si="12"/>
        <v>6977153.5022065239</v>
      </c>
      <c r="F284" s="14">
        <f>'F) Population'!K276</f>
        <v>2528253.9235412474</v>
      </c>
      <c r="G284" s="10">
        <f>'G) Solidarité'!I273</f>
        <v>0</v>
      </c>
      <c r="H284" s="14">
        <f t="shared" si="13"/>
        <v>2528253.9235412474</v>
      </c>
      <c r="I284" s="55">
        <f t="shared" si="14"/>
        <v>4448899.578665277</v>
      </c>
    </row>
    <row r="285" spans="1:9" x14ac:dyDescent="0.25">
      <c r="A285" s="49">
        <f>'A) Base RI'!A276</f>
        <v>5882</v>
      </c>
      <c r="B285" s="32" t="str">
        <f>'A) Base RI'!B276</f>
        <v>Chardonne</v>
      </c>
      <c r="C285" s="31">
        <f>'D) Ecrêtage'!C274</f>
        <v>184065.71182844636</v>
      </c>
      <c r="D285" s="14">
        <f>'A) Base RI'!V276</f>
        <v>3032</v>
      </c>
      <c r="E285" s="10">
        <f t="shared" si="12"/>
        <v>3616656.2707672832</v>
      </c>
      <c r="F285" s="14">
        <f>'F) Population'!K277</f>
        <v>845230.38229376252</v>
      </c>
      <c r="G285" s="10">
        <f>'G) Solidarité'!I274</f>
        <v>0</v>
      </c>
      <c r="H285" s="14">
        <f t="shared" si="13"/>
        <v>845230.38229376252</v>
      </c>
      <c r="I285" s="55">
        <f t="shared" si="14"/>
        <v>2771425.8884735205</v>
      </c>
    </row>
    <row r="286" spans="1:9" x14ac:dyDescent="0.25">
      <c r="A286" s="49">
        <f>'A) Base RI'!A277</f>
        <v>5883</v>
      </c>
      <c r="B286" s="32" t="str">
        <f>'A) Base RI'!B277</f>
        <v>Corseaux</v>
      </c>
      <c r="C286" s="31">
        <f>'D) Ecrêtage'!C275</f>
        <v>164452.64554996623</v>
      </c>
      <c r="D286" s="14">
        <f>'A) Base RI'!V277</f>
        <v>2287</v>
      </c>
      <c r="E286" s="10">
        <f t="shared" si="12"/>
        <v>3231284.5551967514</v>
      </c>
      <c r="F286" s="14">
        <f>'F) Population'!K278</f>
        <v>578344.61770623736</v>
      </c>
      <c r="G286" s="10">
        <f>'G) Solidarité'!I275</f>
        <v>0</v>
      </c>
      <c r="H286" s="14">
        <f t="shared" si="13"/>
        <v>578344.61770623736</v>
      </c>
      <c r="I286" s="55">
        <f t="shared" si="14"/>
        <v>2652939.937490514</v>
      </c>
    </row>
    <row r="287" spans="1:9" x14ac:dyDescent="0.25">
      <c r="A287" s="49">
        <f>'A) Base RI'!A278</f>
        <v>5884</v>
      </c>
      <c r="B287" s="32" t="str">
        <f>'A) Base RI'!B278</f>
        <v>Corsier-sur-Vevey</v>
      </c>
      <c r="C287" s="31">
        <f>'D) Ecrêtage'!C276</f>
        <v>125116.33219250187</v>
      </c>
      <c r="D287" s="14">
        <f>'A) Base RI'!V278</f>
        <v>3363</v>
      </c>
      <c r="E287" s="10">
        <f t="shared" si="12"/>
        <v>2458376.2119756327</v>
      </c>
      <c r="F287" s="14">
        <f>'F) Population'!K279</f>
        <v>1011562.8772635814</v>
      </c>
      <c r="G287" s="10">
        <f>'G) Solidarité'!I276</f>
        <v>508806.27079496405</v>
      </c>
      <c r="H287" s="14">
        <f t="shared" si="13"/>
        <v>1520369.1480585453</v>
      </c>
      <c r="I287" s="55">
        <f t="shared" si="14"/>
        <v>938007.06391708739</v>
      </c>
    </row>
    <row r="288" spans="1:9" x14ac:dyDescent="0.25">
      <c r="A288" s="49">
        <f>'A) Base RI'!A279</f>
        <v>5885</v>
      </c>
      <c r="B288" s="32" t="str">
        <f>'A) Base RI'!B279</f>
        <v>Jongny</v>
      </c>
      <c r="C288" s="31">
        <f>'D) Ecrêtage'!C277</f>
        <v>78645.92697183101</v>
      </c>
      <c r="D288" s="14">
        <f>'A) Base RI'!V279</f>
        <v>1544</v>
      </c>
      <c r="E288" s="10">
        <f t="shared" si="12"/>
        <v>1545292.0705735728</v>
      </c>
      <c r="F288" s="14">
        <f>'F) Population'!K280</f>
        <v>316986.5191146881</v>
      </c>
      <c r="G288" s="10">
        <f>'G) Solidarité'!I277</f>
        <v>0</v>
      </c>
      <c r="H288" s="14">
        <f t="shared" si="13"/>
        <v>316986.5191146881</v>
      </c>
      <c r="I288" s="55">
        <f t="shared" si="14"/>
        <v>1228305.5514588847</v>
      </c>
    </row>
    <row r="289" spans="1:9" x14ac:dyDescent="0.25">
      <c r="A289" s="49">
        <f>'A) Base RI'!A280</f>
        <v>5886</v>
      </c>
      <c r="B289" s="32" t="str">
        <f>'A) Base RI'!B280</f>
        <v>Montreux</v>
      </c>
      <c r="C289" s="31">
        <f>'D) Ecrêtage'!C278</f>
        <v>1133766.4796882921</v>
      </c>
      <c r="D289" s="14">
        <f>'A) Base RI'!V280</f>
        <v>26065</v>
      </c>
      <c r="E289" s="10">
        <f t="shared" si="12"/>
        <v>22277064.031198382</v>
      </c>
      <c r="F289" s="14">
        <f>'F) Population'!K281</f>
        <v>21500861.921529174</v>
      </c>
      <c r="G289" s="10">
        <f>'G) Solidarité'!I278</f>
        <v>1088292.3988888415</v>
      </c>
      <c r="H289" s="14">
        <f t="shared" si="13"/>
        <v>22589154.320418015</v>
      </c>
      <c r="I289" s="55">
        <f t="shared" si="14"/>
        <v>-312090.28921963274</v>
      </c>
    </row>
    <row r="290" spans="1:9" x14ac:dyDescent="0.25">
      <c r="A290" s="49">
        <f>'A) Base RI'!A281</f>
        <v>5888</v>
      </c>
      <c r="B290" s="32" t="str">
        <f>'A) Base RI'!B281</f>
        <v>Saint-Légier-La Chiésaz</v>
      </c>
      <c r="C290" s="31">
        <f>'D) Ecrêtage'!C279</f>
        <v>337320.4595902646</v>
      </c>
      <c r="D290" s="14">
        <f>'A) Base RI'!V281</f>
        <v>5243</v>
      </c>
      <c r="E290" s="10">
        <f t="shared" si="12"/>
        <v>6627916.4289559564</v>
      </c>
      <c r="F290" s="14">
        <f>'F) Population'!K282</f>
        <v>1980713.480885312</v>
      </c>
      <c r="G290" s="10">
        <f>'G) Solidarité'!I279</f>
        <v>0</v>
      </c>
      <c r="H290" s="14">
        <f t="shared" si="13"/>
        <v>1980713.480885312</v>
      </c>
      <c r="I290" s="55">
        <f t="shared" si="14"/>
        <v>4647202.9480706444</v>
      </c>
    </row>
    <row r="291" spans="1:9" x14ac:dyDescent="0.25">
      <c r="A291" s="49">
        <f>'A) Base RI'!A282</f>
        <v>5889</v>
      </c>
      <c r="B291" s="32" t="str">
        <f>'A) Base RI'!B282</f>
        <v>La Tour-de-Peilz</v>
      </c>
      <c r="C291" s="31">
        <f>'D) Ecrêtage'!C280</f>
        <v>691108.44187203015</v>
      </c>
      <c r="D291" s="14">
        <f>'A) Base RI'!V282</f>
        <v>11906</v>
      </c>
      <c r="E291" s="10">
        <f t="shared" si="12"/>
        <v>13579398.657400567</v>
      </c>
      <c r="F291" s="14">
        <f>'F) Population'!K283</f>
        <v>6728777.5653923545</v>
      </c>
      <c r="G291" s="10">
        <f>'G) Solidarité'!I280</f>
        <v>0</v>
      </c>
      <c r="H291" s="14">
        <f t="shared" si="13"/>
        <v>6728777.5653923545</v>
      </c>
      <c r="I291" s="55">
        <f t="shared" si="14"/>
        <v>6850621.0920082126</v>
      </c>
    </row>
    <row r="292" spans="1:9" x14ac:dyDescent="0.25">
      <c r="A292" s="49">
        <f>'A) Base RI'!A283</f>
        <v>5890</v>
      </c>
      <c r="B292" s="32" t="str">
        <f>'A) Base RI'!B283</f>
        <v>Vevey</v>
      </c>
      <c r="C292" s="31">
        <f>'D) Ecrêtage'!C281</f>
        <v>964973.50807811751</v>
      </c>
      <c r="D292" s="14">
        <f>'A) Base RI'!V283</f>
        <v>19871</v>
      </c>
      <c r="E292" s="10">
        <f t="shared" si="12"/>
        <v>18960497.60950464</v>
      </c>
      <c r="F292" s="14">
        <f>'F) Population'!K284</f>
        <v>14964447.132796781</v>
      </c>
      <c r="G292" s="10">
        <f>'G) Solidarité'!I281</f>
        <v>0</v>
      </c>
      <c r="H292" s="14">
        <f t="shared" si="13"/>
        <v>14964447.132796781</v>
      </c>
      <c r="I292" s="55">
        <f t="shared" si="14"/>
        <v>3996050.476707859</v>
      </c>
    </row>
    <row r="293" spans="1:9" x14ac:dyDescent="0.25">
      <c r="A293" s="49">
        <f>'A) Base RI'!A284</f>
        <v>5891</v>
      </c>
      <c r="B293" s="32" t="str">
        <f>'A) Base RI'!B284</f>
        <v>Veytaux</v>
      </c>
      <c r="C293" s="31">
        <f>'D) Ecrêtage'!C282</f>
        <v>37035.518505817468</v>
      </c>
      <c r="D293" s="14">
        <f>'A) Base RI'!V284</f>
        <v>922</v>
      </c>
      <c r="E293" s="10">
        <f t="shared" si="12"/>
        <v>727700.661435641</v>
      </c>
      <c r="F293" s="14">
        <f>'F) Population'!K285</f>
        <v>115829.72837022132</v>
      </c>
      <c r="G293" s="10">
        <f>'G) Solidarité'!I282</f>
        <v>107021.61047970811</v>
      </c>
      <c r="H293" s="14">
        <f t="shared" si="13"/>
        <v>222851.33884992942</v>
      </c>
      <c r="I293" s="55">
        <f t="shared" si="14"/>
        <v>504849.3225857116</v>
      </c>
    </row>
    <row r="294" spans="1:9" x14ac:dyDescent="0.25">
      <c r="A294" s="49">
        <f>'A) Base RI'!A285</f>
        <v>5902</v>
      </c>
      <c r="B294" s="32" t="str">
        <f>'A) Base RI'!B285</f>
        <v>Belmont-sur-Yverdon</v>
      </c>
      <c r="C294" s="31">
        <f>'D) Ecrêtage'!C283</f>
        <v>10774.45016912473</v>
      </c>
      <c r="D294" s="14">
        <f>'A) Base RI'!V285</f>
        <v>374</v>
      </c>
      <c r="E294" s="10">
        <f t="shared" si="12"/>
        <v>211704.19184075517</v>
      </c>
      <c r="F294" s="14">
        <f>'F) Population'!K286</f>
        <v>46985.160965794763</v>
      </c>
      <c r="G294" s="10">
        <f>'G) Solidarité'!I283</f>
        <v>146634.29631083354</v>
      </c>
      <c r="H294" s="14">
        <f t="shared" si="13"/>
        <v>193619.45727662829</v>
      </c>
      <c r="I294" s="55">
        <f t="shared" si="14"/>
        <v>18084.734564126877</v>
      </c>
    </row>
    <row r="295" spans="1:9" x14ac:dyDescent="0.25">
      <c r="A295" s="49">
        <f>'A) Base RI'!A286</f>
        <v>5903</v>
      </c>
      <c r="B295" s="32" t="str">
        <f>'A) Base RI'!B286</f>
        <v>Bioley-Magnoux</v>
      </c>
      <c r="C295" s="31">
        <f>'D) Ecrêtage'!C284</f>
        <v>6472.6316948302874</v>
      </c>
      <c r="D295" s="14">
        <f>'A) Base RI'!V286</f>
        <v>228</v>
      </c>
      <c r="E295" s="10">
        <f t="shared" si="12"/>
        <v>127178.95025062049</v>
      </c>
      <c r="F295" s="14">
        <f>'F) Population'!K287</f>
        <v>28643.360160965793</v>
      </c>
      <c r="G295" s="10">
        <f>'G) Solidarité'!I284</f>
        <v>86819.300317828427</v>
      </c>
      <c r="H295" s="14">
        <f t="shared" si="13"/>
        <v>115462.66047879422</v>
      </c>
      <c r="I295" s="55">
        <f t="shared" si="14"/>
        <v>11716.289771826268</v>
      </c>
    </row>
    <row r="296" spans="1:9" x14ac:dyDescent="0.25">
      <c r="A296" s="49">
        <f>'A) Base RI'!A287</f>
        <v>5904</v>
      </c>
      <c r="B296" s="32" t="str">
        <f>'A) Base RI'!B287</f>
        <v>Chamblon</v>
      </c>
      <c r="C296" s="31">
        <f>'D) Ecrêtage'!C285</f>
        <v>21968.958276290676</v>
      </c>
      <c r="D296" s="14">
        <f>'A) Base RI'!V287</f>
        <v>540</v>
      </c>
      <c r="E296" s="10">
        <f t="shared" si="12"/>
        <v>431661.98594458844</v>
      </c>
      <c r="F296" s="14">
        <f>'F) Population'!K288</f>
        <v>67839.537223340041</v>
      </c>
      <c r="G296" s="10">
        <f>'G) Solidarité'!I285</f>
        <v>49384.223049786422</v>
      </c>
      <c r="H296" s="14">
        <f t="shared" si="13"/>
        <v>117223.76027312646</v>
      </c>
      <c r="I296" s="55">
        <f t="shared" si="14"/>
        <v>314438.22567146196</v>
      </c>
    </row>
    <row r="297" spans="1:9" x14ac:dyDescent="0.25">
      <c r="A297" s="49">
        <f>'A) Base RI'!A288</f>
        <v>5905</v>
      </c>
      <c r="B297" s="32" t="str">
        <f>'A) Base RI'!B288</f>
        <v>Champvent</v>
      </c>
      <c r="C297" s="31">
        <f>'D) Ecrêtage'!C286</f>
        <v>23321.773448973479</v>
      </c>
      <c r="D297" s="14">
        <f>'A) Base RI'!V288</f>
        <v>689</v>
      </c>
      <c r="E297" s="10">
        <f t="shared" si="12"/>
        <v>458243.07716940314</v>
      </c>
      <c r="F297" s="14">
        <f>'F) Population'!K289</f>
        <v>86558.224346076458</v>
      </c>
      <c r="G297" s="10">
        <f>'G) Solidarité'!I286</f>
        <v>166644.74148875079</v>
      </c>
      <c r="H297" s="14">
        <f t="shared" si="13"/>
        <v>253202.96583482725</v>
      </c>
      <c r="I297" s="55">
        <f t="shared" si="14"/>
        <v>205040.11133457589</v>
      </c>
    </row>
    <row r="298" spans="1:9" x14ac:dyDescent="0.25">
      <c r="A298" s="49">
        <f>'A) Base RI'!A289</f>
        <v>5907</v>
      </c>
      <c r="B298" s="32" t="str">
        <f>'A) Base RI'!B289</f>
        <v>Chavannes-le-Chêne</v>
      </c>
      <c r="C298" s="31">
        <f>'D) Ecrêtage'!C287</f>
        <v>9479.6278585348446</v>
      </c>
      <c r="D298" s="14">
        <f>'A) Base RI'!V289</f>
        <v>311</v>
      </c>
      <c r="E298" s="10">
        <f t="shared" si="12"/>
        <v>186262.58632604155</v>
      </c>
      <c r="F298" s="14">
        <f>'F) Population'!K290</f>
        <v>39070.548289738428</v>
      </c>
      <c r="G298" s="10">
        <f>'G) Solidarité'!I287</f>
        <v>115941.63314673908</v>
      </c>
      <c r="H298" s="14">
        <f t="shared" si="13"/>
        <v>155012.18143647752</v>
      </c>
      <c r="I298" s="55">
        <f t="shared" si="14"/>
        <v>31250.40488956403</v>
      </c>
    </row>
    <row r="299" spans="1:9" x14ac:dyDescent="0.25">
      <c r="A299" s="49">
        <f>'A) Base RI'!A290</f>
        <v>5908</v>
      </c>
      <c r="B299" s="32" t="str">
        <f>'A) Base RI'!B290</f>
        <v>Chêne-Pâquier</v>
      </c>
      <c r="C299" s="31">
        <f>'D) Ecrêtage'!C288</f>
        <v>3375.521749976027</v>
      </c>
      <c r="D299" s="14">
        <f>'A) Base RI'!V290</f>
        <v>153</v>
      </c>
      <c r="E299" s="10">
        <f t="shared" si="12"/>
        <v>66324.693409168976</v>
      </c>
      <c r="F299" s="14">
        <f>'F) Population'!K291</f>
        <v>19221.202213279677</v>
      </c>
      <c r="G299" s="10">
        <f>'G) Solidarité'!I288</f>
        <v>90251.177194362128</v>
      </c>
      <c r="H299" s="14">
        <f t="shared" si="13"/>
        <v>109472.3794076418</v>
      </c>
      <c r="I299" s="55">
        <f t="shared" si="14"/>
        <v>-43147.685998472822</v>
      </c>
    </row>
    <row r="300" spans="1:9" x14ac:dyDescent="0.25">
      <c r="A300" s="49">
        <f>'A) Base RI'!A291</f>
        <v>5909</v>
      </c>
      <c r="B300" s="32" t="str">
        <f>'A) Base RI'!B291</f>
        <v>Cheseaux-Noréaz</v>
      </c>
      <c r="C300" s="31">
        <f>'D) Ecrêtage'!C289</f>
        <v>32341.35221867514</v>
      </c>
      <c r="D300" s="14">
        <f>'A) Base RI'!V291</f>
        <v>725</v>
      </c>
      <c r="E300" s="10">
        <f t="shared" si="12"/>
        <v>635466.28616948158</v>
      </c>
      <c r="F300" s="14">
        <f>'F) Population'!K292</f>
        <v>91080.860160965793</v>
      </c>
      <c r="G300" s="10">
        <f>'G) Solidarité'!I289</f>
        <v>19522.3195544195</v>
      </c>
      <c r="H300" s="14">
        <f t="shared" si="13"/>
        <v>110603.1797153853</v>
      </c>
      <c r="I300" s="55">
        <f t="shared" si="14"/>
        <v>524863.10645409627</v>
      </c>
    </row>
    <row r="301" spans="1:9" x14ac:dyDescent="0.25">
      <c r="A301" s="49">
        <f>'A) Base RI'!A292</f>
        <v>5910</v>
      </c>
      <c r="B301" s="32" t="str">
        <f>'A) Base RI'!B292</f>
        <v>Cronay</v>
      </c>
      <c r="C301" s="31">
        <f>'D) Ecrêtage'!C290</f>
        <v>10197.986044276999</v>
      </c>
      <c r="D301" s="14">
        <f>'A) Base RI'!V292</f>
        <v>394</v>
      </c>
      <c r="E301" s="10">
        <f t="shared" si="12"/>
        <v>200377.40766518819</v>
      </c>
      <c r="F301" s="14">
        <f>'F) Population'!K293</f>
        <v>49497.736418511064</v>
      </c>
      <c r="G301" s="10">
        <f>'G) Solidarité'!I290</f>
        <v>195314.58354053932</v>
      </c>
      <c r="H301" s="14">
        <f t="shared" si="13"/>
        <v>244812.31995905039</v>
      </c>
      <c r="I301" s="55">
        <f t="shared" si="14"/>
        <v>-44434.912293862202</v>
      </c>
    </row>
    <row r="302" spans="1:9" x14ac:dyDescent="0.25">
      <c r="A302" s="49">
        <f>'A) Base RI'!A293</f>
        <v>5911</v>
      </c>
      <c r="B302" s="32" t="str">
        <f>'A) Base RI'!B293</f>
        <v>Cuarny</v>
      </c>
      <c r="C302" s="31">
        <f>'D) Ecrêtage'!C291</f>
        <v>7835.2176584022027</v>
      </c>
      <c r="D302" s="14">
        <f>'A) Base RI'!V293</f>
        <v>239</v>
      </c>
      <c r="E302" s="10">
        <f t="shared" si="12"/>
        <v>153952.02504363173</v>
      </c>
      <c r="F302" s="14">
        <f>'F) Population'!K294</f>
        <v>30025.276659959756</v>
      </c>
      <c r="G302" s="10">
        <f>'G) Solidarité'!I291</f>
        <v>77840.594043074248</v>
      </c>
      <c r="H302" s="14">
        <f t="shared" si="13"/>
        <v>107865.870703034</v>
      </c>
      <c r="I302" s="55">
        <f t="shared" si="14"/>
        <v>46086.154340597728</v>
      </c>
    </row>
    <row r="303" spans="1:9" x14ac:dyDescent="0.25">
      <c r="A303" s="49">
        <f>'A) Base RI'!A294</f>
        <v>5912</v>
      </c>
      <c r="B303" s="32" t="str">
        <f>'A) Base RI'!B294</f>
        <v>Démoret</v>
      </c>
      <c r="C303" s="31">
        <f>'D) Ecrêtage'!C292</f>
        <v>3963.3385142217253</v>
      </c>
      <c r="D303" s="14">
        <f>'A) Base RI'!V294</f>
        <v>156</v>
      </c>
      <c r="E303" s="10">
        <f t="shared" si="12"/>
        <v>77874.542456843628</v>
      </c>
      <c r="F303" s="14">
        <f>'F) Population'!K295</f>
        <v>19598.088531187121</v>
      </c>
      <c r="G303" s="10">
        <f>'G) Solidarité'!I292</f>
        <v>83226.257984261669</v>
      </c>
      <c r="H303" s="14">
        <f t="shared" si="13"/>
        <v>102824.34651544879</v>
      </c>
      <c r="I303" s="55">
        <f t="shared" si="14"/>
        <v>-24949.804058605165</v>
      </c>
    </row>
    <row r="304" spans="1:9" x14ac:dyDescent="0.25">
      <c r="A304" s="49">
        <f>'A) Base RI'!A295</f>
        <v>5913</v>
      </c>
      <c r="B304" s="32" t="str">
        <f>'A) Base RI'!B295</f>
        <v>Donneloye</v>
      </c>
      <c r="C304" s="31">
        <f>'D) Ecrêtage'!C293</f>
        <v>21560.051293940251</v>
      </c>
      <c r="D304" s="14">
        <f>'A) Base RI'!V295</f>
        <v>823</v>
      </c>
      <c r="E304" s="10">
        <f t="shared" si="12"/>
        <v>423627.48572622868</v>
      </c>
      <c r="F304" s="14">
        <f>'F) Population'!K296</f>
        <v>103392.47987927565</v>
      </c>
      <c r="G304" s="10">
        <f>'G) Solidarité'!I293</f>
        <v>342929.24539576104</v>
      </c>
      <c r="H304" s="14">
        <f t="shared" si="13"/>
        <v>446321.7252750367</v>
      </c>
      <c r="I304" s="55">
        <f t="shared" si="14"/>
        <v>-22694.239548808022</v>
      </c>
    </row>
    <row r="305" spans="1:9" x14ac:dyDescent="0.25">
      <c r="A305" s="49">
        <f>'A) Base RI'!A296</f>
        <v>5914</v>
      </c>
      <c r="B305" s="32" t="str">
        <f>'A) Base RI'!B296</f>
        <v>Ependes</v>
      </c>
      <c r="C305" s="31">
        <f>'D) Ecrêtage'!C294</f>
        <v>10120.059426352072</v>
      </c>
      <c r="D305" s="14">
        <f>'A) Base RI'!V296</f>
        <v>357</v>
      </c>
      <c r="E305" s="10">
        <f t="shared" si="12"/>
        <v>198846.2490991618</v>
      </c>
      <c r="F305" s="14">
        <f>'F) Population'!K297</f>
        <v>44849.471830985916</v>
      </c>
      <c r="G305" s="10">
        <f>'G) Solidarité'!I294</f>
        <v>139966.54809465897</v>
      </c>
      <c r="H305" s="14">
        <f t="shared" si="13"/>
        <v>184816.01992564488</v>
      </c>
      <c r="I305" s="55">
        <f t="shared" si="14"/>
        <v>14030.229173516913</v>
      </c>
    </row>
    <row r="306" spans="1:9" x14ac:dyDescent="0.25">
      <c r="A306" s="49">
        <f>'A) Base RI'!A297</f>
        <v>5919</v>
      </c>
      <c r="B306" s="32" t="str">
        <f>'A) Base RI'!B297</f>
        <v>Mathod</v>
      </c>
      <c r="C306" s="31">
        <f>'D) Ecrêtage'!C295</f>
        <v>17424.35283843397</v>
      </c>
      <c r="D306" s="14">
        <f>'A) Base RI'!V297</f>
        <v>601</v>
      </c>
      <c r="E306" s="10">
        <f t="shared" si="12"/>
        <v>342366.29044695792</v>
      </c>
      <c r="F306" s="14">
        <f>'F) Population'!K298</f>
        <v>75502.89235412475</v>
      </c>
      <c r="G306" s="10">
        <f>'G) Solidarité'!I295</f>
        <v>209225.12999345298</v>
      </c>
      <c r="H306" s="14">
        <f t="shared" si="13"/>
        <v>284728.02234757773</v>
      </c>
      <c r="I306" s="55">
        <f t="shared" si="14"/>
        <v>57638.268099380191</v>
      </c>
    </row>
    <row r="307" spans="1:9" x14ac:dyDescent="0.25">
      <c r="A307" s="49">
        <f>'A) Base RI'!A298</f>
        <v>5921</v>
      </c>
      <c r="B307" s="32" t="str">
        <f>'A) Base RI'!B298</f>
        <v>Molondin</v>
      </c>
      <c r="C307" s="31">
        <f>'D) Ecrêtage'!C296</f>
        <v>5647.9358760030909</v>
      </c>
      <c r="D307" s="14">
        <f>'A) Base RI'!V298</f>
        <v>240</v>
      </c>
      <c r="E307" s="10">
        <f t="shared" si="12"/>
        <v>110974.73016525862</v>
      </c>
      <c r="F307" s="14">
        <f>'F) Population'!K299</f>
        <v>30150.905432595573</v>
      </c>
      <c r="G307" s="10">
        <f>'G) Solidarité'!I296</f>
        <v>139684.88679686925</v>
      </c>
      <c r="H307" s="14">
        <f t="shared" si="13"/>
        <v>169835.79222946483</v>
      </c>
      <c r="I307" s="55">
        <f t="shared" si="14"/>
        <v>-58861.062064206213</v>
      </c>
    </row>
    <row r="308" spans="1:9" x14ac:dyDescent="0.25">
      <c r="A308" s="49">
        <f>'A) Base RI'!A299</f>
        <v>5922</v>
      </c>
      <c r="B308" s="32" t="str">
        <f>'A) Base RI'!B299</f>
        <v>Montagny-près-Yverdon</v>
      </c>
      <c r="C308" s="31">
        <f>'D) Ecrêtage'!C297</f>
        <v>35984.463355398897</v>
      </c>
      <c r="D308" s="14">
        <f>'A) Base RI'!V299</f>
        <v>747</v>
      </c>
      <c r="E308" s="10">
        <f t="shared" si="12"/>
        <v>707048.76944053394</v>
      </c>
      <c r="F308" s="14">
        <f>'F) Population'!K300</f>
        <v>93844.693158953713</v>
      </c>
      <c r="G308" s="10">
        <f>'G) Solidarité'!I297</f>
        <v>0</v>
      </c>
      <c r="H308" s="14">
        <f t="shared" si="13"/>
        <v>93844.693158953713</v>
      </c>
      <c r="I308" s="55">
        <f t="shared" si="14"/>
        <v>613204.07628158026</v>
      </c>
    </row>
    <row r="309" spans="1:9" x14ac:dyDescent="0.25">
      <c r="A309" s="49">
        <f>'A) Base RI'!A300</f>
        <v>5923</v>
      </c>
      <c r="B309" s="32" t="str">
        <f>'A) Base RI'!B300</f>
        <v>Oppens</v>
      </c>
      <c r="C309" s="31">
        <f>'D) Ecrêtage'!C298</f>
        <v>5389.7298551743424</v>
      </c>
      <c r="D309" s="14">
        <f>'A) Base RI'!V300</f>
        <v>202</v>
      </c>
      <c r="E309" s="10">
        <f t="shared" si="12"/>
        <v>105901.31146547099</v>
      </c>
      <c r="F309" s="14">
        <f>'F) Population'!K301</f>
        <v>25377.012072434605</v>
      </c>
      <c r="G309" s="10">
        <f>'G) Solidarité'!I298</f>
        <v>101091.2457453712</v>
      </c>
      <c r="H309" s="14">
        <f t="shared" si="13"/>
        <v>126468.2578178058</v>
      </c>
      <c r="I309" s="55">
        <f t="shared" si="14"/>
        <v>-20566.946352334809</v>
      </c>
    </row>
    <row r="310" spans="1:9" x14ac:dyDescent="0.25">
      <c r="A310" s="49">
        <f>'A) Base RI'!A301</f>
        <v>5924</v>
      </c>
      <c r="B310" s="32" t="str">
        <f>'A) Base RI'!B301</f>
        <v>Orges</v>
      </c>
      <c r="C310" s="31">
        <f>'D) Ecrêtage'!C299</f>
        <v>11865.812404035813</v>
      </c>
      <c r="D310" s="14">
        <f>'A) Base RI'!V301</f>
        <v>332</v>
      </c>
      <c r="E310" s="10">
        <f t="shared" si="12"/>
        <v>233148.06659266193</v>
      </c>
      <c r="F310" s="14">
        <f>'F) Population'!K302</f>
        <v>41708.752515090542</v>
      </c>
      <c r="G310" s="10">
        <f>'G) Solidarité'!I299</f>
        <v>73649.500642749466</v>
      </c>
      <c r="H310" s="14">
        <f t="shared" si="13"/>
        <v>115358.25315784001</v>
      </c>
      <c r="I310" s="55">
        <f t="shared" si="14"/>
        <v>117789.81343482192</v>
      </c>
    </row>
    <row r="311" spans="1:9" x14ac:dyDescent="0.25">
      <c r="A311" s="49">
        <f>'A) Base RI'!A302</f>
        <v>5925</v>
      </c>
      <c r="B311" s="32" t="str">
        <f>'A) Base RI'!B302</f>
        <v>Orzens</v>
      </c>
      <c r="C311" s="31">
        <f>'D) Ecrêtage'!C300</f>
        <v>5342.7421425482316</v>
      </c>
      <c r="D311" s="14">
        <f>'A) Base RI'!V302</f>
        <v>208</v>
      </c>
      <c r="E311" s="10">
        <f t="shared" si="12"/>
        <v>104978.062893914</v>
      </c>
      <c r="F311" s="14">
        <f>'F) Population'!K303</f>
        <v>26130.784708249495</v>
      </c>
      <c r="G311" s="10">
        <f>'G) Solidarité'!I300</f>
        <v>104119.70638084642</v>
      </c>
      <c r="H311" s="14">
        <f t="shared" si="13"/>
        <v>130250.49108909591</v>
      </c>
      <c r="I311" s="55">
        <f t="shared" si="14"/>
        <v>-25272.428195181914</v>
      </c>
    </row>
    <row r="312" spans="1:9" x14ac:dyDescent="0.25">
      <c r="A312" s="49">
        <f>'A) Base RI'!A303</f>
        <v>5926</v>
      </c>
      <c r="B312" s="32" t="str">
        <f>'A) Base RI'!B303</f>
        <v>Pomy</v>
      </c>
      <c r="C312" s="31">
        <f>'D) Ecrêtage'!C301</f>
        <v>27482.214843455455</v>
      </c>
      <c r="D312" s="14">
        <f>'A) Base RI'!V303</f>
        <v>793</v>
      </c>
      <c r="E312" s="10">
        <f t="shared" si="12"/>
        <v>539990.43961427326</v>
      </c>
      <c r="F312" s="14">
        <f>'F) Population'!K304</f>
        <v>99623.616700201208</v>
      </c>
      <c r="G312" s="10">
        <f>'G) Solidarité'!I301</f>
        <v>179056.95986417335</v>
      </c>
      <c r="H312" s="14">
        <f t="shared" si="13"/>
        <v>278680.57656437455</v>
      </c>
      <c r="I312" s="55">
        <f t="shared" si="14"/>
        <v>261309.8630498987</v>
      </c>
    </row>
    <row r="313" spans="1:9" x14ac:dyDescent="0.25">
      <c r="A313" s="49">
        <f>'A) Base RI'!A304</f>
        <v>5928</v>
      </c>
      <c r="B313" s="32" t="str">
        <f>'A) Base RI'!B304</f>
        <v>Rovray</v>
      </c>
      <c r="C313" s="31">
        <f>'D) Ecrêtage'!C302</f>
        <v>6003.0944827326612</v>
      </c>
      <c r="D313" s="14">
        <f>'A) Base RI'!V304</f>
        <v>185</v>
      </c>
      <c r="E313" s="10">
        <f t="shared" si="12"/>
        <v>117953.14341444999</v>
      </c>
      <c r="F313" s="14">
        <f>'F) Population'!K305</f>
        <v>23241.322937625755</v>
      </c>
      <c r="G313" s="10">
        <f>'G) Solidarité'!I302</f>
        <v>52749.15042511862</v>
      </c>
      <c r="H313" s="14">
        <f t="shared" si="13"/>
        <v>75990.473362744378</v>
      </c>
      <c r="I313" s="55">
        <f t="shared" si="14"/>
        <v>41962.670051705616</v>
      </c>
    </row>
    <row r="314" spans="1:9" x14ac:dyDescent="0.25">
      <c r="A314" s="49">
        <f>'A) Base RI'!A305</f>
        <v>5929</v>
      </c>
      <c r="B314" s="32" t="str">
        <f>'A) Base RI'!B305</f>
        <v>Suchy</v>
      </c>
      <c r="C314" s="31">
        <f>'D) Ecrêtage'!C303</f>
        <v>17215.501466609803</v>
      </c>
      <c r="D314" s="14">
        <f>'A) Base RI'!V305</f>
        <v>645</v>
      </c>
      <c r="E314" s="10">
        <f t="shared" si="12"/>
        <v>338262.62759708276</v>
      </c>
      <c r="F314" s="14">
        <f>'F) Population'!K306</f>
        <v>81030.558350100604</v>
      </c>
      <c r="G314" s="10">
        <f>'G) Solidarité'!I303</f>
        <v>240961.97340166857</v>
      </c>
      <c r="H314" s="14">
        <f t="shared" si="13"/>
        <v>321992.53175176919</v>
      </c>
      <c r="I314" s="55">
        <f t="shared" si="14"/>
        <v>16270.095845313568</v>
      </c>
    </row>
    <row r="315" spans="1:9" x14ac:dyDescent="0.25">
      <c r="A315" s="49">
        <f>'A) Base RI'!A306</f>
        <v>5930</v>
      </c>
      <c r="B315" s="32" t="str">
        <f>'A) Base RI'!B306</f>
        <v>Suscévaz</v>
      </c>
      <c r="C315" s="31">
        <f>'D) Ecrêtage'!C304</f>
        <v>5858.9969932954782</v>
      </c>
      <c r="D315" s="14">
        <f>'A) Base RI'!V306</f>
        <v>215</v>
      </c>
      <c r="E315" s="10">
        <f t="shared" si="12"/>
        <v>115121.81169276283</v>
      </c>
      <c r="F315" s="14">
        <f>'F) Population'!K307</f>
        <v>27010.186116700199</v>
      </c>
      <c r="G315" s="10">
        <f>'G) Solidarité'!I304</f>
        <v>82509.640354727017</v>
      </c>
      <c r="H315" s="14">
        <f t="shared" si="13"/>
        <v>109519.82647142722</v>
      </c>
      <c r="I315" s="55">
        <f t="shared" si="14"/>
        <v>5601.9852213356062</v>
      </c>
    </row>
    <row r="316" spans="1:9" x14ac:dyDescent="0.25">
      <c r="A316" s="49">
        <f>'A) Base RI'!A307</f>
        <v>5931</v>
      </c>
      <c r="B316" s="32" t="str">
        <f>'A) Base RI'!B307</f>
        <v>Treycovagnes</v>
      </c>
      <c r="C316" s="31">
        <f>'D) Ecrêtage'!C305</f>
        <v>12172.811234031555</v>
      </c>
      <c r="D316" s="14">
        <f>'A) Base RI'!V307</f>
        <v>492</v>
      </c>
      <c r="E316" s="10">
        <f t="shared" si="12"/>
        <v>239180.20170676266</v>
      </c>
      <c r="F316" s="14">
        <f>'F) Population'!K308</f>
        <v>61809.356136820919</v>
      </c>
      <c r="G316" s="10">
        <f>'G) Solidarité'!I305</f>
        <v>232298.01864955094</v>
      </c>
      <c r="H316" s="14">
        <f t="shared" si="13"/>
        <v>294107.37478637183</v>
      </c>
      <c r="I316" s="55">
        <f t="shared" si="14"/>
        <v>-54927.173079609172</v>
      </c>
    </row>
    <row r="317" spans="1:9" x14ac:dyDescent="0.25">
      <c r="A317" s="49">
        <f>'A) Base RI'!A308</f>
        <v>5932</v>
      </c>
      <c r="B317" s="32" t="str">
        <f>'A) Base RI'!B308</f>
        <v>Ursins</v>
      </c>
      <c r="C317" s="31">
        <f>'D) Ecrêtage'!C306</f>
        <v>8276.7755150217381</v>
      </c>
      <c r="D317" s="14">
        <f>'A) Base RI'!V308</f>
        <v>225</v>
      </c>
      <c r="E317" s="10">
        <f t="shared" si="12"/>
        <v>162628.0732613357</v>
      </c>
      <c r="F317" s="14">
        <f>'F) Population'!K309</f>
        <v>28266.473843058349</v>
      </c>
      <c r="G317" s="10">
        <f>'G) Solidarité'!I306</f>
        <v>48536.493293960921</v>
      </c>
      <c r="H317" s="14">
        <f t="shared" si="13"/>
        <v>76802.967137019266</v>
      </c>
      <c r="I317" s="55">
        <f t="shared" si="14"/>
        <v>85825.106124316429</v>
      </c>
    </row>
    <row r="318" spans="1:9" x14ac:dyDescent="0.25">
      <c r="A318" s="49">
        <f>'A) Base RI'!A309</f>
        <v>5933</v>
      </c>
      <c r="B318" s="32" t="str">
        <f>'A) Base RI'!B309</f>
        <v>Valeyres-sous-Montagny</v>
      </c>
      <c r="C318" s="31">
        <f>'D) Ecrêtage'!C307</f>
        <v>22088.929559782136</v>
      </c>
      <c r="D318" s="14">
        <f>'A) Base RI'!V309</f>
        <v>709</v>
      </c>
      <c r="E318" s="10">
        <f t="shared" si="12"/>
        <v>434019.26851743279</v>
      </c>
      <c r="F318" s="14">
        <f>'F) Population'!K310</f>
        <v>89070.799798792752</v>
      </c>
      <c r="G318" s="10">
        <f>'G) Solidarité'!I307</f>
        <v>215436.9294645359</v>
      </c>
      <c r="H318" s="14">
        <f t="shared" si="13"/>
        <v>304507.72926332866</v>
      </c>
      <c r="I318" s="55">
        <f t="shared" si="14"/>
        <v>129511.53925410414</v>
      </c>
    </row>
    <row r="319" spans="1:9" x14ac:dyDescent="0.25">
      <c r="A319" s="49">
        <f>'A) Base RI'!A310</f>
        <v>5934</v>
      </c>
      <c r="B319" s="32" t="str">
        <f>'A) Base RI'!B310</f>
        <v>Valeyres-sous-Ursins</v>
      </c>
      <c r="C319" s="31">
        <f>'D) Ecrêtage'!C308</f>
        <v>7547.3165822784813</v>
      </c>
      <c r="D319" s="14">
        <f>'A) Base RI'!V310</f>
        <v>227</v>
      </c>
      <c r="E319" s="10">
        <f t="shared" si="12"/>
        <v>148295.13641412987</v>
      </c>
      <c r="F319" s="14">
        <f>'F) Population'!K311</f>
        <v>28517.731388329979</v>
      </c>
      <c r="G319" s="10">
        <f>'G) Solidarité'!I308</f>
        <v>71332.626411708552</v>
      </c>
      <c r="H319" s="14">
        <f t="shared" si="13"/>
        <v>99850.357800038531</v>
      </c>
      <c r="I319" s="55">
        <f t="shared" si="14"/>
        <v>48444.778614091338</v>
      </c>
    </row>
    <row r="320" spans="1:9" x14ac:dyDescent="0.25">
      <c r="A320" s="49">
        <f>'A) Base RI'!A311</f>
        <v>5935</v>
      </c>
      <c r="B320" s="32" t="str">
        <f>'A) Base RI'!B311</f>
        <v>Villars-Epeney</v>
      </c>
      <c r="C320" s="31">
        <f>'D) Ecrêtage'!C309</f>
        <v>4852.8368333333328</v>
      </c>
      <c r="D320" s="14">
        <f>'A) Base RI'!V311</f>
        <v>102</v>
      </c>
      <c r="E320" s="10">
        <f t="shared" si="12"/>
        <v>95352.048950015378</v>
      </c>
      <c r="F320" s="14">
        <f>'F) Population'!K312</f>
        <v>12814.134808853118</v>
      </c>
      <c r="G320" s="10">
        <f>'G) Solidarité'!I309</f>
        <v>0</v>
      </c>
      <c r="H320" s="14">
        <f t="shared" si="13"/>
        <v>12814.134808853118</v>
      </c>
      <c r="I320" s="55">
        <f t="shared" si="14"/>
        <v>82537.914141162255</v>
      </c>
    </row>
    <row r="321" spans="1:9" x14ac:dyDescent="0.25">
      <c r="A321" s="49">
        <f>'A) Base RI'!A312</f>
        <v>5937</v>
      </c>
      <c r="B321" s="32" t="str">
        <f>'A) Base RI'!B312</f>
        <v>Vugelles-La Mothe</v>
      </c>
      <c r="C321" s="31">
        <f>'D) Ecrêtage'!C310</f>
        <v>3013.5893429156713</v>
      </c>
      <c r="D321" s="14">
        <f>'A) Base RI'!V312</f>
        <v>135</v>
      </c>
      <c r="E321" s="10">
        <f t="shared" si="12"/>
        <v>59213.183630483312</v>
      </c>
      <c r="F321" s="14">
        <f>'F) Population'!K313</f>
        <v>16959.88430583501</v>
      </c>
      <c r="G321" s="10">
        <f>'G) Solidarité'!I310</f>
        <v>61841.840378818575</v>
      </c>
      <c r="H321" s="14">
        <f t="shared" si="13"/>
        <v>78801.724684653585</v>
      </c>
      <c r="I321" s="55">
        <f t="shared" si="14"/>
        <v>-19588.541054170273</v>
      </c>
    </row>
    <row r="322" spans="1:9" x14ac:dyDescent="0.25">
      <c r="A322" s="49">
        <f>'A) Base RI'!A313</f>
        <v>5938</v>
      </c>
      <c r="B322" s="32" t="str">
        <f>'A) Base RI'!B313</f>
        <v>Yverdon-les-Bains</v>
      </c>
      <c r="C322" s="31">
        <f>'D) Ecrêtage'!C311</f>
        <v>781659.36856013921</v>
      </c>
      <c r="D322" s="14">
        <f>'A) Base RI'!V313</f>
        <v>30189</v>
      </c>
      <c r="E322" s="10">
        <f t="shared" si="12"/>
        <v>15358608.775228314</v>
      </c>
      <c r="F322" s="14">
        <f>'F) Population'!K314</f>
        <v>25852843.611670021</v>
      </c>
      <c r="G322" s="10">
        <f>'G) Solidarité'!I311</f>
        <v>14026909.694007678</v>
      </c>
      <c r="H322" s="14">
        <f t="shared" si="13"/>
        <v>39879753.305677697</v>
      </c>
      <c r="I322" s="55">
        <f t="shared" si="14"/>
        <v>-24521144.530449383</v>
      </c>
    </row>
    <row r="323" spans="1:9" x14ac:dyDescent="0.25">
      <c r="A323" s="49">
        <f>'A) Base RI'!A314</f>
        <v>5939</v>
      </c>
      <c r="B323" s="32" t="str">
        <f>'A) Base RI'!B314</f>
        <v>Yvonand</v>
      </c>
      <c r="C323" s="31">
        <f>'D) Ecrêtage'!C312</f>
        <v>95019.586686348848</v>
      </c>
      <c r="D323" s="14">
        <f>'A) Base RI'!V314</f>
        <v>3434</v>
      </c>
      <c r="E323" s="10">
        <f t="shared" si="12"/>
        <v>1867013.5823840564</v>
      </c>
      <c r="F323" s="14">
        <f>'F) Population'!K315</f>
        <v>1047241.4486921529</v>
      </c>
      <c r="G323" s="10">
        <f>'G) Solidarité'!I312</f>
        <v>1324432.4092613594</v>
      </c>
      <c r="H323" s="14">
        <f t="shared" si="13"/>
        <v>2371673.8579535121</v>
      </c>
      <c r="I323" s="55">
        <f t="shared" si="14"/>
        <v>-504660.2755694557</v>
      </c>
    </row>
    <row r="324" spans="1:9" x14ac:dyDescent="0.25">
      <c r="A324" s="30"/>
      <c r="B324" s="118">
        <f>COUNTA(B16:B323)</f>
        <v>308</v>
      </c>
      <c r="C324" s="119">
        <f>SUM(C16:C323)</f>
        <v>37080520.101833388</v>
      </c>
      <c r="D324" s="11">
        <f>SUM(D16:D323)</f>
        <v>806088</v>
      </c>
      <c r="E324" s="11">
        <f>SUM(E16:E323)</f>
        <v>728584885.35115886</v>
      </c>
      <c r="F324" s="11">
        <f>SUM(F16:F323)</f>
        <v>429786734.75855124</v>
      </c>
      <c r="G324" s="11">
        <f>SUM(G16:G323)</f>
        <v>129292568.88183312</v>
      </c>
      <c r="H324" s="11">
        <f>F324+G324</f>
        <v>559079303.64038432</v>
      </c>
      <c r="I324" s="37">
        <f>E324-H324</f>
        <v>169505581.71077454</v>
      </c>
    </row>
    <row r="325" spans="1:9" x14ac:dyDescent="0.25">
      <c r="C325" s="71"/>
      <c r="D325" s="71"/>
      <c r="E325" s="36"/>
      <c r="H325" s="36"/>
    </row>
    <row r="326" spans="1:9" x14ac:dyDescent="0.25">
      <c r="C326" s="5"/>
      <c r="D326" s="5"/>
      <c r="E326" s="6"/>
      <c r="F326" s="6"/>
      <c r="G326" s="6"/>
      <c r="H326" s="6"/>
      <c r="I326" s="6"/>
    </row>
    <row r="327" spans="1:9" x14ac:dyDescent="0.25">
      <c r="G327" s="12"/>
    </row>
    <row r="329" spans="1:9" x14ac:dyDescent="0.25">
      <c r="F329" s="12"/>
    </row>
    <row r="330" spans="1:9" x14ac:dyDescent="0.25">
      <c r="F330" s="12"/>
    </row>
    <row r="332" spans="1:9" x14ac:dyDescent="0.25">
      <c r="F332" s="107"/>
      <c r="G332" s="107"/>
      <c r="H332" s="107"/>
      <c r="I332" s="107"/>
    </row>
    <row r="333" spans="1:9" x14ac:dyDescent="0.25">
      <c r="E333" s="107"/>
      <c r="F333" s="107"/>
      <c r="G333" s="107"/>
      <c r="H333" s="107"/>
      <c r="I333" s="107"/>
    </row>
    <row r="334" spans="1:9" x14ac:dyDescent="0.25">
      <c r="E334" s="115"/>
      <c r="F334" s="115"/>
      <c r="G334" s="115"/>
      <c r="H334" s="115"/>
      <c r="I334" s="115"/>
    </row>
    <row r="341" spans="3:3" x14ac:dyDescent="0.25">
      <c r="C341" s="48"/>
    </row>
    <row r="342" spans="3:3" x14ac:dyDescent="0.25">
      <c r="C342" s="48"/>
    </row>
    <row r="343" spans="3:3" x14ac:dyDescent="0.25">
      <c r="C343" s="48"/>
    </row>
  </sheetData>
  <mergeCells count="4">
    <mergeCell ref="D14:D15"/>
    <mergeCell ref="C14:C15"/>
    <mergeCell ref="B14:B15"/>
    <mergeCell ref="A14:A15"/>
  </mergeCells>
  <phoneticPr fontId="24" type="noConversion"/>
  <pageMargins left="0.25" right="0.25" top="0.75" bottom="0.75" header="0.3" footer="0.3"/>
  <pageSetup paperSize="9" orientation="landscape" horizontalDpi="4294967292" vertic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>
    <tabColor rgb="FF00B050"/>
  </sheetPr>
  <dimension ref="A1:Q319"/>
  <sheetViews>
    <sheetView workbookViewId="0">
      <pane ySplit="4" topLeftCell="A5" activePane="bottomLeft" state="frozen"/>
      <selection pane="bottomLeft"/>
    </sheetView>
  </sheetViews>
  <sheetFormatPr baseColWidth="10" defaultColWidth="10.75" defaultRowHeight="15" x14ac:dyDescent="0.25"/>
  <cols>
    <col min="1" max="1" width="7.25" style="13" customWidth="1"/>
    <col min="2" max="2" width="18" style="13" customWidth="1"/>
    <col min="3" max="3" width="14.25" style="6" bestFit="1" customWidth="1"/>
    <col min="4" max="5" width="13.125" style="6" bestFit="1" customWidth="1"/>
    <col min="6" max="6" width="12.25" style="6" bestFit="1" customWidth="1"/>
    <col min="7" max="7" width="13.125" style="6" bestFit="1" customWidth="1"/>
    <col min="8" max="8" width="16.875" style="6" bestFit="1" customWidth="1"/>
    <col min="9" max="9" width="13.25" style="6" bestFit="1" customWidth="1"/>
    <col min="10" max="10" width="12.125" style="6" customWidth="1"/>
    <col min="11" max="11" width="10" style="6" customWidth="1"/>
    <col min="12" max="12" width="11.375" style="6" customWidth="1"/>
    <col min="13" max="13" width="11.875" style="6" customWidth="1"/>
    <col min="14" max="14" width="12.5" style="6" customWidth="1"/>
    <col min="15" max="15" width="12.875" style="6" customWidth="1"/>
    <col min="16" max="16" width="10" style="15" customWidth="1"/>
    <col min="17" max="17" width="2.5" style="13" customWidth="1"/>
    <col min="18" max="16384" width="10.75" style="13"/>
  </cols>
  <sheetData>
    <row r="1" spans="1:17" s="43" customFormat="1" ht="20.25" customHeight="1" x14ac:dyDescent="0.25">
      <c r="A1" s="51" t="s">
        <v>138</v>
      </c>
      <c r="B1" s="42"/>
      <c r="C1" s="44"/>
      <c r="D1" s="44"/>
      <c r="E1" s="44"/>
      <c r="F1" s="44"/>
      <c r="G1" s="44"/>
      <c r="H1" s="44"/>
      <c r="I1" s="44"/>
      <c r="J1" s="44"/>
      <c r="K1" s="286"/>
      <c r="L1" s="44"/>
      <c r="M1" s="286"/>
      <c r="N1" s="44"/>
      <c r="O1" s="44"/>
      <c r="P1" s="134"/>
      <c r="Q1" s="13"/>
    </row>
    <row r="3" spans="1:17" ht="60" customHeight="1" x14ac:dyDescent="0.25">
      <c r="A3" s="492" t="s">
        <v>46</v>
      </c>
      <c r="B3" s="492" t="s">
        <v>95</v>
      </c>
      <c r="C3" s="489" t="s">
        <v>538</v>
      </c>
      <c r="D3" s="489" t="s">
        <v>328</v>
      </c>
      <c r="E3" s="489" t="s">
        <v>329</v>
      </c>
      <c r="F3" s="489" t="s">
        <v>330</v>
      </c>
      <c r="G3" s="489" t="s">
        <v>301</v>
      </c>
      <c r="H3" s="489" t="s">
        <v>44</v>
      </c>
      <c r="I3" s="282" t="s">
        <v>302</v>
      </c>
      <c r="J3" s="282" t="s">
        <v>212</v>
      </c>
      <c r="K3" s="517" t="s">
        <v>213</v>
      </c>
      <c r="L3" s="489" t="s">
        <v>45</v>
      </c>
      <c r="M3" s="282" t="s">
        <v>214</v>
      </c>
      <c r="N3" s="282" t="s">
        <v>212</v>
      </c>
      <c r="O3" s="287" t="s">
        <v>366</v>
      </c>
      <c r="P3" s="320" t="s">
        <v>524</v>
      </c>
    </row>
    <row r="4" spans="1:17" x14ac:dyDescent="0.25">
      <c r="A4" s="493"/>
      <c r="B4" s="494"/>
      <c r="C4" s="490"/>
      <c r="D4" s="491"/>
      <c r="E4" s="490"/>
      <c r="F4" s="491"/>
      <c r="G4" s="490"/>
      <c r="H4" s="491"/>
      <c r="I4" s="284">
        <f>Paramètres!B41</f>
        <v>8</v>
      </c>
      <c r="J4" s="434">
        <f>+Paramètres!C41</f>
        <v>0.72008299436455969</v>
      </c>
      <c r="K4" s="518"/>
      <c r="L4" s="490"/>
      <c r="M4" s="292">
        <f>Paramètres!B42</f>
        <v>1</v>
      </c>
      <c r="N4" s="434">
        <f>+Paramètres!C42</f>
        <v>0.72008299436455969</v>
      </c>
      <c r="O4" s="288" t="s">
        <v>452</v>
      </c>
      <c r="P4" s="322" t="s">
        <v>453</v>
      </c>
    </row>
    <row r="5" spans="1:17" x14ac:dyDescent="0.25">
      <c r="A5" s="46">
        <f>+'A) Base RI'!A7</f>
        <v>5401</v>
      </c>
      <c r="B5" s="291" t="str">
        <f>+'A) Base RI'!B7</f>
        <v>Aigle</v>
      </c>
      <c r="C5" s="301">
        <f>+'D) Ecrêtage'!C5</f>
        <v>273757.05287947325</v>
      </c>
      <c r="D5" s="439">
        <v>4220028</v>
      </c>
      <c r="E5" s="440">
        <v>1945596</v>
      </c>
      <c r="F5" s="439">
        <v>46041</v>
      </c>
      <c r="G5" s="301">
        <f>SUM(D5:F5)</f>
        <v>6211665</v>
      </c>
      <c r="H5" s="283">
        <f>+C5*$I$4</f>
        <v>2190056.423035786</v>
      </c>
      <c r="I5" s="54">
        <f>IF(G5&gt;H5,G5-H5,0)</f>
        <v>4021608.576964214</v>
      </c>
      <c r="J5" s="447">
        <f>-I5*J$4</f>
        <v>-2895891.9462625869</v>
      </c>
      <c r="K5" s="10">
        <v>296671</v>
      </c>
      <c r="L5" s="398">
        <f>C5*M$4</f>
        <v>273757.05287947325</v>
      </c>
      <c r="M5" s="69">
        <f>IF(K5&gt;L5,K5-L5,0)</f>
        <v>22913.947120526747</v>
      </c>
      <c r="N5" s="128">
        <f>-M5*N$4</f>
        <v>-16499.943655260082</v>
      </c>
      <c r="O5" s="129">
        <f>N5+J5</f>
        <v>-2912391.8899178468</v>
      </c>
      <c r="P5" s="438">
        <f>+O5/C5</f>
        <v>-10.638600391421084</v>
      </c>
      <c r="Q5" s="124"/>
    </row>
    <row r="6" spans="1:17" x14ac:dyDescent="0.25">
      <c r="A6" s="49">
        <f>+'A) Base RI'!A8</f>
        <v>5402</v>
      </c>
      <c r="B6" s="291" t="str">
        <f>+'A) Base RI'!B8</f>
        <v>Bex</v>
      </c>
      <c r="C6" s="302">
        <f>+'D) Ecrêtage'!C6</f>
        <v>185201.4300069781</v>
      </c>
      <c r="D6" s="439">
        <v>3046657</v>
      </c>
      <c r="E6" s="440">
        <v>607116</v>
      </c>
      <c r="F6" s="439">
        <v>232138</v>
      </c>
      <c r="G6" s="302">
        <f t="shared" ref="G6:G68" si="0">SUM(D6:F6)</f>
        <v>3885911</v>
      </c>
      <c r="H6" s="283">
        <f t="shared" ref="H6:H68" si="1">+C6*$I$4</f>
        <v>1481611.4400558248</v>
      </c>
      <c r="I6" s="10">
        <f t="shared" ref="I6:I68" si="2">IF(G6&gt;H6,G6-H6,0)</f>
        <v>2404299.5599441752</v>
      </c>
      <c r="J6" s="447">
        <f t="shared" ref="J6:J68" si="3">-I6*J$4</f>
        <v>-1731295.2264739948</v>
      </c>
      <c r="K6" s="10">
        <v>391991</v>
      </c>
      <c r="L6" s="397">
        <f t="shared" ref="L6:L68" si="4">C6*M$4</f>
        <v>185201.4300069781</v>
      </c>
      <c r="M6" s="14">
        <f t="shared" ref="M6:M68" si="5">IF(K6&gt;L6,K6-L6,0)</f>
        <v>206789.5699930219</v>
      </c>
      <c r="N6" s="2">
        <f t="shared" ref="N6:N68" si="6">-M6*N$4</f>
        <v>-148905.65276393492</v>
      </c>
      <c r="O6" s="130">
        <f t="shared" ref="O6:O68" si="7">N6+J6</f>
        <v>-1880200.8792379298</v>
      </c>
      <c r="P6" s="438">
        <f t="shared" ref="P6:P68" si="8">+O6/C6</f>
        <v>-10.152194176724699</v>
      </c>
      <c r="Q6" s="124"/>
    </row>
    <row r="7" spans="1:17" x14ac:dyDescent="0.25">
      <c r="A7" s="49">
        <f>+'A) Base RI'!A9</f>
        <v>5403</v>
      </c>
      <c r="B7" s="291" t="str">
        <f>+'A) Base RI'!B9</f>
        <v>Chessel</v>
      </c>
      <c r="C7" s="302">
        <f>+'D) Ecrêtage'!C7</f>
        <v>10689.780666211695</v>
      </c>
      <c r="D7" s="439">
        <v>76422</v>
      </c>
      <c r="E7" s="440">
        <v>23583</v>
      </c>
      <c r="F7" s="439">
        <v>17320</v>
      </c>
      <c r="G7" s="302">
        <f t="shared" si="0"/>
        <v>117325</v>
      </c>
      <c r="H7" s="283">
        <f t="shared" si="1"/>
        <v>85518.245329693556</v>
      </c>
      <c r="I7" s="10">
        <f t="shared" si="2"/>
        <v>31806.754670306444</v>
      </c>
      <c r="J7" s="447">
        <f t="shared" si="3"/>
        <v>-22903.503144013208</v>
      </c>
      <c r="K7" s="10">
        <v>44036</v>
      </c>
      <c r="L7" s="397">
        <f t="shared" si="4"/>
        <v>10689.780666211695</v>
      </c>
      <c r="M7" s="14">
        <f t="shared" si="5"/>
        <v>33346.219333788307</v>
      </c>
      <c r="N7" s="2">
        <f t="shared" si="6"/>
        <v>-24012.045468611657</v>
      </c>
      <c r="O7" s="130">
        <f t="shared" si="7"/>
        <v>-46915.548612624865</v>
      </c>
      <c r="P7" s="438">
        <f t="shared" si="8"/>
        <v>-4.3888223788272605</v>
      </c>
      <c r="Q7" s="126"/>
    </row>
    <row r="8" spans="1:17" x14ac:dyDescent="0.25">
      <c r="A8" s="49">
        <f>+'A) Base RI'!A10</f>
        <v>5404</v>
      </c>
      <c r="B8" s="291" t="str">
        <f>+'A) Base RI'!B10</f>
        <v>Corbeyrier</v>
      </c>
      <c r="C8" s="302">
        <f>+'D) Ecrêtage'!C8</f>
        <v>14591.74084015964</v>
      </c>
      <c r="D8" s="439">
        <v>225596</v>
      </c>
      <c r="E8" s="440">
        <v>16165</v>
      </c>
      <c r="F8" s="439">
        <v>51629</v>
      </c>
      <c r="G8" s="302">
        <f t="shared" si="0"/>
        <v>293390</v>
      </c>
      <c r="H8" s="283">
        <f t="shared" si="1"/>
        <v>116733.92672127712</v>
      </c>
      <c r="I8" s="10">
        <f t="shared" si="2"/>
        <v>176656.07327872288</v>
      </c>
      <c r="J8" s="447">
        <f t="shared" si="3"/>
        <v>-127207.03421922785</v>
      </c>
      <c r="K8" s="10">
        <v>26752</v>
      </c>
      <c r="L8" s="397">
        <f t="shared" si="4"/>
        <v>14591.74084015964</v>
      </c>
      <c r="M8" s="14">
        <f t="shared" si="5"/>
        <v>12160.25915984036</v>
      </c>
      <c r="N8" s="2">
        <f t="shared" si="6"/>
        <v>-8756.3958280669103</v>
      </c>
      <c r="O8" s="130">
        <f t="shared" si="7"/>
        <v>-135963.43004729477</v>
      </c>
      <c r="P8" s="438">
        <f t="shared" si="8"/>
        <v>-9.3178347626003521</v>
      </c>
      <c r="Q8" s="126"/>
    </row>
    <row r="9" spans="1:17" x14ac:dyDescent="0.25">
      <c r="A9" s="49">
        <f>+'A) Base RI'!A11</f>
        <v>5405</v>
      </c>
      <c r="B9" s="291" t="str">
        <f>+'A) Base RI'!B11</f>
        <v>Gryon</v>
      </c>
      <c r="C9" s="302">
        <f>+'D) Ecrêtage'!C9</f>
        <v>65629.125271315643</v>
      </c>
      <c r="D9" s="439">
        <v>1723686</v>
      </c>
      <c r="E9" s="440">
        <v>139960</v>
      </c>
      <c r="F9" s="439">
        <v>72234</v>
      </c>
      <c r="G9" s="302">
        <f t="shared" si="0"/>
        <v>1935880</v>
      </c>
      <c r="H9" s="283">
        <f t="shared" si="1"/>
        <v>525033.00217052514</v>
      </c>
      <c r="I9" s="10">
        <f t="shared" si="2"/>
        <v>1410846.997829475</v>
      </c>
      <c r="J9" s="447">
        <f t="shared" si="3"/>
        <v>-1015926.9307872978</v>
      </c>
      <c r="K9" s="10">
        <v>30566</v>
      </c>
      <c r="L9" s="397">
        <f t="shared" si="4"/>
        <v>65629.125271315643</v>
      </c>
      <c r="M9" s="14">
        <f t="shared" si="5"/>
        <v>0</v>
      </c>
      <c r="N9" s="2">
        <f t="shared" si="6"/>
        <v>0</v>
      </c>
      <c r="O9" s="130">
        <f t="shared" si="7"/>
        <v>-1015926.9307872978</v>
      </c>
      <c r="P9" s="438">
        <f t="shared" si="8"/>
        <v>-15.479818245137063</v>
      </c>
      <c r="Q9" s="126"/>
    </row>
    <row r="10" spans="1:17" x14ac:dyDescent="0.25">
      <c r="A10" s="49">
        <f>+'A) Base RI'!A12</f>
        <v>5406</v>
      </c>
      <c r="B10" s="291" t="str">
        <f>+'A) Base RI'!B12</f>
        <v>Lavey-Morcles</v>
      </c>
      <c r="C10" s="302">
        <f>+'D) Ecrêtage'!C10</f>
        <v>24629.026648333398</v>
      </c>
      <c r="D10" s="439">
        <v>279634</v>
      </c>
      <c r="E10" s="440">
        <v>34914</v>
      </c>
      <c r="F10" s="439">
        <v>41234</v>
      </c>
      <c r="G10" s="302">
        <f t="shared" si="0"/>
        <v>355782</v>
      </c>
      <c r="H10" s="283">
        <f t="shared" si="1"/>
        <v>197032.21318666718</v>
      </c>
      <c r="I10" s="10">
        <f t="shared" si="2"/>
        <v>158749.78681333282</v>
      </c>
      <c r="J10" s="447">
        <f t="shared" si="3"/>
        <v>-114313.02184328019</v>
      </c>
      <c r="K10" s="10">
        <v>24093</v>
      </c>
      <c r="L10" s="397">
        <f t="shared" si="4"/>
        <v>24629.026648333398</v>
      </c>
      <c r="M10" s="14">
        <f t="shared" si="5"/>
        <v>0</v>
      </c>
      <c r="N10" s="2">
        <f t="shared" si="6"/>
        <v>0</v>
      </c>
      <c r="O10" s="130">
        <f t="shared" si="7"/>
        <v>-114313.02184328019</v>
      </c>
      <c r="P10" s="438">
        <f t="shared" si="8"/>
        <v>-4.641394216487055</v>
      </c>
      <c r="Q10" s="126"/>
    </row>
    <row r="11" spans="1:17" x14ac:dyDescent="0.25">
      <c r="A11" s="49">
        <f>+'A) Base RI'!A13</f>
        <v>5407</v>
      </c>
      <c r="B11" s="291" t="str">
        <f>+'A) Base RI'!B13</f>
        <v>Leysin</v>
      </c>
      <c r="C11" s="302">
        <f>+'D) Ecrêtage'!C11</f>
        <v>88989.44860843374</v>
      </c>
      <c r="D11" s="439">
        <v>2570728</v>
      </c>
      <c r="E11" s="440">
        <v>746509</v>
      </c>
      <c r="F11" s="439">
        <v>237058</v>
      </c>
      <c r="G11" s="302">
        <f t="shared" si="0"/>
        <v>3554295</v>
      </c>
      <c r="H11" s="283">
        <f t="shared" si="1"/>
        <v>711915.58886746992</v>
      </c>
      <c r="I11" s="10">
        <f t="shared" si="2"/>
        <v>2842379.4111325303</v>
      </c>
      <c r="J11" s="447">
        <f t="shared" si="3"/>
        <v>-2046749.0774884864</v>
      </c>
      <c r="K11" s="10">
        <v>164106</v>
      </c>
      <c r="L11" s="397">
        <f t="shared" si="4"/>
        <v>88989.44860843374</v>
      </c>
      <c r="M11" s="14">
        <f t="shared" si="5"/>
        <v>75116.55139156626</v>
      </c>
      <c r="N11" s="2">
        <f t="shared" si="6"/>
        <v>-54090.151252378368</v>
      </c>
      <c r="O11" s="130">
        <f t="shared" si="7"/>
        <v>-2100839.2287408649</v>
      </c>
      <c r="P11" s="438">
        <f t="shared" si="8"/>
        <v>-23.607733968381545</v>
      </c>
      <c r="Q11" s="126"/>
    </row>
    <row r="12" spans="1:17" x14ac:dyDescent="0.25">
      <c r="A12" s="49">
        <f>+'A) Base RI'!A14</f>
        <v>5408</v>
      </c>
      <c r="B12" s="291" t="str">
        <f>+'A) Base RI'!B14</f>
        <v>Noville</v>
      </c>
      <c r="C12" s="302">
        <f>+'D) Ecrêtage'!C12</f>
        <v>28270.539787685771</v>
      </c>
      <c r="D12" s="439">
        <v>449583</v>
      </c>
      <c r="E12" s="440">
        <v>61617</v>
      </c>
      <c r="F12" s="439">
        <v>53834</v>
      </c>
      <c r="G12" s="302">
        <f t="shared" si="0"/>
        <v>565034</v>
      </c>
      <c r="H12" s="283">
        <f t="shared" si="1"/>
        <v>226164.31830148617</v>
      </c>
      <c r="I12" s="10">
        <f t="shared" si="2"/>
        <v>338869.6816985138</v>
      </c>
      <c r="J12" s="447">
        <f t="shared" si="3"/>
        <v>-244014.29509683105</v>
      </c>
      <c r="K12" s="10">
        <v>68138</v>
      </c>
      <c r="L12" s="397">
        <f t="shared" si="4"/>
        <v>28270.539787685771</v>
      </c>
      <c r="M12" s="14">
        <f t="shared" si="5"/>
        <v>39867.460212314225</v>
      </c>
      <c r="N12" s="2">
        <f t="shared" si="6"/>
        <v>-28707.880127393171</v>
      </c>
      <c r="O12" s="130">
        <f t="shared" si="7"/>
        <v>-272722.17522422422</v>
      </c>
      <c r="P12" s="438">
        <f t="shared" si="8"/>
        <v>-9.6468683397059856</v>
      </c>
      <c r="Q12" s="126"/>
    </row>
    <row r="13" spans="1:17" x14ac:dyDescent="0.25">
      <c r="A13" s="49">
        <f>+'A) Base RI'!A15</f>
        <v>5409</v>
      </c>
      <c r="B13" s="291" t="str">
        <f>+'A) Base RI'!B15</f>
        <v>Ollon</v>
      </c>
      <c r="C13" s="302">
        <f>+'D) Ecrêtage'!C13</f>
        <v>398078.90791518224</v>
      </c>
      <c r="D13" s="439">
        <v>4123886</v>
      </c>
      <c r="E13" s="440">
        <v>1388970</v>
      </c>
      <c r="F13" s="439">
        <v>610115</v>
      </c>
      <c r="G13" s="302">
        <f t="shared" si="0"/>
        <v>6122971</v>
      </c>
      <c r="H13" s="283">
        <f t="shared" si="1"/>
        <v>3184631.2633214579</v>
      </c>
      <c r="I13" s="10">
        <f t="shared" si="2"/>
        <v>2938339.7366785421</v>
      </c>
      <c r="J13" s="447">
        <f t="shared" si="3"/>
        <v>-2115848.4760478563</v>
      </c>
      <c r="K13" s="10">
        <v>664395</v>
      </c>
      <c r="L13" s="397">
        <f t="shared" si="4"/>
        <v>398078.90791518224</v>
      </c>
      <c r="M13" s="14">
        <f t="shared" si="5"/>
        <v>266316.09208481776</v>
      </c>
      <c r="N13" s="2">
        <f t="shared" si="6"/>
        <v>-191769.6890359034</v>
      </c>
      <c r="O13" s="130">
        <f t="shared" si="7"/>
        <v>-2307618.1650837595</v>
      </c>
      <c r="P13" s="438">
        <f t="shared" si="8"/>
        <v>-5.7968862936476864</v>
      </c>
      <c r="Q13" s="126"/>
    </row>
    <row r="14" spans="1:17" x14ac:dyDescent="0.25">
      <c r="A14" s="49">
        <f>+'A) Base RI'!A16</f>
        <v>5410</v>
      </c>
      <c r="B14" s="291" t="str">
        <f>+'A) Base RI'!B16</f>
        <v>Ormont-Dessous</v>
      </c>
      <c r="C14" s="302">
        <f>+'D) Ecrêtage'!C14</f>
        <v>38209.218513800428</v>
      </c>
      <c r="D14" s="439">
        <v>1461428</v>
      </c>
      <c r="E14" s="440">
        <v>82746</v>
      </c>
      <c r="F14" s="439">
        <v>79883</v>
      </c>
      <c r="G14" s="302">
        <f t="shared" si="0"/>
        <v>1624057</v>
      </c>
      <c r="H14" s="283">
        <f t="shared" si="1"/>
        <v>305673.74811040342</v>
      </c>
      <c r="I14" s="10">
        <f t="shared" si="2"/>
        <v>1318383.2518895967</v>
      </c>
      <c r="J14" s="447">
        <f t="shared" si="3"/>
        <v>-949345.35974074632</v>
      </c>
      <c r="K14" s="10">
        <v>61832</v>
      </c>
      <c r="L14" s="397">
        <f t="shared" si="4"/>
        <v>38209.218513800428</v>
      </c>
      <c r="M14" s="14">
        <f t="shared" si="5"/>
        <v>23622.781486199572</v>
      </c>
      <c r="N14" s="2">
        <f t="shared" si="6"/>
        <v>-17010.363227802271</v>
      </c>
      <c r="O14" s="130">
        <f t="shared" si="7"/>
        <v>-966355.72296854854</v>
      </c>
      <c r="P14" s="438">
        <f t="shared" si="8"/>
        <v>-25.291166910925426</v>
      </c>
      <c r="Q14" s="126"/>
    </row>
    <row r="15" spans="1:17" x14ac:dyDescent="0.25">
      <c r="A15" s="49">
        <f>+'A) Base RI'!A17</f>
        <v>5411</v>
      </c>
      <c r="B15" s="291" t="str">
        <f>+'A) Base RI'!B17</f>
        <v>Ormont-Dessus</v>
      </c>
      <c r="C15" s="302">
        <f>+'D) Ecrêtage'!C15</f>
        <v>73074.251809839989</v>
      </c>
      <c r="D15" s="439">
        <v>1490473</v>
      </c>
      <c r="E15" s="440">
        <v>201617</v>
      </c>
      <c r="F15" s="439">
        <v>81193</v>
      </c>
      <c r="G15" s="302">
        <f t="shared" si="0"/>
        <v>1773283</v>
      </c>
      <c r="H15" s="283">
        <f t="shared" si="1"/>
        <v>584594.01447871991</v>
      </c>
      <c r="I15" s="10">
        <f t="shared" si="2"/>
        <v>1188688.9855212802</v>
      </c>
      <c r="J15" s="447">
        <f t="shared" si="3"/>
        <v>-855954.72406233416</v>
      </c>
      <c r="K15" s="10">
        <v>139703</v>
      </c>
      <c r="L15" s="397">
        <f t="shared" si="4"/>
        <v>73074.251809839989</v>
      </c>
      <c r="M15" s="14">
        <f t="shared" si="5"/>
        <v>66628.748190160011</v>
      </c>
      <c r="N15" s="2">
        <f t="shared" si="6"/>
        <v>-47978.228507532658</v>
      </c>
      <c r="O15" s="130">
        <f t="shared" si="7"/>
        <v>-903932.95256986679</v>
      </c>
      <c r="P15" s="438">
        <f t="shared" si="8"/>
        <v>-12.370061002090829</v>
      </c>
      <c r="Q15" s="126"/>
    </row>
    <row r="16" spans="1:17" x14ac:dyDescent="0.25">
      <c r="A16" s="49">
        <f>+'A) Base RI'!A18</f>
        <v>5412</v>
      </c>
      <c r="B16" s="291" t="str">
        <f>+'A) Base RI'!B18</f>
        <v>Rennaz</v>
      </c>
      <c r="C16" s="302">
        <f>+'D) Ecrêtage'!C16</f>
        <v>23813.904160849284</v>
      </c>
      <c r="D16" s="439">
        <v>223633</v>
      </c>
      <c r="E16" s="440">
        <v>45728</v>
      </c>
      <c r="F16" s="439">
        <v>36521</v>
      </c>
      <c r="G16" s="302">
        <f t="shared" si="0"/>
        <v>305882</v>
      </c>
      <c r="H16" s="283">
        <f t="shared" si="1"/>
        <v>190511.23328679428</v>
      </c>
      <c r="I16" s="10">
        <f t="shared" si="2"/>
        <v>115370.76671320572</v>
      </c>
      <c r="J16" s="447">
        <f t="shared" si="3"/>
        <v>-83076.527156980243</v>
      </c>
      <c r="K16" s="10">
        <v>30803</v>
      </c>
      <c r="L16" s="397">
        <f t="shared" si="4"/>
        <v>23813.904160849284</v>
      </c>
      <c r="M16" s="14">
        <f t="shared" si="5"/>
        <v>6989.0958391507156</v>
      </c>
      <c r="N16" s="2">
        <f t="shared" si="6"/>
        <v>-5032.7290597565325</v>
      </c>
      <c r="O16" s="130">
        <f t="shared" si="7"/>
        <v>-88109.256216736772</v>
      </c>
      <c r="P16" s="438">
        <f t="shared" si="8"/>
        <v>-3.6999080714195038</v>
      </c>
      <c r="Q16" s="126"/>
    </row>
    <row r="17" spans="1:17" x14ac:dyDescent="0.25">
      <c r="A17" s="49">
        <f>+'A) Base RI'!A19</f>
        <v>5413</v>
      </c>
      <c r="B17" s="291" t="str">
        <f>+'A) Base RI'!B19</f>
        <v>Roche</v>
      </c>
      <c r="C17" s="302">
        <f>+'D) Ecrêtage'!C17</f>
        <v>44639.413526237746</v>
      </c>
      <c r="D17" s="439">
        <v>167886</v>
      </c>
      <c r="E17" s="440">
        <v>101856</v>
      </c>
      <c r="F17" s="439">
        <v>79842</v>
      </c>
      <c r="G17" s="302">
        <f t="shared" si="0"/>
        <v>349584</v>
      </c>
      <c r="H17" s="283">
        <f t="shared" si="1"/>
        <v>357115.30820990197</v>
      </c>
      <c r="I17" s="10">
        <f t="shared" si="2"/>
        <v>0</v>
      </c>
      <c r="J17" s="447">
        <f t="shared" si="3"/>
        <v>0</v>
      </c>
      <c r="K17" s="10">
        <v>43155</v>
      </c>
      <c r="L17" s="397">
        <f t="shared" si="4"/>
        <v>44639.413526237746</v>
      </c>
      <c r="M17" s="14">
        <f t="shared" si="5"/>
        <v>0</v>
      </c>
      <c r="N17" s="2">
        <f t="shared" si="6"/>
        <v>0</v>
      </c>
      <c r="O17" s="130">
        <f t="shared" si="7"/>
        <v>0</v>
      </c>
      <c r="P17" s="438">
        <f t="shared" si="8"/>
        <v>0</v>
      </c>
      <c r="Q17" s="126"/>
    </row>
    <row r="18" spans="1:17" x14ac:dyDescent="0.25">
      <c r="A18" s="49">
        <f>+'A) Base RI'!A20</f>
        <v>5414</v>
      </c>
      <c r="B18" s="291" t="str">
        <f>+'A) Base RI'!B20</f>
        <v>Villeneuve</v>
      </c>
      <c r="C18" s="302">
        <f>+'D) Ecrêtage'!C18</f>
        <v>166033.59034311198</v>
      </c>
      <c r="D18" s="439">
        <v>2490831</v>
      </c>
      <c r="E18" s="440">
        <v>1165606</v>
      </c>
      <c r="F18" s="439">
        <v>256275</v>
      </c>
      <c r="G18" s="302">
        <f t="shared" si="0"/>
        <v>3912712</v>
      </c>
      <c r="H18" s="283">
        <f t="shared" si="1"/>
        <v>1328268.7227448958</v>
      </c>
      <c r="I18" s="10">
        <f t="shared" si="2"/>
        <v>2584443.2772551039</v>
      </c>
      <c r="J18" s="447">
        <f t="shared" si="3"/>
        <v>-1861013.6538512111</v>
      </c>
      <c r="K18" s="10">
        <v>-14952</v>
      </c>
      <c r="L18" s="397">
        <f t="shared" si="4"/>
        <v>166033.59034311198</v>
      </c>
      <c r="M18" s="14">
        <f t="shared" si="5"/>
        <v>0</v>
      </c>
      <c r="N18" s="2">
        <f t="shared" si="6"/>
        <v>0</v>
      </c>
      <c r="O18" s="130">
        <f t="shared" si="7"/>
        <v>-1861013.6538512111</v>
      </c>
      <c r="P18" s="438">
        <f t="shared" si="8"/>
        <v>-11.208657537341608</v>
      </c>
      <c r="Q18" s="126"/>
    </row>
    <row r="19" spans="1:17" x14ac:dyDescent="0.25">
      <c r="A19" s="49">
        <f>+'A) Base RI'!A21</f>
        <v>5415</v>
      </c>
      <c r="B19" s="291" t="str">
        <f>+'A) Base RI'!B21</f>
        <v>Yvorne</v>
      </c>
      <c r="C19" s="302">
        <f>+'D) Ecrêtage'!C19</f>
        <v>39123.170780997614</v>
      </c>
      <c r="D19" s="439">
        <v>307435</v>
      </c>
      <c r="E19" s="440">
        <v>59215</v>
      </c>
      <c r="F19" s="439">
        <v>164306</v>
      </c>
      <c r="G19" s="302">
        <f t="shared" si="0"/>
        <v>530956</v>
      </c>
      <c r="H19" s="283">
        <f t="shared" si="1"/>
        <v>312985.36624798091</v>
      </c>
      <c r="I19" s="10">
        <f t="shared" si="2"/>
        <v>217970.63375201909</v>
      </c>
      <c r="J19" s="447">
        <f t="shared" si="3"/>
        <v>-156956.94663569465</v>
      </c>
      <c r="K19" s="10">
        <v>62798</v>
      </c>
      <c r="L19" s="397">
        <f t="shared" si="4"/>
        <v>39123.170780997614</v>
      </c>
      <c r="M19" s="14">
        <f t="shared" si="5"/>
        <v>23674.829219002386</v>
      </c>
      <c r="N19" s="2">
        <f t="shared" si="6"/>
        <v>-17047.841915088808</v>
      </c>
      <c r="O19" s="130">
        <f t="shared" si="7"/>
        <v>-174004.78855078347</v>
      </c>
      <c r="P19" s="438">
        <f t="shared" si="8"/>
        <v>-4.4476146763467028</v>
      </c>
      <c r="Q19" s="126"/>
    </row>
    <row r="20" spans="1:17" x14ac:dyDescent="0.25">
      <c r="A20" s="49">
        <f>+'A) Base RI'!A22</f>
        <v>5421</v>
      </c>
      <c r="B20" s="291" t="str">
        <f>+'A) Base RI'!B22</f>
        <v>Apples</v>
      </c>
      <c r="C20" s="302">
        <f>+'D) Ecrêtage'!C20</f>
        <v>70492.513251958138</v>
      </c>
      <c r="D20" s="439">
        <v>531649</v>
      </c>
      <c r="E20" s="440">
        <v>125726</v>
      </c>
      <c r="F20" s="439">
        <v>214580</v>
      </c>
      <c r="G20" s="302">
        <f t="shared" si="0"/>
        <v>871955</v>
      </c>
      <c r="H20" s="283">
        <f t="shared" si="1"/>
        <v>563940.10601566511</v>
      </c>
      <c r="I20" s="10">
        <f t="shared" si="2"/>
        <v>308014.89398433489</v>
      </c>
      <c r="J20" s="447">
        <f t="shared" si="3"/>
        <v>-221796.28716912228</v>
      </c>
      <c r="K20" s="10">
        <v>105800</v>
      </c>
      <c r="L20" s="397">
        <f t="shared" si="4"/>
        <v>70492.513251958138</v>
      </c>
      <c r="M20" s="14">
        <f t="shared" si="5"/>
        <v>35307.486748041862</v>
      </c>
      <c r="N20" s="2">
        <f t="shared" si="6"/>
        <v>-25424.320781016995</v>
      </c>
      <c r="O20" s="130">
        <f t="shared" si="7"/>
        <v>-247220.60795013927</v>
      </c>
      <c r="P20" s="438">
        <f t="shared" si="8"/>
        <v>-3.5070477210325874</v>
      </c>
      <c r="Q20" s="126"/>
    </row>
    <row r="21" spans="1:17" x14ac:dyDescent="0.25">
      <c r="A21" s="49">
        <f>+'A) Base RI'!A23</f>
        <v>5422</v>
      </c>
      <c r="B21" s="291" t="str">
        <f>+'A) Base RI'!B23</f>
        <v>Aubonne</v>
      </c>
      <c r="C21" s="302">
        <f>+'D) Ecrêtage'!C21</f>
        <v>245436.88330377048</v>
      </c>
      <c r="D21" s="439">
        <v>1212902</v>
      </c>
      <c r="E21" s="440">
        <v>149328</v>
      </c>
      <c r="F21" s="439">
        <v>401833</v>
      </c>
      <c r="G21" s="302">
        <f t="shared" si="0"/>
        <v>1764063</v>
      </c>
      <c r="H21" s="283">
        <f t="shared" si="1"/>
        <v>1963495.0664301638</v>
      </c>
      <c r="I21" s="10">
        <f t="shared" si="2"/>
        <v>0</v>
      </c>
      <c r="J21" s="447">
        <f t="shared" si="3"/>
        <v>0</v>
      </c>
      <c r="K21" s="10">
        <v>-113937</v>
      </c>
      <c r="L21" s="397">
        <f t="shared" si="4"/>
        <v>245436.88330377048</v>
      </c>
      <c r="M21" s="14">
        <f t="shared" si="5"/>
        <v>0</v>
      </c>
      <c r="N21" s="2">
        <f t="shared" si="6"/>
        <v>0</v>
      </c>
      <c r="O21" s="130">
        <f t="shared" si="7"/>
        <v>0</v>
      </c>
      <c r="P21" s="438">
        <f t="shared" si="8"/>
        <v>0</v>
      </c>
      <c r="Q21" s="126"/>
    </row>
    <row r="22" spans="1:17" x14ac:dyDescent="0.25">
      <c r="A22" s="49">
        <f>+'A) Base RI'!A24</f>
        <v>5423</v>
      </c>
      <c r="B22" s="291" t="str">
        <f>+'A) Base RI'!B24</f>
        <v>Ballens</v>
      </c>
      <c r="C22" s="302">
        <f>+'D) Ecrêtage'!C22</f>
        <v>16319.771402685055</v>
      </c>
      <c r="D22" s="439">
        <v>114197</v>
      </c>
      <c r="E22" s="440">
        <v>45874</v>
      </c>
      <c r="F22" s="439">
        <v>78775</v>
      </c>
      <c r="G22" s="302">
        <f t="shared" si="0"/>
        <v>238846</v>
      </c>
      <c r="H22" s="283">
        <f t="shared" si="1"/>
        <v>130558.17122148044</v>
      </c>
      <c r="I22" s="10">
        <f t="shared" si="2"/>
        <v>108287.82877851956</v>
      </c>
      <c r="J22" s="447">
        <f t="shared" si="3"/>
        <v>-77976.224000073096</v>
      </c>
      <c r="K22" s="10">
        <v>-840</v>
      </c>
      <c r="L22" s="397">
        <f t="shared" si="4"/>
        <v>16319.771402685055</v>
      </c>
      <c r="M22" s="14">
        <f t="shared" si="5"/>
        <v>0</v>
      </c>
      <c r="N22" s="2">
        <f t="shared" si="6"/>
        <v>0</v>
      </c>
      <c r="O22" s="130">
        <f t="shared" si="7"/>
        <v>-77976.224000073096</v>
      </c>
      <c r="P22" s="438">
        <f t="shared" si="8"/>
        <v>-4.7780218286172715</v>
      </c>
      <c r="Q22" s="126"/>
    </row>
    <row r="23" spans="1:17" x14ac:dyDescent="0.25">
      <c r="A23" s="49">
        <f>+'A) Base RI'!A25</f>
        <v>5424</v>
      </c>
      <c r="B23" s="291" t="str">
        <f>+'A) Base RI'!B25</f>
        <v>Berolle</v>
      </c>
      <c r="C23" s="302">
        <f>+'D) Ecrêtage'!C23</f>
        <v>9278.5718181818156</v>
      </c>
      <c r="D23" s="439">
        <v>69257</v>
      </c>
      <c r="E23" s="440">
        <v>10852</v>
      </c>
      <c r="F23" s="439">
        <v>40072</v>
      </c>
      <c r="G23" s="302">
        <f t="shared" si="0"/>
        <v>120181</v>
      </c>
      <c r="H23" s="283">
        <f t="shared" si="1"/>
        <v>74228.574545454525</v>
      </c>
      <c r="I23" s="10">
        <f t="shared" si="2"/>
        <v>45952.425454545475</v>
      </c>
      <c r="J23" s="447">
        <f t="shared" si="3"/>
        <v>-33089.560119623318</v>
      </c>
      <c r="K23" s="10">
        <v>17897</v>
      </c>
      <c r="L23" s="397">
        <f t="shared" si="4"/>
        <v>9278.5718181818156</v>
      </c>
      <c r="M23" s="14">
        <f t="shared" si="5"/>
        <v>8618.4281818181844</v>
      </c>
      <c r="N23" s="2">
        <f t="shared" si="6"/>
        <v>-6205.9835718795457</v>
      </c>
      <c r="O23" s="130">
        <f t="shared" si="7"/>
        <v>-39295.543691502862</v>
      </c>
      <c r="P23" s="438">
        <f t="shared" si="8"/>
        <v>-4.2350853624370641</v>
      </c>
      <c r="Q23" s="126"/>
    </row>
    <row r="24" spans="1:17" x14ac:dyDescent="0.25">
      <c r="A24" s="49">
        <f>+'A) Base RI'!A26</f>
        <v>5425</v>
      </c>
      <c r="B24" s="291" t="str">
        <f>+'A) Base RI'!B26</f>
        <v>Bière</v>
      </c>
      <c r="C24" s="302">
        <f>+'D) Ecrêtage'!C24</f>
        <v>39360.03487040029</v>
      </c>
      <c r="D24" s="439">
        <v>676645</v>
      </c>
      <c r="E24" s="440">
        <v>137416</v>
      </c>
      <c r="F24" s="439">
        <v>239673</v>
      </c>
      <c r="G24" s="302">
        <f t="shared" si="0"/>
        <v>1053734</v>
      </c>
      <c r="H24" s="283">
        <f t="shared" si="1"/>
        <v>314880.27896320232</v>
      </c>
      <c r="I24" s="10">
        <f t="shared" si="2"/>
        <v>738853.72103679762</v>
      </c>
      <c r="J24" s="447">
        <f t="shared" si="3"/>
        <v>-532035.99984157435</v>
      </c>
      <c r="K24" s="10">
        <v>83065</v>
      </c>
      <c r="L24" s="397">
        <f t="shared" si="4"/>
        <v>39360.03487040029</v>
      </c>
      <c r="M24" s="14">
        <f t="shared" si="5"/>
        <v>43704.96512959971</v>
      </c>
      <c r="N24" s="2">
        <f t="shared" si="6"/>
        <v>-31471.202159120825</v>
      </c>
      <c r="O24" s="130">
        <f t="shared" si="7"/>
        <v>-563507.20200069516</v>
      </c>
      <c r="P24" s="438">
        <f t="shared" si="8"/>
        <v>-14.316735334613902</v>
      </c>
      <c r="Q24" s="126"/>
    </row>
    <row r="25" spans="1:17" x14ac:dyDescent="0.25">
      <c r="A25" s="49">
        <f>+'A) Base RI'!A27</f>
        <v>5426</v>
      </c>
      <c r="B25" s="291" t="str">
        <f>+'A) Base RI'!B27</f>
        <v>Bougy-Villars</v>
      </c>
      <c r="C25" s="302">
        <f>+'D) Ecrêtage'!C25</f>
        <v>51974.123620521015</v>
      </c>
      <c r="D25" s="439">
        <v>112004</v>
      </c>
      <c r="E25" s="440">
        <v>18320</v>
      </c>
      <c r="F25" s="439">
        <v>41327</v>
      </c>
      <c r="G25" s="302">
        <f t="shared" si="0"/>
        <v>171651</v>
      </c>
      <c r="H25" s="283">
        <f t="shared" si="1"/>
        <v>415792.98896416812</v>
      </c>
      <c r="I25" s="10">
        <f t="shared" si="2"/>
        <v>0</v>
      </c>
      <c r="J25" s="447">
        <f t="shared" si="3"/>
        <v>0</v>
      </c>
      <c r="K25" s="10">
        <v>12721</v>
      </c>
      <c r="L25" s="397">
        <f t="shared" si="4"/>
        <v>51974.123620521015</v>
      </c>
      <c r="M25" s="14">
        <f t="shared" si="5"/>
        <v>0</v>
      </c>
      <c r="N25" s="2">
        <f t="shared" si="6"/>
        <v>0</v>
      </c>
      <c r="O25" s="130">
        <f t="shared" si="7"/>
        <v>0</v>
      </c>
      <c r="P25" s="438">
        <f t="shared" si="8"/>
        <v>0</v>
      </c>
      <c r="Q25" s="126"/>
    </row>
    <row r="26" spans="1:17" x14ac:dyDescent="0.25">
      <c r="A26" s="49">
        <f>+'A) Base RI'!A28</f>
        <v>5427</v>
      </c>
      <c r="B26" s="291" t="str">
        <f>+'A) Base RI'!B28</f>
        <v>Féchy</v>
      </c>
      <c r="C26" s="302">
        <f>+'D) Ecrêtage'!C26</f>
        <v>86694.092344793113</v>
      </c>
      <c r="D26" s="439">
        <v>141524</v>
      </c>
      <c r="E26" s="440">
        <v>33992</v>
      </c>
      <c r="F26" s="439">
        <v>94248</v>
      </c>
      <c r="G26" s="302">
        <f t="shared" si="0"/>
        <v>269764</v>
      </c>
      <c r="H26" s="283">
        <f t="shared" si="1"/>
        <v>693552.7387583449</v>
      </c>
      <c r="I26" s="10">
        <f t="shared" si="2"/>
        <v>0</v>
      </c>
      <c r="J26" s="447">
        <f t="shared" si="3"/>
        <v>0</v>
      </c>
      <c r="K26" s="10">
        <v>14326</v>
      </c>
      <c r="L26" s="397">
        <f t="shared" si="4"/>
        <v>86694.092344793113</v>
      </c>
      <c r="M26" s="14">
        <f t="shared" si="5"/>
        <v>0</v>
      </c>
      <c r="N26" s="2">
        <f t="shared" si="6"/>
        <v>0</v>
      </c>
      <c r="O26" s="130">
        <f t="shared" si="7"/>
        <v>0</v>
      </c>
      <c r="P26" s="438">
        <f t="shared" si="8"/>
        <v>0</v>
      </c>
      <c r="Q26" s="126"/>
    </row>
    <row r="27" spans="1:17" x14ac:dyDescent="0.25">
      <c r="A27" s="49">
        <f>+'A) Base RI'!A29</f>
        <v>5428</v>
      </c>
      <c r="B27" s="291" t="str">
        <f>+'A) Base RI'!B29</f>
        <v>Gimel</v>
      </c>
      <c r="C27" s="302">
        <f>+'D) Ecrêtage'!C27</f>
        <v>66248.425772179224</v>
      </c>
      <c r="D27" s="439">
        <v>507571</v>
      </c>
      <c r="E27" s="440">
        <v>125668</v>
      </c>
      <c r="F27" s="439">
        <v>249391</v>
      </c>
      <c r="G27" s="302">
        <f t="shared" si="0"/>
        <v>882630</v>
      </c>
      <c r="H27" s="283">
        <f t="shared" si="1"/>
        <v>529987.40617743379</v>
      </c>
      <c r="I27" s="10">
        <f t="shared" si="2"/>
        <v>352642.59382256621</v>
      </c>
      <c r="J27" s="447">
        <f t="shared" si="3"/>
        <v>-253931.93490023864</v>
      </c>
      <c r="K27" s="10">
        <v>37045</v>
      </c>
      <c r="L27" s="397">
        <f t="shared" si="4"/>
        <v>66248.425772179224</v>
      </c>
      <c r="M27" s="14">
        <f t="shared" si="5"/>
        <v>0</v>
      </c>
      <c r="N27" s="2">
        <f t="shared" si="6"/>
        <v>0</v>
      </c>
      <c r="O27" s="130">
        <f t="shared" si="7"/>
        <v>-253931.93490023864</v>
      </c>
      <c r="P27" s="438">
        <f t="shared" si="8"/>
        <v>-3.8330259465105119</v>
      </c>
      <c r="Q27" s="126"/>
    </row>
    <row r="28" spans="1:17" x14ac:dyDescent="0.25">
      <c r="A28" s="49">
        <f>+'A) Base RI'!A30</f>
        <v>5429</v>
      </c>
      <c r="B28" s="291" t="str">
        <f>+'A) Base RI'!B30</f>
        <v>Longirod</v>
      </c>
      <c r="C28" s="302">
        <f>+'D) Ecrêtage'!C28</f>
        <v>15299.789438077625</v>
      </c>
      <c r="D28" s="439">
        <v>155524</v>
      </c>
      <c r="E28" s="440">
        <v>18893</v>
      </c>
      <c r="F28" s="439">
        <v>45621</v>
      </c>
      <c r="G28" s="302">
        <f t="shared" si="0"/>
        <v>220038</v>
      </c>
      <c r="H28" s="283">
        <f t="shared" si="1"/>
        <v>122398.315504621</v>
      </c>
      <c r="I28" s="10">
        <f t="shared" si="2"/>
        <v>97639.684495378999</v>
      </c>
      <c r="J28" s="447">
        <f t="shared" si="3"/>
        <v>-70308.676380243385</v>
      </c>
      <c r="K28" s="10">
        <v>-162432</v>
      </c>
      <c r="L28" s="397">
        <f t="shared" si="4"/>
        <v>15299.789438077625</v>
      </c>
      <c r="M28" s="14">
        <f t="shared" si="5"/>
        <v>0</v>
      </c>
      <c r="N28" s="2">
        <f t="shared" si="6"/>
        <v>0</v>
      </c>
      <c r="O28" s="130">
        <f t="shared" si="7"/>
        <v>-70308.676380243385</v>
      </c>
      <c r="P28" s="438">
        <f t="shared" si="8"/>
        <v>-4.5954015684203737</v>
      </c>
      <c r="Q28" s="126"/>
    </row>
    <row r="29" spans="1:17" x14ac:dyDescent="0.25">
      <c r="A29" s="49">
        <f>+'A) Base RI'!A31</f>
        <v>5430</v>
      </c>
      <c r="B29" s="291" t="str">
        <f>+'A) Base RI'!B31</f>
        <v>Marchissy</v>
      </c>
      <c r="C29" s="302">
        <f>+'D) Ecrêtage'!C29</f>
        <v>14892.112085590652</v>
      </c>
      <c r="D29" s="439">
        <v>147967</v>
      </c>
      <c r="E29" s="440">
        <v>18755</v>
      </c>
      <c r="F29" s="439">
        <v>48806</v>
      </c>
      <c r="G29" s="302">
        <f t="shared" si="0"/>
        <v>215528</v>
      </c>
      <c r="H29" s="283">
        <f t="shared" si="1"/>
        <v>119136.89668472522</v>
      </c>
      <c r="I29" s="10">
        <f t="shared" si="2"/>
        <v>96391.103315274784</v>
      </c>
      <c r="J29" s="447">
        <f t="shared" si="3"/>
        <v>-69409.5943053667</v>
      </c>
      <c r="K29" s="10">
        <v>-1035</v>
      </c>
      <c r="L29" s="397">
        <f t="shared" si="4"/>
        <v>14892.112085590652</v>
      </c>
      <c r="M29" s="14">
        <f t="shared" si="5"/>
        <v>0</v>
      </c>
      <c r="N29" s="2">
        <f t="shared" si="6"/>
        <v>0</v>
      </c>
      <c r="O29" s="130">
        <f t="shared" si="7"/>
        <v>-69409.5943053667</v>
      </c>
      <c r="P29" s="438">
        <f t="shared" si="8"/>
        <v>-4.6608294314764267</v>
      </c>
      <c r="Q29" s="126"/>
    </row>
    <row r="30" spans="1:17" x14ac:dyDescent="0.25">
      <c r="A30" s="49">
        <f>+'A) Base RI'!A32</f>
        <v>5431</v>
      </c>
      <c r="B30" s="291" t="str">
        <f>+'A) Base RI'!B32</f>
        <v>Mollens</v>
      </c>
      <c r="C30" s="302">
        <f>+'D) Ecrêtage'!C30</f>
        <v>10626.564516518391</v>
      </c>
      <c r="D30" s="439">
        <v>75005</v>
      </c>
      <c r="E30" s="440">
        <v>9688</v>
      </c>
      <c r="F30" s="439">
        <v>37103</v>
      </c>
      <c r="G30" s="302">
        <f t="shared" si="0"/>
        <v>121796</v>
      </c>
      <c r="H30" s="283">
        <f t="shared" si="1"/>
        <v>85012.516132147124</v>
      </c>
      <c r="I30" s="10">
        <f t="shared" si="2"/>
        <v>36783.483867852876</v>
      </c>
      <c r="J30" s="447">
        <f t="shared" si="3"/>
        <v>-26487.161206723973</v>
      </c>
      <c r="K30" s="10">
        <v>7789</v>
      </c>
      <c r="L30" s="397">
        <f t="shared" si="4"/>
        <v>10626.564516518391</v>
      </c>
      <c r="M30" s="14">
        <f t="shared" si="5"/>
        <v>0</v>
      </c>
      <c r="N30" s="2">
        <f t="shared" si="6"/>
        <v>0</v>
      </c>
      <c r="O30" s="130">
        <f t="shared" si="7"/>
        <v>-26487.161206723973</v>
      </c>
      <c r="P30" s="438">
        <f t="shared" si="8"/>
        <v>-2.4925422666517658</v>
      </c>
      <c r="Q30" s="126"/>
    </row>
    <row r="31" spans="1:17" x14ac:dyDescent="0.25">
      <c r="A31" s="49">
        <f>+'A) Base RI'!A33</f>
        <v>5434</v>
      </c>
      <c r="B31" s="291" t="str">
        <f>+'A) Base RI'!B33</f>
        <v>Saint-George</v>
      </c>
      <c r="C31" s="302">
        <f>+'D) Ecrêtage'!C31</f>
        <v>39849.055598308893</v>
      </c>
      <c r="D31" s="439">
        <v>196081</v>
      </c>
      <c r="E31" s="440">
        <v>55652</v>
      </c>
      <c r="F31" s="439">
        <v>124453</v>
      </c>
      <c r="G31" s="302">
        <f t="shared" si="0"/>
        <v>376186</v>
      </c>
      <c r="H31" s="283">
        <f t="shared" si="1"/>
        <v>318792.44478647114</v>
      </c>
      <c r="I31" s="10">
        <f t="shared" si="2"/>
        <v>57393.55521352886</v>
      </c>
      <c r="J31" s="447">
        <f t="shared" si="3"/>
        <v>-41328.123095385548</v>
      </c>
      <c r="K31" s="10">
        <v>65492</v>
      </c>
      <c r="L31" s="397">
        <f t="shared" si="4"/>
        <v>39849.055598308893</v>
      </c>
      <c r="M31" s="14">
        <f t="shared" si="5"/>
        <v>25642.944401691107</v>
      </c>
      <c r="N31" s="2">
        <f t="shared" si="6"/>
        <v>-18465.048189093653</v>
      </c>
      <c r="O31" s="130">
        <f t="shared" si="7"/>
        <v>-59793.171284479205</v>
      </c>
      <c r="P31" s="438">
        <f t="shared" si="8"/>
        <v>-1.5004915521013427</v>
      </c>
      <c r="Q31" s="126"/>
    </row>
    <row r="32" spans="1:17" x14ac:dyDescent="0.25">
      <c r="A32" s="49">
        <f>+'A) Base RI'!A34</f>
        <v>5435</v>
      </c>
      <c r="B32" s="291" t="str">
        <f>+'A) Base RI'!B34</f>
        <v>Saint-Livres</v>
      </c>
      <c r="C32" s="302">
        <f>+'D) Ecrêtage'!C32</f>
        <v>24291.940869565216</v>
      </c>
      <c r="D32" s="439">
        <v>156396</v>
      </c>
      <c r="E32" s="440">
        <v>39439</v>
      </c>
      <c r="F32" s="439">
        <v>77232</v>
      </c>
      <c r="G32" s="302">
        <f t="shared" si="0"/>
        <v>273067</v>
      </c>
      <c r="H32" s="283">
        <f t="shared" si="1"/>
        <v>194335.52695652173</v>
      </c>
      <c r="I32" s="10">
        <f t="shared" si="2"/>
        <v>78731.473043478269</v>
      </c>
      <c r="J32" s="447">
        <f t="shared" si="3"/>
        <v>-56693.194859880445</v>
      </c>
      <c r="K32" s="10">
        <v>38276</v>
      </c>
      <c r="L32" s="397">
        <f t="shared" si="4"/>
        <v>24291.940869565216</v>
      </c>
      <c r="M32" s="14">
        <f t="shared" si="5"/>
        <v>13984.059130434784</v>
      </c>
      <c r="N32" s="2">
        <f t="shared" si="6"/>
        <v>-10069.68317201454</v>
      </c>
      <c r="O32" s="130">
        <f t="shared" si="7"/>
        <v>-66762.878031894987</v>
      </c>
      <c r="P32" s="438">
        <f t="shared" si="8"/>
        <v>-2.7483550363627214</v>
      </c>
      <c r="Q32" s="126"/>
    </row>
    <row r="33" spans="1:17" x14ac:dyDescent="0.25">
      <c r="A33" s="49">
        <f>+'A) Base RI'!A35</f>
        <v>5436</v>
      </c>
      <c r="B33" s="291" t="str">
        <f>+'A) Base RI'!B35</f>
        <v>Saint-Oyens</v>
      </c>
      <c r="C33" s="302">
        <f>+'D) Ecrêtage'!C33</f>
        <v>16655.571776721274</v>
      </c>
      <c r="D33" s="439">
        <v>45842</v>
      </c>
      <c r="E33" s="440">
        <v>18165</v>
      </c>
      <c r="F33" s="439">
        <v>29233</v>
      </c>
      <c r="G33" s="302">
        <f t="shared" si="0"/>
        <v>93240</v>
      </c>
      <c r="H33" s="283">
        <f t="shared" si="1"/>
        <v>133244.57421377019</v>
      </c>
      <c r="I33" s="10">
        <f t="shared" si="2"/>
        <v>0</v>
      </c>
      <c r="J33" s="447">
        <f t="shared" si="3"/>
        <v>0</v>
      </c>
      <c r="K33" s="10">
        <v>7898</v>
      </c>
      <c r="L33" s="397">
        <f t="shared" si="4"/>
        <v>16655.571776721274</v>
      </c>
      <c r="M33" s="14">
        <f t="shared" si="5"/>
        <v>0</v>
      </c>
      <c r="N33" s="2">
        <f t="shared" si="6"/>
        <v>0</v>
      </c>
      <c r="O33" s="130">
        <f t="shared" si="7"/>
        <v>0</v>
      </c>
      <c r="P33" s="438">
        <f t="shared" si="8"/>
        <v>0</v>
      </c>
      <c r="Q33" s="126"/>
    </row>
    <row r="34" spans="1:17" x14ac:dyDescent="0.25">
      <c r="A34" s="49">
        <f>+'A) Base RI'!A36</f>
        <v>5437</v>
      </c>
      <c r="B34" s="291" t="str">
        <f>+'A) Base RI'!B36</f>
        <v>Saubraz</v>
      </c>
      <c r="C34" s="302">
        <f>+'D) Ecrêtage'!C34</f>
        <v>13155.457431390041</v>
      </c>
      <c r="D34" s="439">
        <v>63871</v>
      </c>
      <c r="E34" s="440">
        <v>11014</v>
      </c>
      <c r="F34" s="439">
        <v>52823</v>
      </c>
      <c r="G34" s="302">
        <f t="shared" si="0"/>
        <v>127708</v>
      </c>
      <c r="H34" s="283">
        <f t="shared" si="1"/>
        <v>105243.65945112033</v>
      </c>
      <c r="I34" s="10">
        <f t="shared" si="2"/>
        <v>22464.340548879671</v>
      </c>
      <c r="J34" s="447">
        <f t="shared" si="3"/>
        <v>-16176.189608862469</v>
      </c>
      <c r="K34" s="10">
        <v>10772</v>
      </c>
      <c r="L34" s="397">
        <f t="shared" si="4"/>
        <v>13155.457431390041</v>
      </c>
      <c r="M34" s="14">
        <f t="shared" si="5"/>
        <v>0</v>
      </c>
      <c r="N34" s="2">
        <f t="shared" si="6"/>
        <v>0</v>
      </c>
      <c r="O34" s="130">
        <f t="shared" si="7"/>
        <v>-16176.189608862469</v>
      </c>
      <c r="P34" s="438">
        <f t="shared" si="8"/>
        <v>-1.2296181788604861</v>
      </c>
      <c r="Q34" s="126"/>
    </row>
    <row r="35" spans="1:17" x14ac:dyDescent="0.25">
      <c r="A35" s="49">
        <f>+'A) Base RI'!A37</f>
        <v>5451</v>
      </c>
      <c r="B35" s="291" t="str">
        <f>+'A) Base RI'!B37</f>
        <v>Avenches</v>
      </c>
      <c r="C35" s="302">
        <f>+'D) Ecrêtage'!C35</f>
        <v>131058.88480778445</v>
      </c>
      <c r="D35" s="439">
        <v>1763212</v>
      </c>
      <c r="E35" s="440">
        <v>620316</v>
      </c>
      <c r="F35" s="439">
        <v>504589</v>
      </c>
      <c r="G35" s="302">
        <f t="shared" si="0"/>
        <v>2888117</v>
      </c>
      <c r="H35" s="283">
        <f t="shared" si="1"/>
        <v>1048471.0784622756</v>
      </c>
      <c r="I35" s="10">
        <f t="shared" si="2"/>
        <v>1839645.9215377243</v>
      </c>
      <c r="J35" s="447">
        <f t="shared" si="3"/>
        <v>-1324697.7437514344</v>
      </c>
      <c r="K35" s="10">
        <v>125633</v>
      </c>
      <c r="L35" s="397">
        <f t="shared" si="4"/>
        <v>131058.88480778445</v>
      </c>
      <c r="M35" s="14">
        <f t="shared" si="5"/>
        <v>0</v>
      </c>
      <c r="N35" s="2">
        <f t="shared" si="6"/>
        <v>0</v>
      </c>
      <c r="O35" s="130">
        <f t="shared" si="7"/>
        <v>-1324697.7437514344</v>
      </c>
      <c r="P35" s="438">
        <f t="shared" si="8"/>
        <v>-10.107653103368632</v>
      </c>
      <c r="Q35" s="126"/>
    </row>
    <row r="36" spans="1:17" x14ac:dyDescent="0.25">
      <c r="A36" s="49">
        <f>+'A) Base RI'!A38</f>
        <v>5456</v>
      </c>
      <c r="B36" s="291" t="str">
        <f>+'A) Base RI'!B38</f>
        <v>Cudrefin</v>
      </c>
      <c r="C36" s="302">
        <f>+'D) Ecrêtage'!C36</f>
        <v>57483.919740251898</v>
      </c>
      <c r="D36" s="439">
        <v>620953</v>
      </c>
      <c r="E36" s="440">
        <v>81882</v>
      </c>
      <c r="F36" s="439">
        <v>215031</v>
      </c>
      <c r="G36" s="302">
        <f t="shared" si="0"/>
        <v>917866</v>
      </c>
      <c r="H36" s="283">
        <f t="shared" si="1"/>
        <v>459871.35792201519</v>
      </c>
      <c r="I36" s="10">
        <f t="shared" si="2"/>
        <v>457994.64207798481</v>
      </c>
      <c r="J36" s="447">
        <f t="shared" si="3"/>
        <v>-329794.15327044006</v>
      </c>
      <c r="K36" s="10">
        <v>22104</v>
      </c>
      <c r="L36" s="397">
        <f t="shared" si="4"/>
        <v>57483.919740251898</v>
      </c>
      <c r="M36" s="14">
        <f t="shared" si="5"/>
        <v>0</v>
      </c>
      <c r="N36" s="2">
        <f t="shared" si="6"/>
        <v>0</v>
      </c>
      <c r="O36" s="130">
        <f t="shared" si="7"/>
        <v>-329794.15327044006</v>
      </c>
      <c r="P36" s="438">
        <f t="shared" si="8"/>
        <v>-5.7371549254235825</v>
      </c>
      <c r="Q36" s="126"/>
    </row>
    <row r="37" spans="1:17" x14ac:dyDescent="0.25">
      <c r="A37" s="49">
        <f>+'A) Base RI'!A39</f>
        <v>5458</v>
      </c>
      <c r="B37" s="291" t="str">
        <f>+'A) Base RI'!B39</f>
        <v>Faoug</v>
      </c>
      <c r="C37" s="302">
        <f>+'D) Ecrêtage'!C37</f>
        <v>33103.176846222719</v>
      </c>
      <c r="D37" s="439">
        <v>176718</v>
      </c>
      <c r="E37" s="440">
        <v>75548</v>
      </c>
      <c r="F37" s="439">
        <v>98511</v>
      </c>
      <c r="G37" s="302">
        <f t="shared" si="0"/>
        <v>350777</v>
      </c>
      <c r="H37" s="283">
        <f t="shared" si="1"/>
        <v>264825.41476978175</v>
      </c>
      <c r="I37" s="10">
        <f t="shared" si="2"/>
        <v>85951.585230218247</v>
      </c>
      <c r="J37" s="447">
        <f t="shared" si="3"/>
        <v>-61892.274862956219</v>
      </c>
      <c r="K37" s="10">
        <v>-23694</v>
      </c>
      <c r="L37" s="397">
        <f t="shared" si="4"/>
        <v>33103.176846222719</v>
      </c>
      <c r="M37" s="14">
        <f t="shared" si="5"/>
        <v>0</v>
      </c>
      <c r="N37" s="2">
        <f t="shared" si="6"/>
        <v>0</v>
      </c>
      <c r="O37" s="130">
        <f t="shared" si="7"/>
        <v>-61892.274862956219</v>
      </c>
      <c r="P37" s="438">
        <f t="shared" si="8"/>
        <v>-1.8696778001238428</v>
      </c>
      <c r="Q37" s="126"/>
    </row>
    <row r="38" spans="1:17" x14ac:dyDescent="0.25">
      <c r="A38" s="49">
        <f>+'A) Base RI'!A40</f>
        <v>5464</v>
      </c>
      <c r="B38" s="291" t="str">
        <f>+'A) Base RI'!B40</f>
        <v>Vully-les-Lacs</v>
      </c>
      <c r="C38" s="302">
        <f>+'D) Ecrêtage'!C38</f>
        <v>112706.50074312353</v>
      </c>
      <c r="D38" s="439">
        <v>1063792</v>
      </c>
      <c r="E38" s="440">
        <v>158601</v>
      </c>
      <c r="F38" s="439">
        <v>361837</v>
      </c>
      <c r="G38" s="302">
        <f t="shared" si="0"/>
        <v>1584230</v>
      </c>
      <c r="H38" s="283">
        <f t="shared" si="1"/>
        <v>901652.00594498822</v>
      </c>
      <c r="I38" s="10">
        <f t="shared" si="2"/>
        <v>682577.99405501178</v>
      </c>
      <c r="J38" s="447">
        <f t="shared" si="3"/>
        <v>-491512.80584648752</v>
      </c>
      <c r="K38" s="10">
        <v>29933</v>
      </c>
      <c r="L38" s="397">
        <f t="shared" si="4"/>
        <v>112706.50074312353</v>
      </c>
      <c r="M38" s="14">
        <f t="shared" si="5"/>
        <v>0</v>
      </c>
      <c r="N38" s="2">
        <f t="shared" si="6"/>
        <v>0</v>
      </c>
      <c r="O38" s="130">
        <f t="shared" si="7"/>
        <v>-491512.80584648752</v>
      </c>
      <c r="P38" s="438">
        <f t="shared" si="8"/>
        <v>-4.3609978360230102</v>
      </c>
      <c r="Q38" s="126"/>
    </row>
    <row r="39" spans="1:17" x14ac:dyDescent="0.25">
      <c r="A39" s="49">
        <f>+'A) Base RI'!A41</f>
        <v>5471</v>
      </c>
      <c r="B39" s="291" t="str">
        <f>+'A) Base RI'!B41</f>
        <v>Bettens</v>
      </c>
      <c r="C39" s="302">
        <f>+'D) Ecrêtage'!C39</f>
        <v>21669.887846159098</v>
      </c>
      <c r="D39" s="439">
        <v>104468</v>
      </c>
      <c r="E39" s="440">
        <v>17459</v>
      </c>
      <c r="F39" s="439">
        <v>51836</v>
      </c>
      <c r="G39" s="302">
        <f t="shared" si="0"/>
        <v>173763</v>
      </c>
      <c r="H39" s="283">
        <f t="shared" si="1"/>
        <v>173359.10276927278</v>
      </c>
      <c r="I39" s="10">
        <f t="shared" si="2"/>
        <v>403.89723072721972</v>
      </c>
      <c r="J39" s="447">
        <f t="shared" si="3"/>
        <v>-290.83952731760985</v>
      </c>
      <c r="K39" s="10">
        <v>-243</v>
      </c>
      <c r="L39" s="397">
        <f t="shared" si="4"/>
        <v>21669.887846159098</v>
      </c>
      <c r="M39" s="14">
        <f t="shared" si="5"/>
        <v>0</v>
      </c>
      <c r="N39" s="2">
        <f t="shared" si="6"/>
        <v>0</v>
      </c>
      <c r="O39" s="130">
        <f t="shared" si="7"/>
        <v>-290.83952731760985</v>
      </c>
      <c r="P39" s="438">
        <f t="shared" si="8"/>
        <v>-1.34213674469552E-2</v>
      </c>
      <c r="Q39" s="126"/>
    </row>
    <row r="40" spans="1:17" x14ac:dyDescent="0.25">
      <c r="A40" s="49">
        <f>+'A) Base RI'!A42</f>
        <v>5472</v>
      </c>
      <c r="B40" s="291" t="str">
        <f>+'A) Base RI'!B42</f>
        <v>Bournens</v>
      </c>
      <c r="C40" s="302">
        <f>+'D) Ecrêtage'!C40</f>
        <v>15019.940865033717</v>
      </c>
      <c r="D40" s="439">
        <v>54478</v>
      </c>
      <c r="E40" s="440">
        <v>11915</v>
      </c>
      <c r="F40" s="439">
        <v>19987</v>
      </c>
      <c r="G40" s="302">
        <f t="shared" si="0"/>
        <v>86380</v>
      </c>
      <c r="H40" s="283">
        <f t="shared" si="1"/>
        <v>120159.52692026974</v>
      </c>
      <c r="I40" s="10">
        <f t="shared" si="2"/>
        <v>0</v>
      </c>
      <c r="J40" s="447">
        <f t="shared" si="3"/>
        <v>0</v>
      </c>
      <c r="K40" s="10">
        <v>21273</v>
      </c>
      <c r="L40" s="397">
        <f t="shared" si="4"/>
        <v>15019.940865033717</v>
      </c>
      <c r="M40" s="14">
        <f t="shared" si="5"/>
        <v>6253.0591349662827</v>
      </c>
      <c r="N40" s="2">
        <f t="shared" si="6"/>
        <v>-4502.7215458451847</v>
      </c>
      <c r="O40" s="130">
        <f t="shared" si="7"/>
        <v>-4502.7215458451847</v>
      </c>
      <c r="P40" s="438">
        <f t="shared" si="8"/>
        <v>-0.29978290768956878</v>
      </c>
      <c r="Q40" s="126"/>
    </row>
    <row r="41" spans="1:17" x14ac:dyDescent="0.25">
      <c r="A41" s="49">
        <f>+'A) Base RI'!A43</f>
        <v>5473</v>
      </c>
      <c r="B41" s="291" t="str">
        <f>+'A) Base RI'!B43</f>
        <v>Boussens</v>
      </c>
      <c r="C41" s="302">
        <f>+'D) Ecrêtage'!C41</f>
        <v>34282.214706986073</v>
      </c>
      <c r="D41" s="439">
        <v>52940</v>
      </c>
      <c r="E41" s="440">
        <v>42823</v>
      </c>
      <c r="F41" s="439">
        <v>45234</v>
      </c>
      <c r="G41" s="302">
        <f t="shared" si="0"/>
        <v>140997</v>
      </c>
      <c r="H41" s="283">
        <f t="shared" si="1"/>
        <v>274257.71765588858</v>
      </c>
      <c r="I41" s="10">
        <f t="shared" si="2"/>
        <v>0</v>
      </c>
      <c r="J41" s="447">
        <f t="shared" si="3"/>
        <v>0</v>
      </c>
      <c r="K41" s="10">
        <v>12774</v>
      </c>
      <c r="L41" s="397">
        <f t="shared" si="4"/>
        <v>34282.214706986073</v>
      </c>
      <c r="M41" s="14">
        <f t="shared" si="5"/>
        <v>0</v>
      </c>
      <c r="N41" s="2">
        <f t="shared" si="6"/>
        <v>0</v>
      </c>
      <c r="O41" s="130">
        <f t="shared" si="7"/>
        <v>0</v>
      </c>
      <c r="P41" s="438">
        <f t="shared" si="8"/>
        <v>0</v>
      </c>
      <c r="Q41" s="126"/>
    </row>
    <row r="42" spans="1:17" x14ac:dyDescent="0.25">
      <c r="A42" s="49">
        <f>+'A) Base RI'!A44</f>
        <v>5474</v>
      </c>
      <c r="B42" s="291" t="str">
        <f>+'A) Base RI'!B44</f>
        <v>La Chaux (Cossonay)</v>
      </c>
      <c r="C42" s="302">
        <f>+'D) Ecrêtage'!C42</f>
        <v>15312.847748917748</v>
      </c>
      <c r="D42" s="439">
        <v>256195</v>
      </c>
      <c r="E42" s="440">
        <v>14036</v>
      </c>
      <c r="F42" s="439">
        <v>53560</v>
      </c>
      <c r="G42" s="302">
        <f t="shared" si="0"/>
        <v>323791</v>
      </c>
      <c r="H42" s="283">
        <f t="shared" si="1"/>
        <v>122502.78199134198</v>
      </c>
      <c r="I42" s="10">
        <f t="shared" si="2"/>
        <v>201288.21800865803</v>
      </c>
      <c r="J42" s="447">
        <f t="shared" si="3"/>
        <v>-144944.22275398078</v>
      </c>
      <c r="K42" s="10">
        <v>-27100</v>
      </c>
      <c r="L42" s="397">
        <f t="shared" si="4"/>
        <v>15312.847748917748</v>
      </c>
      <c r="M42" s="14">
        <f t="shared" si="5"/>
        <v>0</v>
      </c>
      <c r="N42" s="2">
        <f t="shared" si="6"/>
        <v>0</v>
      </c>
      <c r="O42" s="130">
        <f t="shared" si="7"/>
        <v>-144944.22275398078</v>
      </c>
      <c r="P42" s="438">
        <f t="shared" si="8"/>
        <v>-9.4655301959901532</v>
      </c>
      <c r="Q42" s="126"/>
    </row>
    <row r="43" spans="1:17" x14ac:dyDescent="0.25">
      <c r="A43" s="49">
        <f>+'A) Base RI'!A45</f>
        <v>5475</v>
      </c>
      <c r="B43" s="291" t="str">
        <f>+'A) Base RI'!B45</f>
        <v>Chavannes-le-Veyron</v>
      </c>
      <c r="C43" s="302">
        <f>+'D) Ecrêtage'!C43</f>
        <v>3043.2190909090909</v>
      </c>
      <c r="D43" s="439">
        <v>19362</v>
      </c>
      <c r="E43" s="440">
        <v>4861</v>
      </c>
      <c r="F43" s="439">
        <v>24445</v>
      </c>
      <c r="G43" s="302">
        <f t="shared" si="0"/>
        <v>48668</v>
      </c>
      <c r="H43" s="283">
        <f t="shared" si="1"/>
        <v>24345.752727272727</v>
      </c>
      <c r="I43" s="10">
        <f t="shared" si="2"/>
        <v>24322.247272727273</v>
      </c>
      <c r="J43" s="447">
        <f t="shared" si="3"/>
        <v>-17514.036645820699</v>
      </c>
      <c r="K43" s="10">
        <v>1795</v>
      </c>
      <c r="L43" s="397">
        <f t="shared" si="4"/>
        <v>3043.2190909090909</v>
      </c>
      <c r="M43" s="14">
        <f t="shared" si="5"/>
        <v>0</v>
      </c>
      <c r="N43" s="2">
        <f t="shared" si="6"/>
        <v>0</v>
      </c>
      <c r="O43" s="130">
        <f t="shared" si="7"/>
        <v>-17514.036645820699</v>
      </c>
      <c r="P43" s="438">
        <f t="shared" si="8"/>
        <v>-5.7551021213490046</v>
      </c>
      <c r="Q43" s="126"/>
    </row>
    <row r="44" spans="1:17" x14ac:dyDescent="0.25">
      <c r="A44" s="49">
        <f>+'A) Base RI'!A46</f>
        <v>5476</v>
      </c>
      <c r="B44" s="291" t="str">
        <f>+'A) Base RI'!B46</f>
        <v>Chevilly</v>
      </c>
      <c r="C44" s="302">
        <f>+'D) Ecrêtage'!C44</f>
        <v>12636.676556913548</v>
      </c>
      <c r="D44" s="439">
        <v>26557</v>
      </c>
      <c r="E44" s="440">
        <v>31420</v>
      </c>
      <c r="F44" s="439">
        <v>57226</v>
      </c>
      <c r="G44" s="302">
        <f t="shared" si="0"/>
        <v>115203</v>
      </c>
      <c r="H44" s="283">
        <f t="shared" si="1"/>
        <v>101093.41245530838</v>
      </c>
      <c r="I44" s="10">
        <f t="shared" si="2"/>
        <v>14109.587544691618</v>
      </c>
      <c r="J44" s="447">
        <f t="shared" si="3"/>
        <v>-10160.074048430435</v>
      </c>
      <c r="K44" s="10">
        <v>3789</v>
      </c>
      <c r="L44" s="397">
        <f t="shared" si="4"/>
        <v>12636.676556913548</v>
      </c>
      <c r="M44" s="14">
        <f t="shared" si="5"/>
        <v>0</v>
      </c>
      <c r="N44" s="2">
        <f t="shared" si="6"/>
        <v>0</v>
      </c>
      <c r="O44" s="130">
        <f t="shared" si="7"/>
        <v>-10160.074048430435</v>
      </c>
      <c r="P44" s="438">
        <f t="shared" si="8"/>
        <v>-0.80401472671007324</v>
      </c>
      <c r="Q44" s="126"/>
    </row>
    <row r="45" spans="1:17" x14ac:dyDescent="0.25">
      <c r="A45" s="49">
        <f>+'A) Base RI'!A47</f>
        <v>5477</v>
      </c>
      <c r="B45" s="291" t="str">
        <f>+'A) Base RI'!B47</f>
        <v>Cossonay</v>
      </c>
      <c r="C45" s="302">
        <f>+'D) Ecrêtage'!C45</f>
        <v>144296.3607707771</v>
      </c>
      <c r="D45" s="439">
        <v>1090386</v>
      </c>
      <c r="E45" s="440">
        <v>352859</v>
      </c>
      <c r="F45" s="439">
        <v>446261</v>
      </c>
      <c r="G45" s="302">
        <f t="shared" si="0"/>
        <v>1889506</v>
      </c>
      <c r="H45" s="283">
        <f t="shared" si="1"/>
        <v>1154370.8861662168</v>
      </c>
      <c r="I45" s="10">
        <f t="shared" si="2"/>
        <v>735135.11383378319</v>
      </c>
      <c r="J45" s="447">
        <f t="shared" si="3"/>
        <v>-529358.29403196205</v>
      </c>
      <c r="K45" s="10">
        <v>18099</v>
      </c>
      <c r="L45" s="397">
        <f t="shared" si="4"/>
        <v>144296.3607707771</v>
      </c>
      <c r="M45" s="14">
        <f t="shared" si="5"/>
        <v>0</v>
      </c>
      <c r="N45" s="2">
        <f t="shared" si="6"/>
        <v>0</v>
      </c>
      <c r="O45" s="130">
        <f t="shared" si="7"/>
        <v>-529358.29403196205</v>
      </c>
      <c r="P45" s="438">
        <f t="shared" si="8"/>
        <v>-3.6685491664815966</v>
      </c>
      <c r="Q45" s="126"/>
    </row>
    <row r="46" spans="1:17" x14ac:dyDescent="0.25">
      <c r="A46" s="49">
        <f>+'A) Base RI'!A48</f>
        <v>5478</v>
      </c>
      <c r="B46" s="291" t="str">
        <f>+'A) Base RI'!B48</f>
        <v>Cottens</v>
      </c>
      <c r="C46" s="302">
        <f>+'D) Ecrêtage'!C46</f>
        <v>17520.338093666011</v>
      </c>
      <c r="D46" s="439">
        <v>781026</v>
      </c>
      <c r="E46" s="440">
        <v>16638</v>
      </c>
      <c r="F46" s="439">
        <v>79438</v>
      </c>
      <c r="G46" s="302">
        <f t="shared" si="0"/>
        <v>877102</v>
      </c>
      <c r="H46" s="283">
        <f t="shared" si="1"/>
        <v>140162.70474932808</v>
      </c>
      <c r="I46" s="10">
        <f t="shared" si="2"/>
        <v>736939.29525067192</v>
      </c>
      <c r="J46" s="447">
        <f t="shared" si="3"/>
        <v>-530657.45438901219</v>
      </c>
      <c r="K46" s="10">
        <v>5170</v>
      </c>
      <c r="L46" s="397">
        <f t="shared" si="4"/>
        <v>17520.338093666011</v>
      </c>
      <c r="M46" s="14">
        <f t="shared" si="5"/>
        <v>0</v>
      </c>
      <c r="N46" s="2">
        <f t="shared" si="6"/>
        <v>0</v>
      </c>
      <c r="O46" s="130">
        <f t="shared" si="7"/>
        <v>-530657.45438901219</v>
      </c>
      <c r="P46" s="438">
        <f t="shared" si="8"/>
        <v>-30.288083001141203</v>
      </c>
      <c r="Q46" s="126"/>
    </row>
    <row r="47" spans="1:17" x14ac:dyDescent="0.25">
      <c r="A47" s="49">
        <f>+'A) Base RI'!A49</f>
        <v>5479</v>
      </c>
      <c r="B47" s="291" t="str">
        <f>+'A) Base RI'!B49</f>
        <v>Cuarnens</v>
      </c>
      <c r="C47" s="302">
        <f>+'D) Ecrêtage'!C47</f>
        <v>17273.482190037128</v>
      </c>
      <c r="D47" s="439">
        <v>384109</v>
      </c>
      <c r="E47" s="440">
        <v>16398</v>
      </c>
      <c r="F47" s="439">
        <v>94541</v>
      </c>
      <c r="G47" s="302">
        <f t="shared" si="0"/>
        <v>495048</v>
      </c>
      <c r="H47" s="283">
        <f t="shared" si="1"/>
        <v>138187.85752029702</v>
      </c>
      <c r="I47" s="10">
        <f t="shared" si="2"/>
        <v>356860.14247970295</v>
      </c>
      <c r="J47" s="447">
        <f t="shared" si="3"/>
        <v>-256968.91996614789</v>
      </c>
      <c r="K47" s="10">
        <v>67532</v>
      </c>
      <c r="L47" s="397">
        <f t="shared" si="4"/>
        <v>17273.482190037128</v>
      </c>
      <c r="M47" s="14">
        <f t="shared" si="5"/>
        <v>50258.517809962868</v>
      </c>
      <c r="N47" s="2">
        <f t="shared" si="6"/>
        <v>-36190.303996922616</v>
      </c>
      <c r="O47" s="130">
        <f t="shared" si="7"/>
        <v>-293159.22396307049</v>
      </c>
      <c r="P47" s="438">
        <f t="shared" si="8"/>
        <v>-16.97163436635589</v>
      </c>
      <c r="Q47" s="126"/>
    </row>
    <row r="48" spans="1:17" x14ac:dyDescent="0.25">
      <c r="A48" s="49">
        <f>+'A) Base RI'!A50</f>
        <v>5480</v>
      </c>
      <c r="B48" s="291" t="str">
        <f>+'A) Base RI'!B50</f>
        <v>Daillens</v>
      </c>
      <c r="C48" s="302">
        <f>+'D) Ecrêtage'!C48</f>
        <v>40220.975555555553</v>
      </c>
      <c r="D48" s="439">
        <v>714871</v>
      </c>
      <c r="E48" s="440">
        <v>75605</v>
      </c>
      <c r="F48" s="439">
        <v>102803</v>
      </c>
      <c r="G48" s="302">
        <f t="shared" si="0"/>
        <v>893279</v>
      </c>
      <c r="H48" s="283">
        <f t="shared" si="1"/>
        <v>321767.80444444442</v>
      </c>
      <c r="I48" s="10">
        <f t="shared" si="2"/>
        <v>571511.19555555563</v>
      </c>
      <c r="J48" s="447">
        <f t="shared" si="3"/>
        <v>-411535.49300851393</v>
      </c>
      <c r="K48" s="10">
        <v>8715</v>
      </c>
      <c r="L48" s="397">
        <f t="shared" si="4"/>
        <v>40220.975555555553</v>
      </c>
      <c r="M48" s="14">
        <f t="shared" si="5"/>
        <v>0</v>
      </c>
      <c r="N48" s="2">
        <f t="shared" si="6"/>
        <v>0</v>
      </c>
      <c r="O48" s="130">
        <f t="shared" si="7"/>
        <v>-411535.49300851393</v>
      </c>
      <c r="P48" s="438">
        <f t="shared" si="8"/>
        <v>-10.231862537498056</v>
      </c>
      <c r="Q48" s="126"/>
    </row>
    <row r="49" spans="1:17" x14ac:dyDescent="0.25">
      <c r="A49" s="49">
        <f>+'A) Base RI'!A51</f>
        <v>5481</v>
      </c>
      <c r="B49" s="291" t="str">
        <f>+'A) Base RI'!B51</f>
        <v>Dizy</v>
      </c>
      <c r="C49" s="302">
        <f>+'D) Ecrêtage'!C49</f>
        <v>9702.0464562011348</v>
      </c>
      <c r="D49" s="439">
        <v>68341</v>
      </c>
      <c r="E49" s="440">
        <v>0</v>
      </c>
      <c r="F49" s="439">
        <v>28120</v>
      </c>
      <c r="G49" s="302">
        <f t="shared" si="0"/>
        <v>96461</v>
      </c>
      <c r="H49" s="283">
        <f t="shared" si="1"/>
        <v>77616.371649609078</v>
      </c>
      <c r="I49" s="10">
        <f t="shared" si="2"/>
        <v>18844.628350390922</v>
      </c>
      <c r="J49" s="447">
        <f t="shared" si="3"/>
        <v>-13569.696410236767</v>
      </c>
      <c r="K49" s="10">
        <v>3763</v>
      </c>
      <c r="L49" s="397">
        <f t="shared" si="4"/>
        <v>9702.0464562011348</v>
      </c>
      <c r="M49" s="14">
        <f t="shared" si="5"/>
        <v>0</v>
      </c>
      <c r="N49" s="2">
        <f t="shared" si="6"/>
        <v>0</v>
      </c>
      <c r="O49" s="130">
        <f t="shared" si="7"/>
        <v>-13569.696410236767</v>
      </c>
      <c r="P49" s="438">
        <f t="shared" si="8"/>
        <v>-1.398642695795751</v>
      </c>
      <c r="Q49" s="126"/>
    </row>
    <row r="50" spans="1:17" x14ac:dyDescent="0.25">
      <c r="A50" s="49">
        <f>+'A) Base RI'!A52</f>
        <v>5482</v>
      </c>
      <c r="B50" s="291" t="str">
        <f>+'A) Base RI'!B52</f>
        <v>Eclépens</v>
      </c>
      <c r="C50" s="302">
        <f>+'D) Ecrêtage'!C50</f>
        <v>60387.408967257215</v>
      </c>
      <c r="D50" s="439">
        <v>232225</v>
      </c>
      <c r="E50" s="440">
        <v>103644</v>
      </c>
      <c r="F50" s="439">
        <v>208034</v>
      </c>
      <c r="G50" s="302">
        <f t="shared" si="0"/>
        <v>543903</v>
      </c>
      <c r="H50" s="283">
        <f t="shared" si="1"/>
        <v>483099.27173805772</v>
      </c>
      <c r="I50" s="10">
        <f t="shared" si="2"/>
        <v>60803.728261942277</v>
      </c>
      <c r="J50" s="447">
        <f t="shared" si="3"/>
        <v>-43783.730715388396</v>
      </c>
      <c r="K50" s="10">
        <v>78934</v>
      </c>
      <c r="L50" s="397">
        <f t="shared" si="4"/>
        <v>60387.408967257215</v>
      </c>
      <c r="M50" s="14">
        <f t="shared" si="5"/>
        <v>18546.591032742785</v>
      </c>
      <c r="N50" s="2">
        <f t="shared" si="6"/>
        <v>-13355.084806112316</v>
      </c>
      <c r="O50" s="130">
        <f t="shared" si="7"/>
        <v>-57138.815521500714</v>
      </c>
      <c r="P50" s="438">
        <f t="shared" si="8"/>
        <v>-0.94620412597073122</v>
      </c>
      <c r="Q50" s="126"/>
    </row>
    <row r="51" spans="1:17" x14ac:dyDescent="0.25">
      <c r="A51" s="49">
        <f>+'A) Base RI'!A53</f>
        <v>5483</v>
      </c>
      <c r="B51" s="291" t="str">
        <f>+'A) Base RI'!B53</f>
        <v>Ferreyres</v>
      </c>
      <c r="C51" s="302">
        <f>+'D) Ecrêtage'!C51</f>
        <v>11155.704681224479</v>
      </c>
      <c r="D51" s="439">
        <v>22208</v>
      </c>
      <c r="E51" s="440">
        <v>10613</v>
      </c>
      <c r="F51" s="439">
        <v>59110</v>
      </c>
      <c r="G51" s="302">
        <f t="shared" si="0"/>
        <v>91931</v>
      </c>
      <c r="H51" s="283">
        <f t="shared" si="1"/>
        <v>89245.637449795831</v>
      </c>
      <c r="I51" s="10">
        <f t="shared" si="2"/>
        <v>2685.3625502041687</v>
      </c>
      <c r="J51" s="447">
        <f t="shared" si="3"/>
        <v>-1933.6839061054679</v>
      </c>
      <c r="K51" s="10">
        <v>4370</v>
      </c>
      <c r="L51" s="397">
        <f t="shared" si="4"/>
        <v>11155.704681224479</v>
      </c>
      <c r="M51" s="14">
        <f t="shared" si="5"/>
        <v>0</v>
      </c>
      <c r="N51" s="2">
        <f t="shared" si="6"/>
        <v>0</v>
      </c>
      <c r="O51" s="130">
        <f t="shared" si="7"/>
        <v>-1933.6839061054679</v>
      </c>
      <c r="P51" s="438">
        <f t="shared" si="8"/>
        <v>-0.1733358816283421</v>
      </c>
      <c r="Q51" s="126"/>
    </row>
    <row r="52" spans="1:17" x14ac:dyDescent="0.25">
      <c r="A52" s="49">
        <f>+'A) Base RI'!A54</f>
        <v>5484</v>
      </c>
      <c r="B52" s="291" t="str">
        <f>+'A) Base RI'!B54</f>
        <v>Gollion</v>
      </c>
      <c r="C52" s="302">
        <f>+'D) Ecrêtage'!C52</f>
        <v>33762.861845883657</v>
      </c>
      <c r="D52" s="439">
        <v>278331</v>
      </c>
      <c r="E52" s="440">
        <v>63566</v>
      </c>
      <c r="F52" s="439">
        <v>51860</v>
      </c>
      <c r="G52" s="302">
        <f t="shared" si="0"/>
        <v>393757</v>
      </c>
      <c r="H52" s="283">
        <f t="shared" si="1"/>
        <v>270102.89476706926</v>
      </c>
      <c r="I52" s="10">
        <f t="shared" si="2"/>
        <v>123654.10523293074</v>
      </c>
      <c r="J52" s="447">
        <f t="shared" si="3"/>
        <v>-89041.218361599138</v>
      </c>
      <c r="K52" s="10">
        <v>71267</v>
      </c>
      <c r="L52" s="397">
        <f t="shared" si="4"/>
        <v>33762.861845883657</v>
      </c>
      <c r="M52" s="14">
        <f t="shared" si="5"/>
        <v>37504.138154116343</v>
      </c>
      <c r="N52" s="2">
        <f t="shared" si="6"/>
        <v>-27006.092103078227</v>
      </c>
      <c r="O52" s="130">
        <f t="shared" si="7"/>
        <v>-116047.31046467737</v>
      </c>
      <c r="P52" s="438">
        <f t="shared" si="8"/>
        <v>-3.4371289671590968</v>
      </c>
      <c r="Q52" s="126"/>
    </row>
    <row r="53" spans="1:17" x14ac:dyDescent="0.25">
      <c r="A53" s="49">
        <f>+'A) Base RI'!A55</f>
        <v>5485</v>
      </c>
      <c r="B53" s="291" t="str">
        <f>+'A) Base RI'!B55</f>
        <v>Grancy</v>
      </c>
      <c r="C53" s="302">
        <f>+'D) Ecrêtage'!C53</f>
        <v>16914.094370194773</v>
      </c>
      <c r="D53" s="439">
        <v>-91653</v>
      </c>
      <c r="E53" s="440">
        <v>13625</v>
      </c>
      <c r="F53" s="439">
        <v>47373</v>
      </c>
      <c r="G53" s="302">
        <f t="shared" si="0"/>
        <v>-30655</v>
      </c>
      <c r="H53" s="283">
        <f t="shared" si="1"/>
        <v>135312.75496155818</v>
      </c>
      <c r="I53" s="10">
        <f t="shared" si="2"/>
        <v>0</v>
      </c>
      <c r="J53" s="447">
        <f t="shared" si="3"/>
        <v>0</v>
      </c>
      <c r="K53" s="10">
        <v>55810</v>
      </c>
      <c r="L53" s="397">
        <f t="shared" si="4"/>
        <v>16914.094370194773</v>
      </c>
      <c r="M53" s="14">
        <f t="shared" si="5"/>
        <v>38895.905629805231</v>
      </c>
      <c r="N53" s="2">
        <f t="shared" si="6"/>
        <v>-28008.280194431485</v>
      </c>
      <c r="O53" s="130">
        <f t="shared" si="7"/>
        <v>-28008.280194431485</v>
      </c>
      <c r="P53" s="438">
        <f t="shared" si="8"/>
        <v>-1.6559136765717926</v>
      </c>
      <c r="Q53" s="126"/>
    </row>
    <row r="54" spans="1:17" x14ac:dyDescent="0.25">
      <c r="A54" s="49">
        <f>+'A) Base RI'!A56</f>
        <v>5486</v>
      </c>
      <c r="B54" s="291" t="str">
        <f>+'A) Base RI'!B56</f>
        <v>L'Isle</v>
      </c>
      <c r="C54" s="302">
        <f>+'D) Ecrêtage'!C54</f>
        <v>35759.534807519231</v>
      </c>
      <c r="D54" s="439">
        <v>349956</v>
      </c>
      <c r="E54" s="440">
        <v>70117</v>
      </c>
      <c r="F54" s="439">
        <v>161648</v>
      </c>
      <c r="G54" s="302">
        <f t="shared" si="0"/>
        <v>581721</v>
      </c>
      <c r="H54" s="283">
        <f t="shared" si="1"/>
        <v>286076.27846015384</v>
      </c>
      <c r="I54" s="10">
        <f t="shared" si="2"/>
        <v>295644.72153984616</v>
      </c>
      <c r="J54" s="447">
        <f t="shared" si="3"/>
        <v>-212888.73635448885</v>
      </c>
      <c r="K54" s="10">
        <v>125535</v>
      </c>
      <c r="L54" s="397">
        <f t="shared" si="4"/>
        <v>35759.534807519231</v>
      </c>
      <c r="M54" s="14">
        <f t="shared" si="5"/>
        <v>89775.465192480769</v>
      </c>
      <c r="N54" s="2">
        <f t="shared" si="6"/>
        <v>-64645.785796272852</v>
      </c>
      <c r="O54" s="130">
        <f t="shared" si="7"/>
        <v>-277534.52215076168</v>
      </c>
      <c r="P54" s="438">
        <f t="shared" si="8"/>
        <v>-7.7611334611770157</v>
      </c>
      <c r="Q54" s="126"/>
    </row>
    <row r="55" spans="1:17" x14ac:dyDescent="0.25">
      <c r="A55" s="49">
        <f>+'A) Base RI'!A57</f>
        <v>5487</v>
      </c>
      <c r="B55" s="291" t="str">
        <f>+'A) Base RI'!B57</f>
        <v>Lussery-Villars</v>
      </c>
      <c r="C55" s="302">
        <f>+'D) Ecrêtage'!C55</f>
        <v>15494.848822945682</v>
      </c>
      <c r="D55" s="439">
        <v>106547</v>
      </c>
      <c r="E55" s="440">
        <v>34365</v>
      </c>
      <c r="F55" s="439">
        <v>37855</v>
      </c>
      <c r="G55" s="302">
        <f t="shared" si="0"/>
        <v>178767</v>
      </c>
      <c r="H55" s="283">
        <f t="shared" si="1"/>
        <v>123958.79058356545</v>
      </c>
      <c r="I55" s="10">
        <f t="shared" si="2"/>
        <v>54808.209416434547</v>
      </c>
      <c r="J55" s="447">
        <f t="shared" si="3"/>
        <v>-39466.459552346045</v>
      </c>
      <c r="K55" s="10">
        <v>9066</v>
      </c>
      <c r="L55" s="397">
        <f t="shared" si="4"/>
        <v>15494.848822945682</v>
      </c>
      <c r="M55" s="14">
        <f t="shared" si="5"/>
        <v>0</v>
      </c>
      <c r="N55" s="2">
        <f t="shared" si="6"/>
        <v>0</v>
      </c>
      <c r="O55" s="130">
        <f t="shared" si="7"/>
        <v>-39466.459552346045</v>
      </c>
      <c r="P55" s="438">
        <f t="shared" si="8"/>
        <v>-2.5470696747877781</v>
      </c>
      <c r="Q55" s="126"/>
    </row>
    <row r="56" spans="1:17" x14ac:dyDescent="0.25">
      <c r="A56" s="49">
        <f>+'A) Base RI'!A58</f>
        <v>5488</v>
      </c>
      <c r="B56" s="291" t="str">
        <f>+'A) Base RI'!B58</f>
        <v>Mauraz</v>
      </c>
      <c r="C56" s="302">
        <f>+'D) Ecrêtage'!C56</f>
        <v>1750.6115384615387</v>
      </c>
      <c r="D56" s="439">
        <v>1998</v>
      </c>
      <c r="E56" s="440">
        <v>0</v>
      </c>
      <c r="F56" s="439">
        <v>9413</v>
      </c>
      <c r="G56" s="302">
        <f t="shared" si="0"/>
        <v>11411</v>
      </c>
      <c r="H56" s="283">
        <f t="shared" si="1"/>
        <v>14004.892307692309</v>
      </c>
      <c r="I56" s="10">
        <f t="shared" si="2"/>
        <v>0</v>
      </c>
      <c r="J56" s="447">
        <f t="shared" si="3"/>
        <v>0</v>
      </c>
      <c r="K56" s="10">
        <v>0</v>
      </c>
      <c r="L56" s="397">
        <f t="shared" si="4"/>
        <v>1750.6115384615387</v>
      </c>
      <c r="M56" s="14">
        <f t="shared" si="5"/>
        <v>0</v>
      </c>
      <c r="N56" s="2">
        <f t="shared" si="6"/>
        <v>0</v>
      </c>
      <c r="O56" s="130">
        <f t="shared" si="7"/>
        <v>0</v>
      </c>
      <c r="P56" s="438">
        <f t="shared" si="8"/>
        <v>0</v>
      </c>
      <c r="Q56" s="126"/>
    </row>
    <row r="57" spans="1:17" x14ac:dyDescent="0.25">
      <c r="A57" s="49">
        <f>+'A) Base RI'!A59</f>
        <v>5489</v>
      </c>
      <c r="B57" s="291" t="str">
        <f>+'A) Base RI'!B59</f>
        <v>Mex</v>
      </c>
      <c r="C57" s="302">
        <f>+'D) Ecrêtage'!C57</f>
        <v>63473.912067537727</v>
      </c>
      <c r="D57" s="439">
        <v>252429</v>
      </c>
      <c r="E57" s="440">
        <v>21382</v>
      </c>
      <c r="F57" s="439">
        <v>56408</v>
      </c>
      <c r="G57" s="302">
        <f t="shared" si="0"/>
        <v>330219</v>
      </c>
      <c r="H57" s="283">
        <f t="shared" si="1"/>
        <v>507791.29654030182</v>
      </c>
      <c r="I57" s="10">
        <f t="shared" si="2"/>
        <v>0</v>
      </c>
      <c r="J57" s="447">
        <f t="shared" si="3"/>
        <v>0</v>
      </c>
      <c r="K57" s="10">
        <v>30702</v>
      </c>
      <c r="L57" s="397">
        <f t="shared" si="4"/>
        <v>63473.912067537727</v>
      </c>
      <c r="M57" s="14">
        <f t="shared" si="5"/>
        <v>0</v>
      </c>
      <c r="N57" s="2">
        <f t="shared" si="6"/>
        <v>0</v>
      </c>
      <c r="O57" s="130">
        <f t="shared" si="7"/>
        <v>0</v>
      </c>
      <c r="P57" s="438">
        <f t="shared" si="8"/>
        <v>0</v>
      </c>
      <c r="Q57" s="126"/>
    </row>
    <row r="58" spans="1:17" x14ac:dyDescent="0.25">
      <c r="A58" s="49">
        <f>+'A) Base RI'!A60</f>
        <v>5490</v>
      </c>
      <c r="B58" s="291" t="str">
        <f>+'A) Base RI'!B60</f>
        <v>Moiry</v>
      </c>
      <c r="C58" s="302">
        <f>+'D) Ecrêtage'!C58</f>
        <v>8338.3158944329061</v>
      </c>
      <c r="D58" s="439">
        <v>88239</v>
      </c>
      <c r="E58" s="440">
        <v>10612</v>
      </c>
      <c r="F58" s="439">
        <v>53168</v>
      </c>
      <c r="G58" s="302">
        <f t="shared" si="0"/>
        <v>152019</v>
      </c>
      <c r="H58" s="283">
        <f t="shared" si="1"/>
        <v>66706.527155463249</v>
      </c>
      <c r="I58" s="10">
        <f t="shared" si="2"/>
        <v>85312.472844536751</v>
      </c>
      <c r="J58" s="447">
        <f t="shared" si="3"/>
        <v>-61432.060902539211</v>
      </c>
      <c r="K58" s="10">
        <v>-3546</v>
      </c>
      <c r="L58" s="397">
        <f t="shared" si="4"/>
        <v>8338.3158944329061</v>
      </c>
      <c r="M58" s="14">
        <f t="shared" si="5"/>
        <v>0</v>
      </c>
      <c r="N58" s="2">
        <f t="shared" si="6"/>
        <v>0</v>
      </c>
      <c r="O58" s="130">
        <f t="shared" si="7"/>
        <v>-61432.060902539211</v>
      </c>
      <c r="P58" s="438">
        <f t="shared" si="8"/>
        <v>-7.3674422605594083</v>
      </c>
      <c r="Q58" s="126"/>
    </row>
    <row r="59" spans="1:17" x14ac:dyDescent="0.25">
      <c r="A59" s="49">
        <f>+'A) Base RI'!A61</f>
        <v>5491</v>
      </c>
      <c r="B59" s="291" t="str">
        <f>+'A) Base RI'!B61</f>
        <v>Mont-la-Ville</v>
      </c>
      <c r="C59" s="302">
        <f>+'D) Ecrêtage'!C59</f>
        <v>14141.684131434778</v>
      </c>
      <c r="D59" s="439">
        <v>130250</v>
      </c>
      <c r="E59" s="440">
        <v>23495</v>
      </c>
      <c r="F59" s="439">
        <v>80675</v>
      </c>
      <c r="G59" s="302">
        <f t="shared" si="0"/>
        <v>234420</v>
      </c>
      <c r="H59" s="283">
        <f t="shared" si="1"/>
        <v>113133.47305147823</v>
      </c>
      <c r="I59" s="10">
        <f t="shared" si="2"/>
        <v>121286.52694852177</v>
      </c>
      <c r="J59" s="447">
        <f t="shared" si="3"/>
        <v>-87336.365501169421</v>
      </c>
      <c r="K59" s="10">
        <v>22745</v>
      </c>
      <c r="L59" s="397">
        <f t="shared" si="4"/>
        <v>14141.684131434778</v>
      </c>
      <c r="M59" s="14">
        <f t="shared" si="5"/>
        <v>8603.3158685652215</v>
      </c>
      <c r="N59" s="2">
        <f t="shared" si="6"/>
        <v>-6195.1014521005773</v>
      </c>
      <c r="O59" s="130">
        <f t="shared" si="7"/>
        <v>-93531.466953269992</v>
      </c>
      <c r="P59" s="438">
        <f t="shared" si="8"/>
        <v>-6.6138846041232098</v>
      </c>
      <c r="Q59" s="126"/>
    </row>
    <row r="60" spans="1:17" x14ac:dyDescent="0.25">
      <c r="A60" s="49">
        <f>+'A) Base RI'!A62</f>
        <v>5492</v>
      </c>
      <c r="B60" s="291" t="str">
        <f>+'A) Base RI'!B62</f>
        <v>Montricher</v>
      </c>
      <c r="C60" s="302">
        <f>+'D) Ecrêtage'!C60</f>
        <v>189730.40192708332</v>
      </c>
      <c r="D60" s="439">
        <v>204736</v>
      </c>
      <c r="E60" s="440">
        <v>64361</v>
      </c>
      <c r="F60" s="439">
        <v>135701</v>
      </c>
      <c r="G60" s="302">
        <f t="shared" si="0"/>
        <v>404798</v>
      </c>
      <c r="H60" s="283">
        <f t="shared" si="1"/>
        <v>1517843.2154166666</v>
      </c>
      <c r="I60" s="10">
        <f t="shared" si="2"/>
        <v>0</v>
      </c>
      <c r="J60" s="447">
        <f t="shared" si="3"/>
        <v>0</v>
      </c>
      <c r="K60" s="10">
        <v>382367</v>
      </c>
      <c r="L60" s="397">
        <f t="shared" si="4"/>
        <v>189730.40192708332</v>
      </c>
      <c r="M60" s="14">
        <f t="shared" si="5"/>
        <v>192636.59807291668</v>
      </c>
      <c r="N60" s="2">
        <f t="shared" si="6"/>
        <v>-138714.33836454802</v>
      </c>
      <c r="O60" s="130">
        <f t="shared" si="7"/>
        <v>-138714.33836454802</v>
      </c>
      <c r="P60" s="438">
        <f t="shared" si="8"/>
        <v>-0.73111286834177658</v>
      </c>
      <c r="Q60" s="126"/>
    </row>
    <row r="61" spans="1:17" x14ac:dyDescent="0.25">
      <c r="A61" s="49">
        <f>+'A) Base RI'!A63</f>
        <v>5493</v>
      </c>
      <c r="B61" s="291" t="str">
        <f>+'A) Base RI'!B63</f>
        <v>Orny</v>
      </c>
      <c r="C61" s="302">
        <f>+'D) Ecrêtage'!C61</f>
        <v>10671.007215907817</v>
      </c>
      <c r="D61" s="439">
        <v>-293201</v>
      </c>
      <c r="E61" s="440">
        <v>0</v>
      </c>
      <c r="F61" s="439">
        <v>66928</v>
      </c>
      <c r="G61" s="302">
        <f t="shared" si="0"/>
        <v>-226273</v>
      </c>
      <c r="H61" s="283">
        <f t="shared" si="1"/>
        <v>85368.057727262538</v>
      </c>
      <c r="I61" s="10">
        <f t="shared" si="2"/>
        <v>0</v>
      </c>
      <c r="J61" s="447">
        <f t="shared" si="3"/>
        <v>0</v>
      </c>
      <c r="K61" s="10">
        <v>9544</v>
      </c>
      <c r="L61" s="397">
        <f t="shared" si="4"/>
        <v>10671.007215907817</v>
      </c>
      <c r="M61" s="14">
        <f t="shared" si="5"/>
        <v>0</v>
      </c>
      <c r="N61" s="2">
        <f t="shared" si="6"/>
        <v>0</v>
      </c>
      <c r="O61" s="130">
        <f t="shared" si="7"/>
        <v>0</v>
      </c>
      <c r="P61" s="438">
        <f t="shared" si="8"/>
        <v>0</v>
      </c>
      <c r="Q61" s="126"/>
    </row>
    <row r="62" spans="1:17" x14ac:dyDescent="0.25">
      <c r="A62" s="49">
        <f>+'A) Base RI'!A64</f>
        <v>5494</v>
      </c>
      <c r="B62" s="291" t="str">
        <f>+'A) Base RI'!B64</f>
        <v>Pampigny</v>
      </c>
      <c r="C62" s="302">
        <f>+'D) Ecrêtage'!C62</f>
        <v>36967.725840132596</v>
      </c>
      <c r="D62" s="439">
        <v>293055</v>
      </c>
      <c r="E62" s="440">
        <v>76206</v>
      </c>
      <c r="F62" s="439">
        <v>163592</v>
      </c>
      <c r="G62" s="302">
        <f t="shared" si="0"/>
        <v>532853</v>
      </c>
      <c r="H62" s="283">
        <f t="shared" si="1"/>
        <v>295741.80672106077</v>
      </c>
      <c r="I62" s="10">
        <f t="shared" si="2"/>
        <v>237111.19327893923</v>
      </c>
      <c r="J62" s="447">
        <f t="shared" si="3"/>
        <v>-170739.73805365243</v>
      </c>
      <c r="K62" s="10">
        <v>115713</v>
      </c>
      <c r="L62" s="397">
        <f t="shared" si="4"/>
        <v>36967.725840132596</v>
      </c>
      <c r="M62" s="14">
        <f t="shared" si="5"/>
        <v>78745.274159867404</v>
      </c>
      <c r="N62" s="2">
        <f t="shared" si="6"/>
        <v>-56703.132809095507</v>
      </c>
      <c r="O62" s="130">
        <f t="shared" si="7"/>
        <v>-227442.87086274795</v>
      </c>
      <c r="P62" s="438">
        <f t="shared" si="8"/>
        <v>-6.152471262266106</v>
      </c>
      <c r="Q62" s="126"/>
    </row>
    <row r="63" spans="1:17" x14ac:dyDescent="0.25">
      <c r="A63" s="49">
        <f>+'A) Base RI'!A65</f>
        <v>5495</v>
      </c>
      <c r="B63" s="291" t="str">
        <f>+'A) Base RI'!B65</f>
        <v>Penthalaz</v>
      </c>
      <c r="C63" s="302">
        <f>+'D) Ecrêtage'!C63</f>
        <v>95087.015809528908</v>
      </c>
      <c r="D63" s="439">
        <v>819212</v>
      </c>
      <c r="E63" s="440">
        <v>408380</v>
      </c>
      <c r="F63" s="439">
        <v>308007</v>
      </c>
      <c r="G63" s="302">
        <f t="shared" si="0"/>
        <v>1535599</v>
      </c>
      <c r="H63" s="283">
        <f t="shared" si="1"/>
        <v>760696.12647623126</v>
      </c>
      <c r="I63" s="10">
        <f t="shared" si="2"/>
        <v>774902.87352376874</v>
      </c>
      <c r="J63" s="447">
        <f t="shared" si="3"/>
        <v>-557994.38150869706</v>
      </c>
      <c r="K63" s="10">
        <v>73928</v>
      </c>
      <c r="L63" s="397">
        <f t="shared" si="4"/>
        <v>95087.015809528908</v>
      </c>
      <c r="M63" s="14">
        <f t="shared" si="5"/>
        <v>0</v>
      </c>
      <c r="N63" s="2">
        <f t="shared" si="6"/>
        <v>0</v>
      </c>
      <c r="O63" s="130">
        <f t="shared" si="7"/>
        <v>-557994.38150869706</v>
      </c>
      <c r="P63" s="438">
        <f t="shared" si="8"/>
        <v>-5.868250010352928</v>
      </c>
      <c r="Q63" s="126"/>
    </row>
    <row r="64" spans="1:17" x14ac:dyDescent="0.25">
      <c r="A64" s="49">
        <f>+'A) Base RI'!A66</f>
        <v>5496</v>
      </c>
      <c r="B64" s="291" t="str">
        <f>+'A) Base RI'!B66</f>
        <v>Penthaz</v>
      </c>
      <c r="C64" s="302">
        <f>+'D) Ecrêtage'!C64</f>
        <v>59337.456966456659</v>
      </c>
      <c r="D64" s="439">
        <v>500994</v>
      </c>
      <c r="E64" s="440">
        <v>128652</v>
      </c>
      <c r="F64" s="439">
        <v>171331</v>
      </c>
      <c r="G64" s="302">
        <f t="shared" si="0"/>
        <v>800977</v>
      </c>
      <c r="H64" s="283">
        <f t="shared" si="1"/>
        <v>474699.65573165327</v>
      </c>
      <c r="I64" s="10">
        <f t="shared" si="2"/>
        <v>326277.34426834673</v>
      </c>
      <c r="J64" s="447">
        <f t="shared" si="3"/>
        <v>-234946.76705406743</v>
      </c>
      <c r="K64" s="10">
        <v>81976</v>
      </c>
      <c r="L64" s="397">
        <f t="shared" si="4"/>
        <v>59337.456966456659</v>
      </c>
      <c r="M64" s="14">
        <f t="shared" si="5"/>
        <v>22638.543033543341</v>
      </c>
      <c r="N64" s="2">
        <f t="shared" si="6"/>
        <v>-16301.629855644831</v>
      </c>
      <c r="O64" s="130">
        <f t="shared" si="7"/>
        <v>-251248.39690971226</v>
      </c>
      <c r="P64" s="438">
        <f t="shared" si="8"/>
        <v>-4.2342292668818358</v>
      </c>
      <c r="Q64" s="126"/>
    </row>
    <row r="65" spans="1:17" x14ac:dyDescent="0.25">
      <c r="A65" s="49">
        <f>+'A) Base RI'!A67</f>
        <v>5497</v>
      </c>
      <c r="B65" s="291" t="str">
        <f>+'A) Base RI'!B67</f>
        <v>Pompaples</v>
      </c>
      <c r="C65" s="302">
        <f>+'D) Ecrêtage'!C65</f>
        <v>22672.594290282061</v>
      </c>
      <c r="D65" s="439">
        <v>231068</v>
      </c>
      <c r="E65" s="440">
        <v>28996</v>
      </c>
      <c r="F65" s="439">
        <v>153406</v>
      </c>
      <c r="G65" s="302">
        <f t="shared" si="0"/>
        <v>413470</v>
      </c>
      <c r="H65" s="283">
        <f t="shared" si="1"/>
        <v>181380.75432225649</v>
      </c>
      <c r="I65" s="10">
        <f t="shared" si="2"/>
        <v>232089.24567774351</v>
      </c>
      <c r="J65" s="447">
        <f t="shared" si="3"/>
        <v>-167123.51898744149</v>
      </c>
      <c r="K65" s="10">
        <v>15113</v>
      </c>
      <c r="L65" s="397">
        <f t="shared" si="4"/>
        <v>22672.594290282061</v>
      </c>
      <c r="M65" s="14">
        <f t="shared" si="5"/>
        <v>0</v>
      </c>
      <c r="N65" s="2">
        <f t="shared" si="6"/>
        <v>0</v>
      </c>
      <c r="O65" s="130">
        <f t="shared" si="7"/>
        <v>-167123.51898744149</v>
      </c>
      <c r="P65" s="438">
        <f t="shared" si="8"/>
        <v>-7.3711687708836244</v>
      </c>
      <c r="Q65" s="126"/>
    </row>
    <row r="66" spans="1:17" x14ac:dyDescent="0.25">
      <c r="A66" s="49">
        <f>+'A) Base RI'!A68</f>
        <v>5498</v>
      </c>
      <c r="B66" s="291" t="str">
        <f>+'A) Base RI'!B68</f>
        <v>La Sarraz</v>
      </c>
      <c r="C66" s="302">
        <f>+'D) Ecrêtage'!C66</f>
        <v>77413.833852725787</v>
      </c>
      <c r="D66" s="439">
        <v>669826</v>
      </c>
      <c r="E66" s="440">
        <v>240490</v>
      </c>
      <c r="F66" s="439">
        <v>472552</v>
      </c>
      <c r="G66" s="302">
        <f t="shared" si="0"/>
        <v>1382868</v>
      </c>
      <c r="H66" s="283">
        <f t="shared" si="1"/>
        <v>619310.6708218063</v>
      </c>
      <c r="I66" s="10">
        <f t="shared" si="2"/>
        <v>763557.3291781937</v>
      </c>
      <c r="J66" s="447">
        <f t="shared" si="3"/>
        <v>-549824.64796363947</v>
      </c>
      <c r="K66" s="10">
        <v>46356</v>
      </c>
      <c r="L66" s="397">
        <f t="shared" si="4"/>
        <v>77413.833852725787</v>
      </c>
      <c r="M66" s="14">
        <f t="shared" si="5"/>
        <v>0</v>
      </c>
      <c r="N66" s="2">
        <f t="shared" si="6"/>
        <v>0</v>
      </c>
      <c r="O66" s="130">
        <f t="shared" si="7"/>
        <v>-549824.64796363947</v>
      </c>
      <c r="P66" s="438">
        <f t="shared" si="8"/>
        <v>-7.1024081950215905</v>
      </c>
      <c r="Q66" s="126"/>
    </row>
    <row r="67" spans="1:17" x14ac:dyDescent="0.25">
      <c r="A67" s="49">
        <f>+'A) Base RI'!A69</f>
        <v>5499</v>
      </c>
      <c r="B67" s="291" t="str">
        <f>+'A) Base RI'!B69</f>
        <v>Senarclens</v>
      </c>
      <c r="C67" s="302">
        <f>+'D) Ecrêtage'!C67</f>
        <v>19511.48949637344</v>
      </c>
      <c r="D67" s="439">
        <v>44707</v>
      </c>
      <c r="E67" s="440">
        <v>16824</v>
      </c>
      <c r="F67" s="439">
        <v>61113</v>
      </c>
      <c r="G67" s="302">
        <f t="shared" si="0"/>
        <v>122644</v>
      </c>
      <c r="H67" s="283">
        <f t="shared" si="1"/>
        <v>156091.91597098752</v>
      </c>
      <c r="I67" s="10">
        <f t="shared" si="2"/>
        <v>0</v>
      </c>
      <c r="J67" s="447">
        <f t="shared" si="3"/>
        <v>0</v>
      </c>
      <c r="K67" s="10">
        <v>11412</v>
      </c>
      <c r="L67" s="397">
        <f t="shared" si="4"/>
        <v>19511.48949637344</v>
      </c>
      <c r="M67" s="14">
        <f t="shared" si="5"/>
        <v>0</v>
      </c>
      <c r="N67" s="2">
        <f t="shared" si="6"/>
        <v>0</v>
      </c>
      <c r="O67" s="130">
        <f t="shared" si="7"/>
        <v>0</v>
      </c>
      <c r="P67" s="438">
        <f t="shared" si="8"/>
        <v>0</v>
      </c>
      <c r="Q67" s="126"/>
    </row>
    <row r="68" spans="1:17" x14ac:dyDescent="0.25">
      <c r="A68" s="49">
        <f>+'A) Base RI'!A70</f>
        <v>5500</v>
      </c>
      <c r="B68" s="291" t="str">
        <f>+'A) Base RI'!B70</f>
        <v>Sévery</v>
      </c>
      <c r="C68" s="302">
        <f>+'D) Ecrêtage'!C68</f>
        <v>6989.4068888888896</v>
      </c>
      <c r="D68" s="439">
        <v>36091</v>
      </c>
      <c r="E68" s="440">
        <v>11554</v>
      </c>
      <c r="F68" s="439">
        <v>28599</v>
      </c>
      <c r="G68" s="302">
        <f t="shared" si="0"/>
        <v>76244</v>
      </c>
      <c r="H68" s="283">
        <f t="shared" si="1"/>
        <v>55915.255111111117</v>
      </c>
      <c r="I68" s="10">
        <f t="shared" si="2"/>
        <v>20328.744888888883</v>
      </c>
      <c r="J68" s="447">
        <f t="shared" si="3"/>
        <v>-14638.383491264345</v>
      </c>
      <c r="K68" s="10">
        <v>10675</v>
      </c>
      <c r="L68" s="397">
        <f t="shared" si="4"/>
        <v>6989.4068888888896</v>
      </c>
      <c r="M68" s="14">
        <f t="shared" si="5"/>
        <v>3685.5931111111104</v>
      </c>
      <c r="N68" s="2">
        <f t="shared" si="6"/>
        <v>-2653.9329234582815</v>
      </c>
      <c r="O68" s="130">
        <f t="shared" si="7"/>
        <v>-17292.316414722627</v>
      </c>
      <c r="P68" s="438">
        <f t="shared" si="8"/>
        <v>-2.4740749379196032</v>
      </c>
      <c r="Q68" s="126"/>
    </row>
    <row r="69" spans="1:17" x14ac:dyDescent="0.25">
      <c r="A69" s="49">
        <f>+'A) Base RI'!A71</f>
        <v>5501</v>
      </c>
      <c r="B69" s="291" t="str">
        <f>+'A) Base RI'!B71</f>
        <v>Sullens</v>
      </c>
      <c r="C69" s="302">
        <f>+'D) Ecrêtage'!C69</f>
        <v>40420.112388899281</v>
      </c>
      <c r="D69" s="439">
        <v>233836</v>
      </c>
      <c r="E69" s="440">
        <v>30554</v>
      </c>
      <c r="F69" s="439">
        <v>41728</v>
      </c>
      <c r="G69" s="302">
        <f t="shared" ref="G69:G132" si="9">SUM(D69:F69)</f>
        <v>306118</v>
      </c>
      <c r="H69" s="283">
        <f t="shared" ref="H69:H132" si="10">+C69*$I$4</f>
        <v>323360.89911119425</v>
      </c>
      <c r="I69" s="10">
        <f t="shared" ref="I69:I132" si="11">IF(G69&gt;H69,G69-H69,0)</f>
        <v>0</v>
      </c>
      <c r="J69" s="447">
        <f t="shared" ref="J69:J132" si="12">-I69*J$4</f>
        <v>0</v>
      </c>
      <c r="K69" s="10">
        <v>48878</v>
      </c>
      <c r="L69" s="397">
        <f t="shared" ref="L69:L132" si="13">C69*M$4</f>
        <v>40420.112388899281</v>
      </c>
      <c r="M69" s="14">
        <f t="shared" ref="M69:M132" si="14">IF(K69&gt;L69,K69-L69,0)</f>
        <v>8457.8876111007194</v>
      </c>
      <c r="N69" s="2">
        <f t="shared" ref="N69:N132" si="15">-M69*N$4</f>
        <v>-6090.3810370003184</v>
      </c>
      <c r="O69" s="130">
        <f t="shared" ref="O69:O132" si="16">N69+J69</f>
        <v>-6090.3810370003184</v>
      </c>
      <c r="P69" s="438">
        <f t="shared" ref="P69:P132" si="17">+O69/C69</f>
        <v>-0.15067699412614552</v>
      </c>
      <c r="Q69" s="126"/>
    </row>
    <row r="70" spans="1:17" x14ac:dyDescent="0.25">
      <c r="A70" s="49">
        <f>+'A) Base RI'!A72</f>
        <v>5503</v>
      </c>
      <c r="B70" s="291" t="str">
        <f>+'A) Base RI'!B72</f>
        <v>Vufflens-la-Ville</v>
      </c>
      <c r="C70" s="302">
        <f>+'D) Ecrêtage'!C70</f>
        <v>89557.096460669622</v>
      </c>
      <c r="D70" s="439">
        <v>205261</v>
      </c>
      <c r="E70" s="440">
        <v>111090</v>
      </c>
      <c r="F70" s="439">
        <v>128407</v>
      </c>
      <c r="G70" s="302">
        <f t="shared" si="9"/>
        <v>444758</v>
      </c>
      <c r="H70" s="283">
        <f t="shared" si="10"/>
        <v>716456.77168535697</v>
      </c>
      <c r="I70" s="10">
        <f t="shared" si="11"/>
        <v>0</v>
      </c>
      <c r="J70" s="447">
        <f t="shared" si="12"/>
        <v>0</v>
      </c>
      <c r="K70" s="10">
        <v>46515</v>
      </c>
      <c r="L70" s="397">
        <f t="shared" si="13"/>
        <v>89557.096460669622</v>
      </c>
      <c r="M70" s="14">
        <f t="shared" si="14"/>
        <v>0</v>
      </c>
      <c r="N70" s="2">
        <f t="shared" si="15"/>
        <v>0</v>
      </c>
      <c r="O70" s="130">
        <f t="shared" si="16"/>
        <v>0</v>
      </c>
      <c r="P70" s="438">
        <f t="shared" si="17"/>
        <v>0</v>
      </c>
      <c r="Q70" s="126"/>
    </row>
    <row r="71" spans="1:17" x14ac:dyDescent="0.25">
      <c r="A71" s="49">
        <f>+'A) Base RI'!A73</f>
        <v>5511</v>
      </c>
      <c r="B71" s="291" t="str">
        <f>+'A) Base RI'!B73</f>
        <v>Assens</v>
      </c>
      <c r="C71" s="302">
        <f>+'D) Ecrêtage'!C71</f>
        <v>50056.955709388079</v>
      </c>
      <c r="D71" s="439">
        <v>513668</v>
      </c>
      <c r="E71" s="440">
        <v>79408</v>
      </c>
      <c r="F71" s="439">
        <v>94302</v>
      </c>
      <c r="G71" s="302">
        <f t="shared" si="9"/>
        <v>687378</v>
      </c>
      <c r="H71" s="283">
        <f t="shared" si="10"/>
        <v>400455.64567510464</v>
      </c>
      <c r="I71" s="10">
        <f t="shared" si="11"/>
        <v>286922.35432489536</v>
      </c>
      <c r="J71" s="447">
        <f t="shared" si="12"/>
        <v>-206607.90805239984</v>
      </c>
      <c r="K71" s="10">
        <v>3435</v>
      </c>
      <c r="L71" s="397">
        <f t="shared" si="13"/>
        <v>50056.955709388079</v>
      </c>
      <c r="M71" s="14">
        <f t="shared" si="14"/>
        <v>0</v>
      </c>
      <c r="N71" s="2">
        <f t="shared" si="15"/>
        <v>0</v>
      </c>
      <c r="O71" s="130">
        <f t="shared" si="16"/>
        <v>-206607.90805239984</v>
      </c>
      <c r="P71" s="438">
        <f t="shared" si="17"/>
        <v>-4.1274565167703745</v>
      </c>
      <c r="Q71" s="126"/>
    </row>
    <row r="72" spans="1:17" x14ac:dyDescent="0.25">
      <c r="A72" s="49">
        <f>+'A) Base RI'!A74</f>
        <v>5512</v>
      </c>
      <c r="B72" s="291" t="str">
        <f>+'A) Base RI'!B74</f>
        <v>Bercher</v>
      </c>
      <c r="C72" s="302">
        <f>+'D) Ecrêtage'!C72</f>
        <v>40014.173696623147</v>
      </c>
      <c r="D72" s="439">
        <v>436921</v>
      </c>
      <c r="E72" s="440">
        <v>91352</v>
      </c>
      <c r="F72" s="439">
        <v>108487</v>
      </c>
      <c r="G72" s="302">
        <f t="shared" si="9"/>
        <v>636760</v>
      </c>
      <c r="H72" s="283">
        <f t="shared" si="10"/>
        <v>320113.38957298518</v>
      </c>
      <c r="I72" s="10">
        <f t="shared" si="11"/>
        <v>316646.61042701482</v>
      </c>
      <c r="J72" s="447">
        <f t="shared" si="12"/>
        <v>-228011.83939167304</v>
      </c>
      <c r="K72" s="10">
        <v>35650</v>
      </c>
      <c r="L72" s="397">
        <f t="shared" si="13"/>
        <v>40014.173696623147</v>
      </c>
      <c r="M72" s="14">
        <f t="shared" si="14"/>
        <v>0</v>
      </c>
      <c r="N72" s="2">
        <f t="shared" si="15"/>
        <v>0</v>
      </c>
      <c r="O72" s="130">
        <f t="shared" si="16"/>
        <v>-228011.83939167304</v>
      </c>
      <c r="P72" s="438">
        <f t="shared" si="17"/>
        <v>-5.698276843610425</v>
      </c>
      <c r="Q72" s="126"/>
    </row>
    <row r="73" spans="1:17" x14ac:dyDescent="0.25">
      <c r="A73" s="49">
        <f>+'A) Base RI'!A75</f>
        <v>5513</v>
      </c>
      <c r="B73" s="291" t="str">
        <f>+'A) Base RI'!B75</f>
        <v>Bioley-Orjulaz</v>
      </c>
      <c r="C73" s="302">
        <f>+'D) Ecrêtage'!C73</f>
        <v>21084.156158347432</v>
      </c>
      <c r="D73" s="439">
        <v>96043</v>
      </c>
      <c r="E73" s="440">
        <v>15218</v>
      </c>
      <c r="F73" s="439">
        <v>45181</v>
      </c>
      <c r="G73" s="302">
        <f t="shared" si="9"/>
        <v>156442</v>
      </c>
      <c r="H73" s="283">
        <f t="shared" si="10"/>
        <v>168673.24926677946</v>
      </c>
      <c r="I73" s="10">
        <f t="shared" si="11"/>
        <v>0</v>
      </c>
      <c r="J73" s="447">
        <f t="shared" si="12"/>
        <v>0</v>
      </c>
      <c r="K73" s="10">
        <v>-8476</v>
      </c>
      <c r="L73" s="397">
        <f t="shared" si="13"/>
        <v>21084.156158347432</v>
      </c>
      <c r="M73" s="14">
        <f t="shared" si="14"/>
        <v>0</v>
      </c>
      <c r="N73" s="2">
        <f t="shared" si="15"/>
        <v>0</v>
      </c>
      <c r="O73" s="130">
        <f t="shared" si="16"/>
        <v>0</v>
      </c>
      <c r="P73" s="438">
        <f t="shared" si="17"/>
        <v>0</v>
      </c>
      <c r="Q73" s="126"/>
    </row>
    <row r="74" spans="1:17" x14ac:dyDescent="0.25">
      <c r="A74" s="49">
        <f>+'A) Base RI'!A76</f>
        <v>5514</v>
      </c>
      <c r="B74" s="291" t="str">
        <f>+'A) Base RI'!B76</f>
        <v>Bottens</v>
      </c>
      <c r="C74" s="302">
        <f>+'D) Ecrêtage'!C74</f>
        <v>40808.475827283124</v>
      </c>
      <c r="D74" s="439">
        <v>134329</v>
      </c>
      <c r="E74" s="440">
        <v>57421</v>
      </c>
      <c r="F74" s="439">
        <v>113653</v>
      </c>
      <c r="G74" s="302">
        <f t="shared" si="9"/>
        <v>305403</v>
      </c>
      <c r="H74" s="283">
        <f t="shared" si="10"/>
        <v>326467.80661826499</v>
      </c>
      <c r="I74" s="10">
        <f t="shared" si="11"/>
        <v>0</v>
      </c>
      <c r="J74" s="447">
        <f t="shared" si="12"/>
        <v>0</v>
      </c>
      <c r="K74" s="10">
        <v>19851</v>
      </c>
      <c r="L74" s="397">
        <f t="shared" si="13"/>
        <v>40808.475827283124</v>
      </c>
      <c r="M74" s="14">
        <f t="shared" si="14"/>
        <v>0</v>
      </c>
      <c r="N74" s="2">
        <f t="shared" si="15"/>
        <v>0</v>
      </c>
      <c r="O74" s="130">
        <f t="shared" si="16"/>
        <v>0</v>
      </c>
      <c r="P74" s="438">
        <f t="shared" si="17"/>
        <v>0</v>
      </c>
      <c r="Q74" s="126"/>
    </row>
    <row r="75" spans="1:17" x14ac:dyDescent="0.25">
      <c r="A75" s="49">
        <f>+'A) Base RI'!A77</f>
        <v>5515</v>
      </c>
      <c r="B75" s="291" t="str">
        <f>+'A) Base RI'!B77</f>
        <v>Bretigny-sur-Morrens</v>
      </c>
      <c r="C75" s="302">
        <f>+'D) Ecrêtage'!C75</f>
        <v>28817.325490208266</v>
      </c>
      <c r="D75" s="439">
        <v>214345</v>
      </c>
      <c r="E75" s="440">
        <v>37293</v>
      </c>
      <c r="F75" s="439">
        <v>50610</v>
      </c>
      <c r="G75" s="302">
        <f t="shared" si="9"/>
        <v>302248</v>
      </c>
      <c r="H75" s="283">
        <f t="shared" si="10"/>
        <v>230538.60392166613</v>
      </c>
      <c r="I75" s="10">
        <f t="shared" si="11"/>
        <v>71709.39607833387</v>
      </c>
      <c r="J75" s="447">
        <f t="shared" si="12"/>
        <v>-51636.716652160867</v>
      </c>
      <c r="K75" s="10">
        <v>36528</v>
      </c>
      <c r="L75" s="397">
        <f t="shared" si="13"/>
        <v>28817.325490208266</v>
      </c>
      <c r="M75" s="14">
        <f t="shared" si="14"/>
        <v>7710.6745097917337</v>
      </c>
      <c r="N75" s="2">
        <f t="shared" si="15"/>
        <v>-5552.3255895813154</v>
      </c>
      <c r="O75" s="130">
        <f t="shared" si="16"/>
        <v>-57189.04224174218</v>
      </c>
      <c r="P75" s="438">
        <f t="shared" si="17"/>
        <v>-1.9845367767100468</v>
      </c>
      <c r="Q75" s="126"/>
    </row>
    <row r="76" spans="1:17" x14ac:dyDescent="0.25">
      <c r="A76" s="49">
        <f>+'A) Base RI'!A78</f>
        <v>5516</v>
      </c>
      <c r="B76" s="291" t="str">
        <f>+'A) Base RI'!B78</f>
        <v>Cugy</v>
      </c>
      <c r="C76" s="302">
        <f>+'D) Ecrêtage'!C76</f>
        <v>110914.83940385764</v>
      </c>
      <c r="D76" s="439">
        <v>837580</v>
      </c>
      <c r="E76" s="440">
        <v>121301</v>
      </c>
      <c r="F76" s="439">
        <v>199472</v>
      </c>
      <c r="G76" s="302">
        <f t="shared" si="9"/>
        <v>1158353</v>
      </c>
      <c r="H76" s="283">
        <f t="shared" si="10"/>
        <v>887318.7152308611</v>
      </c>
      <c r="I76" s="10">
        <f t="shared" si="11"/>
        <v>271034.2847691389</v>
      </c>
      <c r="J76" s="447">
        <f t="shared" si="12"/>
        <v>-195167.17935201831</v>
      </c>
      <c r="K76" s="10">
        <v>1032</v>
      </c>
      <c r="L76" s="397">
        <f t="shared" si="13"/>
        <v>110914.83940385764</v>
      </c>
      <c r="M76" s="14">
        <f t="shared" si="14"/>
        <v>0</v>
      </c>
      <c r="N76" s="2">
        <f t="shared" si="15"/>
        <v>0</v>
      </c>
      <c r="O76" s="130">
        <f t="shared" si="16"/>
        <v>-195167.17935201831</v>
      </c>
      <c r="P76" s="438">
        <f t="shared" si="17"/>
        <v>-1.7596128741744395</v>
      </c>
      <c r="Q76" s="126"/>
    </row>
    <row r="77" spans="1:17" x14ac:dyDescent="0.25">
      <c r="A77" s="49">
        <f>+'A) Base RI'!A79</f>
        <v>5518</v>
      </c>
      <c r="B77" s="291" t="str">
        <f>+'A) Base RI'!B79</f>
        <v>Echallens</v>
      </c>
      <c r="C77" s="302">
        <f>+'D) Ecrêtage'!C77</f>
        <v>185740.88420378894</v>
      </c>
      <c r="D77" s="439">
        <v>1932206</v>
      </c>
      <c r="E77" s="440">
        <v>423360</v>
      </c>
      <c r="F77" s="439">
        <v>502770</v>
      </c>
      <c r="G77" s="302">
        <f t="shared" si="9"/>
        <v>2858336</v>
      </c>
      <c r="H77" s="283">
        <f t="shared" si="10"/>
        <v>1485927.0736303115</v>
      </c>
      <c r="I77" s="10">
        <f t="shared" si="11"/>
        <v>1372408.9263696885</v>
      </c>
      <c r="J77" s="447">
        <f t="shared" si="12"/>
        <v>-988248.32919293584</v>
      </c>
      <c r="K77" s="10">
        <v>48309</v>
      </c>
      <c r="L77" s="397">
        <f t="shared" si="13"/>
        <v>185740.88420378894</v>
      </c>
      <c r="M77" s="14">
        <f t="shared" si="14"/>
        <v>0</v>
      </c>
      <c r="N77" s="2">
        <f t="shared" si="15"/>
        <v>0</v>
      </c>
      <c r="O77" s="130">
        <f t="shared" si="16"/>
        <v>-988248.32919293584</v>
      </c>
      <c r="P77" s="438">
        <f t="shared" si="17"/>
        <v>-5.3205751303986553</v>
      </c>
      <c r="Q77" s="126"/>
    </row>
    <row r="78" spans="1:17" x14ac:dyDescent="0.25">
      <c r="A78" s="49">
        <f>+'A) Base RI'!A80</f>
        <v>5520</v>
      </c>
      <c r="B78" s="291" t="str">
        <f>+'A) Base RI'!B80</f>
        <v>Essertines-sur-Yverdon</v>
      </c>
      <c r="C78" s="302">
        <f>+'D) Ecrêtage'!C78</f>
        <v>29832.653259959214</v>
      </c>
      <c r="D78" s="439">
        <v>124582</v>
      </c>
      <c r="E78" s="440">
        <v>64827</v>
      </c>
      <c r="F78" s="439">
        <v>89661</v>
      </c>
      <c r="G78" s="302">
        <f t="shared" si="9"/>
        <v>279070</v>
      </c>
      <c r="H78" s="283">
        <f t="shared" si="10"/>
        <v>238661.22607967371</v>
      </c>
      <c r="I78" s="10">
        <f t="shared" si="11"/>
        <v>40408.77392032629</v>
      </c>
      <c r="J78" s="447">
        <f t="shared" si="12"/>
        <v>-29097.670923149082</v>
      </c>
      <c r="K78" s="10">
        <v>92420</v>
      </c>
      <c r="L78" s="397">
        <f t="shared" si="13"/>
        <v>29832.653259959214</v>
      </c>
      <c r="M78" s="14">
        <f t="shared" si="14"/>
        <v>62587.346740040783</v>
      </c>
      <c r="N78" s="2">
        <f t="shared" si="15"/>
        <v>-45068.084049901532</v>
      </c>
      <c r="O78" s="130">
        <f t="shared" si="16"/>
        <v>-74165.754973050614</v>
      </c>
      <c r="P78" s="438">
        <f t="shared" si="17"/>
        <v>-2.4860596315981858</v>
      </c>
      <c r="Q78" s="126"/>
    </row>
    <row r="79" spans="1:17" x14ac:dyDescent="0.25">
      <c r="A79" s="49">
        <f>+'A) Base RI'!A81</f>
        <v>5521</v>
      </c>
      <c r="B79" s="291" t="str">
        <f>+'A) Base RI'!B81</f>
        <v>Etagnières</v>
      </c>
      <c r="C79" s="302">
        <f>+'D) Ecrêtage'!C79</f>
        <v>48092.453261297029</v>
      </c>
      <c r="D79" s="439">
        <v>215165</v>
      </c>
      <c r="E79" s="440">
        <v>82431</v>
      </c>
      <c r="F79" s="439">
        <v>97892</v>
      </c>
      <c r="G79" s="302">
        <f t="shared" si="9"/>
        <v>395488</v>
      </c>
      <c r="H79" s="283">
        <f t="shared" si="10"/>
        <v>384739.62609037623</v>
      </c>
      <c r="I79" s="10">
        <f t="shared" si="11"/>
        <v>10748.37390962377</v>
      </c>
      <c r="J79" s="447">
        <f t="shared" si="12"/>
        <v>-7739.7212693917936</v>
      </c>
      <c r="K79" s="10">
        <v>16902</v>
      </c>
      <c r="L79" s="397">
        <f t="shared" si="13"/>
        <v>48092.453261297029</v>
      </c>
      <c r="M79" s="14">
        <f t="shared" si="14"/>
        <v>0</v>
      </c>
      <c r="N79" s="2">
        <f t="shared" si="15"/>
        <v>0</v>
      </c>
      <c r="O79" s="130">
        <f t="shared" si="16"/>
        <v>-7739.7212693917936</v>
      </c>
      <c r="P79" s="438">
        <f t="shared" si="17"/>
        <v>-0.16093421617192538</v>
      </c>
      <c r="Q79" s="126"/>
    </row>
    <row r="80" spans="1:17" x14ac:dyDescent="0.25">
      <c r="A80" s="49">
        <f>+'A) Base RI'!A82</f>
        <v>5522</v>
      </c>
      <c r="B80" s="291" t="str">
        <f>+'A) Base RI'!B82</f>
        <v>Fey</v>
      </c>
      <c r="C80" s="302">
        <f>+'D) Ecrêtage'!C80</f>
        <v>22665.113066666665</v>
      </c>
      <c r="D80" s="439">
        <v>84671</v>
      </c>
      <c r="E80" s="440">
        <v>54118</v>
      </c>
      <c r="F80" s="439">
        <v>64270</v>
      </c>
      <c r="G80" s="302">
        <f t="shared" si="9"/>
        <v>203059</v>
      </c>
      <c r="H80" s="283">
        <f t="shared" si="10"/>
        <v>181320.90453333332</v>
      </c>
      <c r="I80" s="10">
        <f t="shared" si="11"/>
        <v>21738.09546666668</v>
      </c>
      <c r="J80" s="447">
        <f t="shared" si="12"/>
        <v>-15653.232875420004</v>
      </c>
      <c r="K80" s="10">
        <v>6005</v>
      </c>
      <c r="L80" s="397">
        <f t="shared" si="13"/>
        <v>22665.113066666665</v>
      </c>
      <c r="M80" s="14">
        <f t="shared" si="14"/>
        <v>0</v>
      </c>
      <c r="N80" s="2">
        <f t="shared" si="15"/>
        <v>0</v>
      </c>
      <c r="O80" s="130">
        <f t="shared" si="16"/>
        <v>-15653.232875420004</v>
      </c>
      <c r="P80" s="438">
        <f t="shared" si="17"/>
        <v>-0.69063113999819592</v>
      </c>
      <c r="Q80" s="126"/>
    </row>
    <row r="81" spans="1:17" x14ac:dyDescent="0.25">
      <c r="A81" s="49">
        <f>+'A) Base RI'!A83</f>
        <v>5523</v>
      </c>
      <c r="B81" s="291" t="str">
        <f>+'A) Base RI'!B83</f>
        <v>Froideville</v>
      </c>
      <c r="C81" s="302">
        <f>+'D) Ecrêtage'!C81</f>
        <v>89135.106646646644</v>
      </c>
      <c r="D81" s="439">
        <v>488764</v>
      </c>
      <c r="E81" s="440">
        <v>113958</v>
      </c>
      <c r="F81" s="439">
        <v>184680</v>
      </c>
      <c r="G81" s="302">
        <f t="shared" si="9"/>
        <v>787402</v>
      </c>
      <c r="H81" s="283">
        <f t="shared" si="10"/>
        <v>713080.85317317315</v>
      </c>
      <c r="I81" s="10">
        <f t="shared" si="11"/>
        <v>74321.146826826851</v>
      </c>
      <c r="J81" s="447">
        <f t="shared" si="12"/>
        <v>-53517.393951669575</v>
      </c>
      <c r="K81" s="10">
        <v>7540</v>
      </c>
      <c r="L81" s="397">
        <f t="shared" si="13"/>
        <v>89135.106646646644</v>
      </c>
      <c r="M81" s="14">
        <f t="shared" si="14"/>
        <v>0</v>
      </c>
      <c r="N81" s="2">
        <f t="shared" si="15"/>
        <v>0</v>
      </c>
      <c r="O81" s="130">
        <f t="shared" si="16"/>
        <v>-53517.393951669575</v>
      </c>
      <c r="P81" s="438">
        <f t="shared" si="17"/>
        <v>-0.6004075831066833</v>
      </c>
      <c r="Q81" s="126"/>
    </row>
    <row r="82" spans="1:17" x14ac:dyDescent="0.25">
      <c r="A82" s="49">
        <f>+'A) Base RI'!A84</f>
        <v>5527</v>
      </c>
      <c r="B82" s="291" t="str">
        <f>+'A) Base RI'!B84</f>
        <v>Morrens</v>
      </c>
      <c r="C82" s="302">
        <f>+'D) Ecrêtage'!C82</f>
        <v>40159.939986831349</v>
      </c>
      <c r="D82" s="439">
        <v>192539</v>
      </c>
      <c r="E82" s="440">
        <v>31763</v>
      </c>
      <c r="F82" s="439">
        <v>65495</v>
      </c>
      <c r="G82" s="302">
        <f t="shared" si="9"/>
        <v>289797</v>
      </c>
      <c r="H82" s="283">
        <f t="shared" si="10"/>
        <v>321279.51989465079</v>
      </c>
      <c r="I82" s="10">
        <f t="shared" si="11"/>
        <v>0</v>
      </c>
      <c r="J82" s="447">
        <f t="shared" si="12"/>
        <v>0</v>
      </c>
      <c r="K82" s="10">
        <v>23808</v>
      </c>
      <c r="L82" s="397">
        <f t="shared" si="13"/>
        <v>40159.939986831349</v>
      </c>
      <c r="M82" s="14">
        <f t="shared" si="14"/>
        <v>0</v>
      </c>
      <c r="N82" s="2">
        <f t="shared" si="15"/>
        <v>0</v>
      </c>
      <c r="O82" s="130">
        <f t="shared" si="16"/>
        <v>0</v>
      </c>
      <c r="P82" s="438">
        <f t="shared" si="17"/>
        <v>0</v>
      </c>
      <c r="Q82" s="126"/>
    </row>
    <row r="83" spans="1:17" x14ac:dyDescent="0.25">
      <c r="A83" s="49">
        <f>+'A) Base RI'!A85</f>
        <v>5529</v>
      </c>
      <c r="B83" s="291" t="str">
        <f>+'A) Base RI'!B85</f>
        <v>Oulens-sous-Echallens</v>
      </c>
      <c r="C83" s="302">
        <f>+'D) Ecrêtage'!C83</f>
        <v>21598.779787193034</v>
      </c>
      <c r="D83" s="439">
        <v>173819</v>
      </c>
      <c r="E83" s="440">
        <v>18020</v>
      </c>
      <c r="F83" s="439">
        <v>53499</v>
      </c>
      <c r="G83" s="302">
        <f t="shared" si="9"/>
        <v>245338</v>
      </c>
      <c r="H83" s="283">
        <f t="shared" si="10"/>
        <v>172790.23829754427</v>
      </c>
      <c r="I83" s="10">
        <f t="shared" si="11"/>
        <v>72547.761702455726</v>
      </c>
      <c r="J83" s="447">
        <f t="shared" si="12"/>
        <v>-52240.409481150848</v>
      </c>
      <c r="K83" s="10">
        <v>-9513</v>
      </c>
      <c r="L83" s="397">
        <f t="shared" si="13"/>
        <v>21598.779787193034</v>
      </c>
      <c r="M83" s="14">
        <f t="shared" si="14"/>
        <v>0</v>
      </c>
      <c r="N83" s="2">
        <f t="shared" si="15"/>
        <v>0</v>
      </c>
      <c r="O83" s="130">
        <f t="shared" si="16"/>
        <v>-52240.409481150848</v>
      </c>
      <c r="P83" s="438">
        <f t="shared" si="17"/>
        <v>-2.4186741101053646</v>
      </c>
      <c r="Q83" s="126"/>
    </row>
    <row r="84" spans="1:17" x14ac:dyDescent="0.25">
      <c r="A84" s="49">
        <f>+'A) Base RI'!A86</f>
        <v>5530</v>
      </c>
      <c r="B84" s="291" t="str">
        <f>+'A) Base RI'!B86</f>
        <v>Pailly</v>
      </c>
      <c r="C84" s="302">
        <f>+'D) Ecrêtage'!C84</f>
        <v>17606.249882733009</v>
      </c>
      <c r="D84" s="439">
        <v>550157</v>
      </c>
      <c r="E84" s="440">
        <v>16545</v>
      </c>
      <c r="F84" s="439">
        <v>47370</v>
      </c>
      <c r="G84" s="302">
        <f t="shared" si="9"/>
        <v>614072</v>
      </c>
      <c r="H84" s="283">
        <f t="shared" si="10"/>
        <v>140849.99906186407</v>
      </c>
      <c r="I84" s="10">
        <f t="shared" si="11"/>
        <v>473222.0009381359</v>
      </c>
      <c r="J84" s="447">
        <f t="shared" si="12"/>
        <v>-340759.11543472135</v>
      </c>
      <c r="K84" s="10">
        <v>42033</v>
      </c>
      <c r="L84" s="397">
        <f t="shared" si="13"/>
        <v>17606.249882733009</v>
      </c>
      <c r="M84" s="14">
        <f t="shared" si="14"/>
        <v>24426.750117266991</v>
      </c>
      <c r="N84" s="2">
        <f t="shared" si="15"/>
        <v>-17589.287367036475</v>
      </c>
      <c r="O84" s="130">
        <f t="shared" si="16"/>
        <v>-358348.40280175779</v>
      </c>
      <c r="P84" s="438">
        <f t="shared" si="17"/>
        <v>-20.353477043013065</v>
      </c>
      <c r="Q84" s="126"/>
    </row>
    <row r="85" spans="1:17" x14ac:dyDescent="0.25">
      <c r="A85" s="49">
        <f>+'A) Base RI'!A87</f>
        <v>5531</v>
      </c>
      <c r="B85" s="291" t="str">
        <f>+'A) Base RI'!B87</f>
        <v>Penthéréaz</v>
      </c>
      <c r="C85" s="302">
        <f>+'D) Ecrêtage'!C85</f>
        <v>14646.364779076894</v>
      </c>
      <c r="D85" s="439">
        <v>143008</v>
      </c>
      <c r="E85" s="440">
        <v>12416</v>
      </c>
      <c r="F85" s="439">
        <v>36863</v>
      </c>
      <c r="G85" s="302">
        <f t="shared" si="9"/>
        <v>192287</v>
      </c>
      <c r="H85" s="283">
        <f t="shared" si="10"/>
        <v>117170.91823261515</v>
      </c>
      <c r="I85" s="10">
        <f t="shared" si="11"/>
        <v>75116.081767384851</v>
      </c>
      <c r="J85" s="447">
        <f t="shared" si="12"/>
        <v>-54089.81308399159</v>
      </c>
      <c r="K85" s="10">
        <v>27375</v>
      </c>
      <c r="L85" s="397">
        <f t="shared" si="13"/>
        <v>14646.364779076894</v>
      </c>
      <c r="M85" s="14">
        <f t="shared" si="14"/>
        <v>12728.635220923106</v>
      </c>
      <c r="N85" s="2">
        <f t="shared" si="15"/>
        <v>-9165.6737640565098</v>
      </c>
      <c r="O85" s="130">
        <f t="shared" si="16"/>
        <v>-63255.486848048102</v>
      </c>
      <c r="P85" s="438">
        <f t="shared" si="17"/>
        <v>-4.3188523433754638</v>
      </c>
      <c r="Q85" s="126"/>
    </row>
    <row r="86" spans="1:17" x14ac:dyDescent="0.25">
      <c r="A86" s="49">
        <f>+'A) Base RI'!A88</f>
        <v>5533</v>
      </c>
      <c r="B86" s="291" t="str">
        <f>+'A) Base RI'!B88</f>
        <v>Poliez-Pittet</v>
      </c>
      <c r="C86" s="302">
        <f>+'D) Ecrêtage'!C86</f>
        <v>22519.70890410959</v>
      </c>
      <c r="D86" s="439">
        <v>126860</v>
      </c>
      <c r="E86" s="440">
        <v>24950</v>
      </c>
      <c r="F86" s="439">
        <v>74076</v>
      </c>
      <c r="G86" s="302">
        <f t="shared" si="9"/>
        <v>225886</v>
      </c>
      <c r="H86" s="283">
        <f t="shared" si="10"/>
        <v>180157.67123287672</v>
      </c>
      <c r="I86" s="10">
        <f t="shared" si="11"/>
        <v>45728.328767123283</v>
      </c>
      <c r="J86" s="447">
        <f t="shared" si="12"/>
        <v>-32928.191905917171</v>
      </c>
      <c r="K86" s="10">
        <v>83529</v>
      </c>
      <c r="L86" s="397">
        <f t="shared" si="13"/>
        <v>22519.70890410959</v>
      </c>
      <c r="M86" s="14">
        <f t="shared" si="14"/>
        <v>61009.29109589041</v>
      </c>
      <c r="N86" s="2">
        <f t="shared" si="15"/>
        <v>-43931.753016387833</v>
      </c>
      <c r="O86" s="130">
        <f t="shared" si="16"/>
        <v>-76859.944922305003</v>
      </c>
      <c r="P86" s="438">
        <f t="shared" si="17"/>
        <v>-3.413007923396334</v>
      </c>
      <c r="Q86" s="126"/>
    </row>
    <row r="87" spans="1:17" x14ac:dyDescent="0.25">
      <c r="A87" s="49">
        <f>+'A) Base RI'!A89</f>
        <v>5534</v>
      </c>
      <c r="B87" s="291" t="str">
        <f>+'A) Base RI'!B89</f>
        <v>Rueyres</v>
      </c>
      <c r="C87" s="302">
        <f>+'D) Ecrêtage'!C87</f>
        <v>10356.386166784428</v>
      </c>
      <c r="D87" s="439">
        <v>35696</v>
      </c>
      <c r="E87" s="440">
        <v>15041</v>
      </c>
      <c r="F87" s="439">
        <v>22328</v>
      </c>
      <c r="G87" s="302">
        <f t="shared" si="9"/>
        <v>73065</v>
      </c>
      <c r="H87" s="283">
        <f t="shared" si="10"/>
        <v>82851.089334275428</v>
      </c>
      <c r="I87" s="10">
        <f t="shared" si="11"/>
        <v>0</v>
      </c>
      <c r="J87" s="447">
        <f t="shared" si="12"/>
        <v>0</v>
      </c>
      <c r="K87" s="10">
        <v>13189</v>
      </c>
      <c r="L87" s="397">
        <f t="shared" si="13"/>
        <v>10356.386166784428</v>
      </c>
      <c r="M87" s="14">
        <f t="shared" si="14"/>
        <v>2832.6138332155715</v>
      </c>
      <c r="N87" s="2">
        <f t="shared" si="15"/>
        <v>-2039.7170509003422</v>
      </c>
      <c r="O87" s="130">
        <f t="shared" si="16"/>
        <v>-2039.7170509003422</v>
      </c>
      <c r="P87" s="438">
        <f t="shared" si="17"/>
        <v>-0.19695258732647833</v>
      </c>
      <c r="Q87" s="126"/>
    </row>
    <row r="88" spans="1:17" x14ac:dyDescent="0.25">
      <c r="A88" s="49">
        <f>+'A) Base RI'!A90</f>
        <v>5535</v>
      </c>
      <c r="B88" s="291" t="str">
        <f>+'A) Base RI'!B90</f>
        <v>Saint-Barthélemy</v>
      </c>
      <c r="C88" s="302">
        <f>+'D) Ecrêtage'!C88</f>
        <v>22444.916025525185</v>
      </c>
      <c r="D88" s="439">
        <v>113723</v>
      </c>
      <c r="E88" s="440">
        <v>22944</v>
      </c>
      <c r="F88" s="439">
        <v>68121</v>
      </c>
      <c r="G88" s="302">
        <f t="shared" si="9"/>
        <v>204788</v>
      </c>
      <c r="H88" s="283">
        <f t="shared" si="10"/>
        <v>179559.32820420148</v>
      </c>
      <c r="I88" s="10">
        <f t="shared" si="11"/>
        <v>25228.671795798524</v>
      </c>
      <c r="J88" s="447">
        <f t="shared" si="12"/>
        <v>-18166.737530559316</v>
      </c>
      <c r="K88" s="10">
        <v>-2135</v>
      </c>
      <c r="L88" s="397">
        <f t="shared" si="13"/>
        <v>22444.916025525185</v>
      </c>
      <c r="M88" s="14">
        <f t="shared" si="14"/>
        <v>0</v>
      </c>
      <c r="N88" s="2">
        <f t="shared" si="15"/>
        <v>0</v>
      </c>
      <c r="O88" s="130">
        <f t="shared" si="16"/>
        <v>-18166.737530559316</v>
      </c>
      <c r="P88" s="438">
        <f t="shared" si="17"/>
        <v>-0.80939209172800797</v>
      </c>
      <c r="Q88" s="126"/>
    </row>
    <row r="89" spans="1:17" x14ac:dyDescent="0.25">
      <c r="A89" s="49">
        <f>+'A) Base RI'!A91</f>
        <v>5537</v>
      </c>
      <c r="B89" s="291" t="str">
        <f>+'A) Base RI'!B91</f>
        <v>Villars-le-Terroir</v>
      </c>
      <c r="C89" s="302">
        <f>+'D) Ecrêtage'!C89</f>
        <v>36279.342540673366</v>
      </c>
      <c r="D89" s="439">
        <v>174069</v>
      </c>
      <c r="E89" s="440">
        <v>53661</v>
      </c>
      <c r="F89" s="439">
        <v>106210</v>
      </c>
      <c r="G89" s="302">
        <f t="shared" si="9"/>
        <v>333940</v>
      </c>
      <c r="H89" s="283">
        <f t="shared" si="10"/>
        <v>290234.74032538693</v>
      </c>
      <c r="I89" s="10">
        <f t="shared" si="11"/>
        <v>43705.259674613073</v>
      </c>
      <c r="J89" s="447">
        <f t="shared" si="12"/>
        <v>-31471.414255976022</v>
      </c>
      <c r="K89" s="10">
        <v>-11068</v>
      </c>
      <c r="L89" s="397">
        <f t="shared" si="13"/>
        <v>36279.342540673366</v>
      </c>
      <c r="M89" s="14">
        <f t="shared" si="14"/>
        <v>0</v>
      </c>
      <c r="N89" s="2">
        <f t="shared" si="15"/>
        <v>0</v>
      </c>
      <c r="O89" s="130">
        <f t="shared" si="16"/>
        <v>-31471.414255976022</v>
      </c>
      <c r="P89" s="438">
        <f t="shared" si="17"/>
        <v>-0.86747476806375157</v>
      </c>
      <c r="Q89" s="126"/>
    </row>
    <row r="90" spans="1:17" x14ac:dyDescent="0.25">
      <c r="A90" s="49">
        <f>+'A) Base RI'!A92</f>
        <v>5539</v>
      </c>
      <c r="B90" s="291" t="str">
        <f>+'A) Base RI'!B92</f>
        <v>Vuarrens</v>
      </c>
      <c r="C90" s="302">
        <f>+'D) Ecrêtage'!C90</f>
        <v>30001.761907299908</v>
      </c>
      <c r="D90" s="439">
        <v>75694</v>
      </c>
      <c r="E90" s="440">
        <v>44283</v>
      </c>
      <c r="F90" s="439">
        <v>87648</v>
      </c>
      <c r="G90" s="302">
        <f t="shared" si="9"/>
        <v>207625</v>
      </c>
      <c r="H90" s="283">
        <f t="shared" si="10"/>
        <v>240014.09525839926</v>
      </c>
      <c r="I90" s="10">
        <f t="shared" si="11"/>
        <v>0</v>
      </c>
      <c r="J90" s="447">
        <f t="shared" si="12"/>
        <v>0</v>
      </c>
      <c r="K90" s="10">
        <v>60174</v>
      </c>
      <c r="L90" s="397">
        <f t="shared" si="13"/>
        <v>30001.761907299908</v>
      </c>
      <c r="M90" s="14">
        <f t="shared" si="14"/>
        <v>30172.238092700092</v>
      </c>
      <c r="N90" s="2">
        <f t="shared" si="15"/>
        <v>-21726.515552471912</v>
      </c>
      <c r="O90" s="130">
        <f t="shared" si="16"/>
        <v>-21726.515552471912</v>
      </c>
      <c r="P90" s="438">
        <f t="shared" si="17"/>
        <v>-0.72417465412874649</v>
      </c>
      <c r="Q90" s="126"/>
    </row>
    <row r="91" spans="1:17" x14ac:dyDescent="0.25">
      <c r="A91" s="49">
        <f>+'A) Base RI'!A93</f>
        <v>5540</v>
      </c>
      <c r="B91" s="291" t="str">
        <f>+'A) Base RI'!B93</f>
        <v>Montilliez</v>
      </c>
      <c r="C91" s="302">
        <f>+'D) Ecrêtage'!C91</f>
        <v>64637.646238645939</v>
      </c>
      <c r="D91" s="439">
        <v>589051</v>
      </c>
      <c r="E91" s="440">
        <v>131314</v>
      </c>
      <c r="F91" s="439">
        <v>155944</v>
      </c>
      <c r="G91" s="302">
        <f t="shared" si="9"/>
        <v>876309</v>
      </c>
      <c r="H91" s="283">
        <f t="shared" si="10"/>
        <v>517101.16990916751</v>
      </c>
      <c r="I91" s="10">
        <f t="shared" si="11"/>
        <v>359207.83009083249</v>
      </c>
      <c r="J91" s="447">
        <f t="shared" si="12"/>
        <v>-258659.44989100265</v>
      </c>
      <c r="K91" s="10">
        <v>100342</v>
      </c>
      <c r="L91" s="397">
        <f t="shared" si="13"/>
        <v>64637.646238645939</v>
      </c>
      <c r="M91" s="14">
        <f t="shared" si="14"/>
        <v>35704.353761354061</v>
      </c>
      <c r="N91" s="2">
        <f t="shared" si="15"/>
        <v>-25710.097968327362</v>
      </c>
      <c r="O91" s="130">
        <f t="shared" si="16"/>
        <v>-284369.54785933002</v>
      </c>
      <c r="P91" s="438">
        <f t="shared" si="17"/>
        <v>-4.3994415701558989</v>
      </c>
      <c r="Q91" s="126"/>
    </row>
    <row r="92" spans="1:17" x14ac:dyDescent="0.25">
      <c r="A92" s="49">
        <f>+'A) Base RI'!A94</f>
        <v>5541</v>
      </c>
      <c r="B92" s="291" t="str">
        <f>+'A) Base RI'!B94</f>
        <v>Goumoëns</v>
      </c>
      <c r="C92" s="302">
        <f>+'D) Ecrêtage'!C92</f>
        <v>37288.389369533332</v>
      </c>
      <c r="D92" s="439">
        <v>171338</v>
      </c>
      <c r="E92" s="440">
        <v>33002</v>
      </c>
      <c r="F92" s="439">
        <v>97980</v>
      </c>
      <c r="G92" s="302">
        <f t="shared" si="9"/>
        <v>302320</v>
      </c>
      <c r="H92" s="283">
        <f t="shared" si="10"/>
        <v>298307.11495626665</v>
      </c>
      <c r="I92" s="10">
        <f t="shared" si="11"/>
        <v>4012.8850437333458</v>
      </c>
      <c r="J92" s="447">
        <f t="shared" si="12"/>
        <v>-2889.6102783322649</v>
      </c>
      <c r="K92" s="10">
        <v>-16881</v>
      </c>
      <c r="L92" s="397">
        <f t="shared" si="13"/>
        <v>37288.389369533332</v>
      </c>
      <c r="M92" s="14">
        <f t="shared" si="14"/>
        <v>0</v>
      </c>
      <c r="N92" s="2">
        <f t="shared" si="15"/>
        <v>0</v>
      </c>
      <c r="O92" s="130">
        <f t="shared" si="16"/>
        <v>-2889.6102783322649</v>
      </c>
      <c r="P92" s="438">
        <f t="shared" si="17"/>
        <v>-7.7493566420791443E-2</v>
      </c>
      <c r="Q92" s="126"/>
    </row>
    <row r="93" spans="1:17" x14ac:dyDescent="0.25">
      <c r="A93" s="49">
        <f>+'A) Base RI'!A95</f>
        <v>5551</v>
      </c>
      <c r="B93" s="291" t="str">
        <f>+'A) Base RI'!B95</f>
        <v>Bonvillars</v>
      </c>
      <c r="C93" s="302">
        <f>+'D) Ecrêtage'!C93</f>
        <v>18267.607293736826</v>
      </c>
      <c r="D93" s="439">
        <v>127482</v>
      </c>
      <c r="E93" s="440">
        <v>31970</v>
      </c>
      <c r="F93" s="439">
        <v>64848</v>
      </c>
      <c r="G93" s="302">
        <f t="shared" si="9"/>
        <v>224300</v>
      </c>
      <c r="H93" s="283">
        <f t="shared" si="10"/>
        <v>146140.85834989461</v>
      </c>
      <c r="I93" s="10">
        <f t="shared" si="11"/>
        <v>78159.14165010539</v>
      </c>
      <c r="J93" s="447">
        <f t="shared" si="12"/>
        <v>-56281.068756371664</v>
      </c>
      <c r="K93" s="10">
        <v>65079</v>
      </c>
      <c r="L93" s="397">
        <f t="shared" si="13"/>
        <v>18267.607293736826</v>
      </c>
      <c r="M93" s="14">
        <f t="shared" si="14"/>
        <v>46811.39270626317</v>
      </c>
      <c r="N93" s="2">
        <f t="shared" si="15"/>
        <v>-33708.087830301294</v>
      </c>
      <c r="O93" s="130">
        <f t="shared" si="16"/>
        <v>-89989.156586672965</v>
      </c>
      <c r="P93" s="438">
        <f t="shared" si="17"/>
        <v>-4.926160013168575</v>
      </c>
      <c r="Q93" s="126"/>
    </row>
    <row r="94" spans="1:17" x14ac:dyDescent="0.25">
      <c r="A94" s="49">
        <f>+'A) Base RI'!A96</f>
        <v>5552</v>
      </c>
      <c r="B94" s="291" t="str">
        <f>+'A) Base RI'!B96</f>
        <v>Bullet</v>
      </c>
      <c r="C94" s="302">
        <f>+'D) Ecrêtage'!C94</f>
        <v>18370.265732879256</v>
      </c>
      <c r="D94" s="439">
        <v>326568</v>
      </c>
      <c r="E94" s="440">
        <v>41466</v>
      </c>
      <c r="F94" s="439">
        <v>47149</v>
      </c>
      <c r="G94" s="302">
        <f t="shared" si="9"/>
        <v>415183</v>
      </c>
      <c r="H94" s="283">
        <f t="shared" si="10"/>
        <v>146962.12586303405</v>
      </c>
      <c r="I94" s="10">
        <f t="shared" si="11"/>
        <v>268220.87413696595</v>
      </c>
      <c r="J94" s="447">
        <f t="shared" si="12"/>
        <v>-193141.29019962612</v>
      </c>
      <c r="K94" s="10">
        <v>34293</v>
      </c>
      <c r="L94" s="397">
        <f t="shared" si="13"/>
        <v>18370.265732879256</v>
      </c>
      <c r="M94" s="14">
        <f t="shared" si="14"/>
        <v>15922.734267120744</v>
      </c>
      <c r="N94" s="2">
        <f t="shared" si="15"/>
        <v>-11465.690169539488</v>
      </c>
      <c r="O94" s="130">
        <f t="shared" si="16"/>
        <v>-204606.9803691656</v>
      </c>
      <c r="P94" s="438">
        <f t="shared" si="17"/>
        <v>-11.137943421414874</v>
      </c>
      <c r="Q94" s="126"/>
    </row>
    <row r="95" spans="1:17" x14ac:dyDescent="0.25">
      <c r="A95" s="49">
        <f>+'A) Base RI'!A97</f>
        <v>5553</v>
      </c>
      <c r="B95" s="291" t="str">
        <f>+'A) Base RI'!B97</f>
        <v>Champagne</v>
      </c>
      <c r="C95" s="302">
        <f>+'D) Ecrêtage'!C95</f>
        <v>37727.892502871691</v>
      </c>
      <c r="D95" s="439">
        <v>338471</v>
      </c>
      <c r="E95" s="440">
        <v>65460</v>
      </c>
      <c r="F95" s="439">
        <v>138382</v>
      </c>
      <c r="G95" s="302">
        <f t="shared" si="9"/>
        <v>542313</v>
      </c>
      <c r="H95" s="283">
        <f t="shared" si="10"/>
        <v>301823.14002297353</v>
      </c>
      <c r="I95" s="10">
        <f t="shared" si="11"/>
        <v>240489.85997702647</v>
      </c>
      <c r="J95" s="447">
        <f t="shared" si="12"/>
        <v>-173172.6584865709</v>
      </c>
      <c r="K95" s="10">
        <v>37158</v>
      </c>
      <c r="L95" s="397">
        <f t="shared" si="13"/>
        <v>37727.892502871691</v>
      </c>
      <c r="M95" s="14">
        <f t="shared" si="14"/>
        <v>0</v>
      </c>
      <c r="N95" s="2">
        <f t="shared" si="15"/>
        <v>0</v>
      </c>
      <c r="O95" s="130">
        <f t="shared" si="16"/>
        <v>-173172.6584865709</v>
      </c>
      <c r="P95" s="438">
        <f t="shared" si="17"/>
        <v>-4.590043254427469</v>
      </c>
      <c r="Q95" s="126"/>
    </row>
    <row r="96" spans="1:17" x14ac:dyDescent="0.25">
      <c r="A96" s="49">
        <f>+'A) Base RI'!A98</f>
        <v>5554</v>
      </c>
      <c r="B96" s="291" t="str">
        <f>+'A) Base RI'!B98</f>
        <v>Concise</v>
      </c>
      <c r="C96" s="302">
        <f>+'D) Ecrêtage'!C96</f>
        <v>33273.512128706279</v>
      </c>
      <c r="D96" s="439">
        <v>261121</v>
      </c>
      <c r="E96" s="440">
        <v>83988</v>
      </c>
      <c r="F96" s="439">
        <v>125453</v>
      </c>
      <c r="G96" s="302">
        <f t="shared" si="9"/>
        <v>470562</v>
      </c>
      <c r="H96" s="283">
        <f t="shared" si="10"/>
        <v>266188.09702965023</v>
      </c>
      <c r="I96" s="10">
        <f t="shared" si="11"/>
        <v>204373.90297034977</v>
      </c>
      <c r="J96" s="447">
        <f t="shared" si="12"/>
        <v>-147166.17202086144</v>
      </c>
      <c r="K96" s="10">
        <v>15223</v>
      </c>
      <c r="L96" s="397">
        <f t="shared" si="13"/>
        <v>33273.512128706279</v>
      </c>
      <c r="M96" s="14">
        <f t="shared" si="14"/>
        <v>0</v>
      </c>
      <c r="N96" s="2">
        <f t="shared" si="15"/>
        <v>0</v>
      </c>
      <c r="O96" s="130">
        <f t="shared" si="16"/>
        <v>-147166.17202086144</v>
      </c>
      <c r="P96" s="438">
        <f t="shared" si="17"/>
        <v>-4.4229226975380156</v>
      </c>
      <c r="Q96" s="126"/>
    </row>
    <row r="97" spans="1:17" x14ac:dyDescent="0.25">
      <c r="A97" s="49">
        <f>+'A) Base RI'!A99</f>
        <v>5555</v>
      </c>
      <c r="B97" s="291" t="str">
        <f>+'A) Base RI'!B99</f>
        <v>Corcelles-près-Concise</v>
      </c>
      <c r="C97" s="302">
        <f>+'D) Ecrêtage'!C97</f>
        <v>13532.861505055624</v>
      </c>
      <c r="D97" s="439">
        <v>179843</v>
      </c>
      <c r="E97" s="440">
        <v>25386</v>
      </c>
      <c r="F97" s="439">
        <v>53021</v>
      </c>
      <c r="G97" s="302">
        <f t="shared" si="9"/>
        <v>258250</v>
      </c>
      <c r="H97" s="283">
        <f t="shared" si="10"/>
        <v>108262.89204044499</v>
      </c>
      <c r="I97" s="10">
        <f t="shared" si="11"/>
        <v>149987.107959555</v>
      </c>
      <c r="J97" s="447">
        <f t="shared" si="12"/>
        <v>-108003.16581559685</v>
      </c>
      <c r="K97" s="10">
        <v>-5218</v>
      </c>
      <c r="L97" s="397">
        <f t="shared" si="13"/>
        <v>13532.861505055624</v>
      </c>
      <c r="M97" s="14">
        <f t="shared" si="14"/>
        <v>0</v>
      </c>
      <c r="N97" s="2">
        <f t="shared" si="15"/>
        <v>0</v>
      </c>
      <c r="O97" s="130">
        <f t="shared" si="16"/>
        <v>-108003.16581559685</v>
      </c>
      <c r="P97" s="438">
        <f t="shared" si="17"/>
        <v>-7.9808077379088589</v>
      </c>
      <c r="Q97" s="126"/>
    </row>
    <row r="98" spans="1:17" x14ac:dyDescent="0.25">
      <c r="A98" s="49">
        <f>+'A) Base RI'!A100</f>
        <v>5556</v>
      </c>
      <c r="B98" s="291" t="str">
        <f>+'A) Base RI'!B100</f>
        <v>Fiez</v>
      </c>
      <c r="C98" s="302">
        <f>+'D) Ecrêtage'!C98</f>
        <v>13065.326581020432</v>
      </c>
      <c r="D98" s="439">
        <v>185879</v>
      </c>
      <c r="E98" s="440">
        <v>18865</v>
      </c>
      <c r="F98" s="439">
        <v>66913</v>
      </c>
      <c r="G98" s="302">
        <f t="shared" si="9"/>
        <v>271657</v>
      </c>
      <c r="H98" s="283">
        <f t="shared" si="10"/>
        <v>104522.61264816346</v>
      </c>
      <c r="I98" s="10">
        <f t="shared" si="11"/>
        <v>167134.38735183654</v>
      </c>
      <c r="J98" s="447">
        <f t="shared" si="12"/>
        <v>-120350.63010559665</v>
      </c>
      <c r="K98" s="10">
        <v>25769</v>
      </c>
      <c r="L98" s="397">
        <f t="shared" si="13"/>
        <v>13065.326581020432</v>
      </c>
      <c r="M98" s="14">
        <f t="shared" si="14"/>
        <v>12703.673418979568</v>
      </c>
      <c r="N98" s="2">
        <f t="shared" si="15"/>
        <v>-9147.6991949682706</v>
      </c>
      <c r="O98" s="130">
        <f t="shared" si="16"/>
        <v>-129498.32930056492</v>
      </c>
      <c r="P98" s="438">
        <f t="shared" si="17"/>
        <v>-9.9116029360247957</v>
      </c>
      <c r="Q98" s="126"/>
    </row>
    <row r="99" spans="1:17" x14ac:dyDescent="0.25">
      <c r="A99" s="49">
        <f>+'A) Base RI'!A101</f>
        <v>5557</v>
      </c>
      <c r="B99" s="291" t="str">
        <f>+'A) Base RI'!B101</f>
        <v>Fontaines-sur-Grandson</v>
      </c>
      <c r="C99" s="302">
        <f>+'D) Ecrêtage'!C99</f>
        <v>6528.2227757093106</v>
      </c>
      <c r="D99" s="439">
        <v>27717</v>
      </c>
      <c r="E99" s="440">
        <v>9270</v>
      </c>
      <c r="F99" s="439">
        <v>30942</v>
      </c>
      <c r="G99" s="302">
        <f t="shared" si="9"/>
        <v>67929</v>
      </c>
      <c r="H99" s="283">
        <f t="shared" si="10"/>
        <v>52225.782205674484</v>
      </c>
      <c r="I99" s="10">
        <f t="shared" si="11"/>
        <v>15703.217794325516</v>
      </c>
      <c r="J99" s="447">
        <f t="shared" si="12"/>
        <v>-11307.620090496754</v>
      </c>
      <c r="K99" s="10">
        <v>39145</v>
      </c>
      <c r="L99" s="397">
        <f t="shared" si="13"/>
        <v>6528.2227757093106</v>
      </c>
      <c r="M99" s="14">
        <f t="shared" si="14"/>
        <v>32616.77722429069</v>
      </c>
      <c r="N99" s="2">
        <f t="shared" si="15"/>
        <v>-23486.78661018901</v>
      </c>
      <c r="O99" s="130">
        <f t="shared" si="16"/>
        <v>-34794.406700685766</v>
      </c>
      <c r="P99" s="438">
        <f t="shared" si="17"/>
        <v>-5.3298436490481516</v>
      </c>
      <c r="Q99" s="126"/>
    </row>
    <row r="100" spans="1:17" x14ac:dyDescent="0.25">
      <c r="A100" s="49">
        <f>+'A) Base RI'!A102</f>
        <v>5559</v>
      </c>
      <c r="B100" s="291" t="str">
        <f>+'A) Base RI'!B102</f>
        <v>Giez</v>
      </c>
      <c r="C100" s="302">
        <f>+'D) Ecrêtage'!C100</f>
        <v>20929.407833065721</v>
      </c>
      <c r="D100" s="439">
        <v>89457</v>
      </c>
      <c r="E100" s="440">
        <v>17388</v>
      </c>
      <c r="F100" s="439">
        <v>50491</v>
      </c>
      <c r="G100" s="302">
        <f t="shared" si="9"/>
        <v>157336</v>
      </c>
      <c r="H100" s="283">
        <f t="shared" si="10"/>
        <v>167435.26266452577</v>
      </c>
      <c r="I100" s="10">
        <f t="shared" si="11"/>
        <v>0</v>
      </c>
      <c r="J100" s="447">
        <f t="shared" si="12"/>
        <v>0</v>
      </c>
      <c r="K100" s="10">
        <v>7083</v>
      </c>
      <c r="L100" s="397">
        <f t="shared" si="13"/>
        <v>20929.407833065721</v>
      </c>
      <c r="M100" s="14">
        <f t="shared" si="14"/>
        <v>0</v>
      </c>
      <c r="N100" s="2">
        <f t="shared" si="15"/>
        <v>0</v>
      </c>
      <c r="O100" s="130">
        <f t="shared" si="16"/>
        <v>0</v>
      </c>
      <c r="P100" s="438">
        <f t="shared" si="17"/>
        <v>0</v>
      </c>
      <c r="Q100" s="126"/>
    </row>
    <row r="101" spans="1:17" x14ac:dyDescent="0.25">
      <c r="A101" s="49">
        <f>+'A) Base RI'!A103</f>
        <v>5560</v>
      </c>
      <c r="B101" s="291" t="str">
        <f>+'A) Base RI'!B103</f>
        <v>Grandevent</v>
      </c>
      <c r="C101" s="302">
        <f>+'D) Ecrêtage'!C101</f>
        <v>7416.8272615804444</v>
      </c>
      <c r="D101" s="439">
        <v>22842</v>
      </c>
      <c r="E101" s="440">
        <v>10044</v>
      </c>
      <c r="F101" s="439">
        <v>32268</v>
      </c>
      <c r="G101" s="302">
        <f t="shared" si="9"/>
        <v>65154</v>
      </c>
      <c r="H101" s="283">
        <f t="shared" si="10"/>
        <v>59334.618092643555</v>
      </c>
      <c r="I101" s="10">
        <f t="shared" si="11"/>
        <v>5819.3819073564446</v>
      </c>
      <c r="J101" s="447">
        <f t="shared" si="12"/>
        <v>-4190.4379492001717</v>
      </c>
      <c r="K101" s="10">
        <v>15249</v>
      </c>
      <c r="L101" s="397">
        <f t="shared" si="13"/>
        <v>7416.8272615804444</v>
      </c>
      <c r="M101" s="14">
        <f t="shared" si="14"/>
        <v>7832.1727384195556</v>
      </c>
      <c r="N101" s="2">
        <f t="shared" si="15"/>
        <v>-5639.8143978616272</v>
      </c>
      <c r="O101" s="130">
        <f t="shared" si="16"/>
        <v>-9830.2523470617998</v>
      </c>
      <c r="P101" s="438">
        <f t="shared" si="17"/>
        <v>-1.3253985835672653</v>
      </c>
      <c r="Q101" s="126"/>
    </row>
    <row r="102" spans="1:17" x14ac:dyDescent="0.25">
      <c r="A102" s="49">
        <f>+'A) Base RI'!A104</f>
        <v>5561</v>
      </c>
      <c r="B102" s="291" t="str">
        <f>+'A) Base RI'!B104</f>
        <v>Grandson</v>
      </c>
      <c r="C102" s="302">
        <f>+'D) Ecrêtage'!C102</f>
        <v>113273.1793379919</v>
      </c>
      <c r="D102" s="439">
        <v>1569700</v>
      </c>
      <c r="E102" s="440">
        <v>354522</v>
      </c>
      <c r="F102" s="439">
        <v>413448</v>
      </c>
      <c r="G102" s="302">
        <f t="shared" si="9"/>
        <v>2337670</v>
      </c>
      <c r="H102" s="283">
        <f t="shared" si="10"/>
        <v>906185.43470393517</v>
      </c>
      <c r="I102" s="10">
        <f t="shared" si="11"/>
        <v>1431484.5652960648</v>
      </c>
      <c r="J102" s="447">
        <f t="shared" si="12"/>
        <v>-1030787.6921650404</v>
      </c>
      <c r="K102" s="10">
        <v>46423</v>
      </c>
      <c r="L102" s="397">
        <f t="shared" si="13"/>
        <v>113273.1793379919</v>
      </c>
      <c r="M102" s="14">
        <f t="shared" si="14"/>
        <v>0</v>
      </c>
      <c r="N102" s="2">
        <f t="shared" si="15"/>
        <v>0</v>
      </c>
      <c r="O102" s="130">
        <f t="shared" si="16"/>
        <v>-1030787.6921650404</v>
      </c>
      <c r="P102" s="438">
        <f t="shared" si="17"/>
        <v>-9.100015539330002</v>
      </c>
      <c r="Q102" s="126"/>
    </row>
    <row r="103" spans="1:17" x14ac:dyDescent="0.25">
      <c r="A103" s="49">
        <f>+'A) Base RI'!A105</f>
        <v>5562</v>
      </c>
      <c r="B103" s="291" t="str">
        <f>+'A) Base RI'!B105</f>
        <v>Mauborget</v>
      </c>
      <c r="C103" s="302">
        <f>+'D) Ecrêtage'!C103</f>
        <v>5481.8555000000006</v>
      </c>
      <c r="D103" s="439">
        <v>31877</v>
      </c>
      <c r="E103" s="440">
        <v>5149</v>
      </c>
      <c r="F103" s="439">
        <v>8024</v>
      </c>
      <c r="G103" s="302">
        <f t="shared" si="9"/>
        <v>45050</v>
      </c>
      <c r="H103" s="283">
        <f t="shared" si="10"/>
        <v>43854.844000000005</v>
      </c>
      <c r="I103" s="10">
        <f t="shared" si="11"/>
        <v>1195.1559999999954</v>
      </c>
      <c r="J103" s="447">
        <f t="shared" si="12"/>
        <v>-860.61151121276635</v>
      </c>
      <c r="K103" s="10">
        <v>3751</v>
      </c>
      <c r="L103" s="397">
        <f t="shared" si="13"/>
        <v>5481.8555000000006</v>
      </c>
      <c r="M103" s="14">
        <f t="shared" si="14"/>
        <v>0</v>
      </c>
      <c r="N103" s="2">
        <f t="shared" si="15"/>
        <v>0</v>
      </c>
      <c r="O103" s="130">
        <f t="shared" si="16"/>
        <v>-860.61151121276635</v>
      </c>
      <c r="P103" s="438">
        <f t="shared" si="17"/>
        <v>-0.15699273926734594</v>
      </c>
      <c r="Q103" s="126"/>
    </row>
    <row r="104" spans="1:17" x14ac:dyDescent="0.25">
      <c r="A104" s="49">
        <f>+'A) Base RI'!A106</f>
        <v>5563</v>
      </c>
      <c r="B104" s="291" t="str">
        <f>+'A) Base RI'!B106</f>
        <v>Mutrux</v>
      </c>
      <c r="C104" s="302">
        <f>+'D) Ecrêtage'!C104</f>
        <v>4024.138375587273</v>
      </c>
      <c r="D104" s="439">
        <v>38383</v>
      </c>
      <c r="E104" s="440">
        <v>6668</v>
      </c>
      <c r="F104" s="439">
        <v>20957</v>
      </c>
      <c r="G104" s="302">
        <f t="shared" si="9"/>
        <v>66008</v>
      </c>
      <c r="H104" s="283">
        <f t="shared" si="10"/>
        <v>32193.107004698184</v>
      </c>
      <c r="I104" s="10">
        <f t="shared" si="11"/>
        <v>33814.892995301816</v>
      </c>
      <c r="J104" s="447">
        <f t="shared" si="12"/>
        <v>-24349.529402174107</v>
      </c>
      <c r="K104" s="10">
        <v>9675</v>
      </c>
      <c r="L104" s="397">
        <f t="shared" si="13"/>
        <v>4024.138375587273</v>
      </c>
      <c r="M104" s="14">
        <f t="shared" si="14"/>
        <v>5650.861624412727</v>
      </c>
      <c r="N104" s="2">
        <f t="shared" si="15"/>
        <v>-4069.0893592468965</v>
      </c>
      <c r="O104" s="130">
        <f t="shared" si="16"/>
        <v>-28418.618761421003</v>
      </c>
      <c r="P104" s="438">
        <f t="shared" si="17"/>
        <v>-7.062038157987959</v>
      </c>
      <c r="Q104" s="126"/>
    </row>
    <row r="105" spans="1:17" x14ac:dyDescent="0.25">
      <c r="A105" s="49">
        <f>+'A) Base RI'!A107</f>
        <v>5564</v>
      </c>
      <c r="B105" s="291" t="str">
        <f>+'A) Base RI'!B107</f>
        <v>Novalles</v>
      </c>
      <c r="C105" s="302">
        <f>+'D) Ecrêtage'!C105</f>
        <v>2262.9000968180799</v>
      </c>
      <c r="D105" s="439">
        <v>6669</v>
      </c>
      <c r="E105" s="440">
        <v>4262</v>
      </c>
      <c r="F105" s="439">
        <v>14013</v>
      </c>
      <c r="G105" s="302">
        <f t="shared" si="9"/>
        <v>24944</v>
      </c>
      <c r="H105" s="283">
        <f t="shared" si="10"/>
        <v>18103.200774544639</v>
      </c>
      <c r="I105" s="10">
        <f t="shared" si="11"/>
        <v>6840.799225455361</v>
      </c>
      <c r="J105" s="447">
        <f t="shared" si="12"/>
        <v>-4925.9431901126572</v>
      </c>
      <c r="K105" s="10">
        <v>9143</v>
      </c>
      <c r="L105" s="397">
        <f t="shared" si="13"/>
        <v>2262.9000968180799</v>
      </c>
      <c r="M105" s="14">
        <f t="shared" si="14"/>
        <v>6880.0999031819201</v>
      </c>
      <c r="N105" s="2">
        <f t="shared" si="15"/>
        <v>-4954.2429398105542</v>
      </c>
      <c r="O105" s="130">
        <f t="shared" si="16"/>
        <v>-9880.1861299232114</v>
      </c>
      <c r="P105" s="438">
        <f t="shared" si="17"/>
        <v>-4.3661609912943069</v>
      </c>
      <c r="Q105" s="126"/>
    </row>
    <row r="106" spans="1:17" x14ac:dyDescent="0.25">
      <c r="A106" s="49">
        <f>+'A) Base RI'!A108</f>
        <v>5565</v>
      </c>
      <c r="B106" s="291" t="str">
        <f>+'A) Base RI'!B108</f>
        <v>Onnens</v>
      </c>
      <c r="C106" s="302">
        <f>+'D) Ecrêtage'!C106</f>
        <v>18662.496602351366</v>
      </c>
      <c r="D106" s="439">
        <v>135783</v>
      </c>
      <c r="E106" s="440">
        <v>31274</v>
      </c>
      <c r="F106" s="439">
        <v>61327</v>
      </c>
      <c r="G106" s="302">
        <f t="shared" si="9"/>
        <v>228384</v>
      </c>
      <c r="H106" s="283">
        <f t="shared" si="10"/>
        <v>149299.97281881093</v>
      </c>
      <c r="I106" s="10">
        <f t="shared" si="11"/>
        <v>79084.027181189071</v>
      </c>
      <c r="J106" s="447">
        <f t="shared" si="12"/>
        <v>-56947.063099038853</v>
      </c>
      <c r="K106" s="10">
        <v>23711</v>
      </c>
      <c r="L106" s="397">
        <f t="shared" si="13"/>
        <v>18662.496602351366</v>
      </c>
      <c r="M106" s="14">
        <f t="shared" si="14"/>
        <v>5048.5033976486338</v>
      </c>
      <c r="N106" s="2">
        <f t="shared" si="15"/>
        <v>-3635.3414436384815</v>
      </c>
      <c r="O106" s="130">
        <f t="shared" si="16"/>
        <v>-60582.404542677337</v>
      </c>
      <c r="P106" s="438">
        <f t="shared" si="17"/>
        <v>-3.2462111492116392</v>
      </c>
      <c r="Q106" s="126"/>
    </row>
    <row r="107" spans="1:17" x14ac:dyDescent="0.25">
      <c r="A107" s="49">
        <f>+'A) Base RI'!A109</f>
        <v>5566</v>
      </c>
      <c r="B107" s="291" t="str">
        <f>+'A) Base RI'!B109</f>
        <v>Provence</v>
      </c>
      <c r="C107" s="302">
        <f>+'D) Ecrêtage'!C107</f>
        <v>8507.523402669327</v>
      </c>
      <c r="D107" s="439">
        <v>282966</v>
      </c>
      <c r="E107" s="440">
        <v>15742</v>
      </c>
      <c r="F107" s="439">
        <v>33627</v>
      </c>
      <c r="G107" s="302">
        <f t="shared" si="9"/>
        <v>332335</v>
      </c>
      <c r="H107" s="283">
        <f t="shared" si="10"/>
        <v>68060.187221354616</v>
      </c>
      <c r="I107" s="10">
        <f t="shared" si="11"/>
        <v>264274.81277864537</v>
      </c>
      <c r="J107" s="447">
        <f t="shared" si="12"/>
        <v>-190299.79852078037</v>
      </c>
      <c r="K107" s="10">
        <v>38045</v>
      </c>
      <c r="L107" s="397">
        <f t="shared" si="13"/>
        <v>8507.523402669327</v>
      </c>
      <c r="M107" s="14">
        <f t="shared" si="14"/>
        <v>29537.476597330671</v>
      </c>
      <c r="N107" s="2">
        <f t="shared" si="15"/>
        <v>-21269.434594178976</v>
      </c>
      <c r="O107" s="130">
        <f t="shared" si="16"/>
        <v>-211569.23311495935</v>
      </c>
      <c r="P107" s="438">
        <f t="shared" si="17"/>
        <v>-24.868486761796884</v>
      </c>
      <c r="Q107" s="126"/>
    </row>
    <row r="108" spans="1:17" x14ac:dyDescent="0.25">
      <c r="A108" s="49">
        <f>+'A) Base RI'!A110</f>
        <v>5568</v>
      </c>
      <c r="B108" s="291" t="str">
        <f>+'A) Base RI'!B110</f>
        <v>Sainte-Croix</v>
      </c>
      <c r="C108" s="302">
        <f>+'D) Ecrêtage'!C108</f>
        <v>109442.50057575936</v>
      </c>
      <c r="D108" s="439">
        <v>2052384</v>
      </c>
      <c r="E108" s="440">
        <v>511208</v>
      </c>
      <c r="F108" s="439">
        <v>127961</v>
      </c>
      <c r="G108" s="302">
        <f t="shared" si="9"/>
        <v>2691553</v>
      </c>
      <c r="H108" s="283">
        <f t="shared" si="10"/>
        <v>875540.00460607489</v>
      </c>
      <c r="I108" s="10">
        <f t="shared" si="11"/>
        <v>1816012.9953939251</v>
      </c>
      <c r="J108" s="447">
        <f t="shared" si="12"/>
        <v>-1307680.075528211</v>
      </c>
      <c r="K108" s="10">
        <v>80117</v>
      </c>
      <c r="L108" s="397">
        <f t="shared" si="13"/>
        <v>109442.50057575936</v>
      </c>
      <c r="M108" s="14">
        <f t="shared" si="14"/>
        <v>0</v>
      </c>
      <c r="N108" s="2">
        <f t="shared" si="15"/>
        <v>0</v>
      </c>
      <c r="O108" s="130">
        <f t="shared" si="16"/>
        <v>-1307680.075528211</v>
      </c>
      <c r="P108" s="438">
        <f t="shared" si="17"/>
        <v>-11.948558088939095</v>
      </c>
      <c r="Q108" s="126"/>
    </row>
    <row r="109" spans="1:17" x14ac:dyDescent="0.25">
      <c r="A109" s="49">
        <f>+'A) Base RI'!A111</f>
        <v>5571</v>
      </c>
      <c r="B109" s="291" t="str">
        <f>+'A) Base RI'!B111</f>
        <v>Tévenon</v>
      </c>
      <c r="C109" s="302">
        <f>+'D) Ecrêtage'!C109</f>
        <v>24814.739648311806</v>
      </c>
      <c r="D109" s="439">
        <v>180223</v>
      </c>
      <c r="E109" s="440">
        <v>37014</v>
      </c>
      <c r="F109" s="439">
        <v>116949</v>
      </c>
      <c r="G109" s="302">
        <f t="shared" si="9"/>
        <v>334186</v>
      </c>
      <c r="H109" s="283">
        <f t="shared" si="10"/>
        <v>198517.91718649445</v>
      </c>
      <c r="I109" s="10">
        <f t="shared" si="11"/>
        <v>135668.08281350555</v>
      </c>
      <c r="J109" s="447">
        <f t="shared" si="12"/>
        <v>-97692.279312048136</v>
      </c>
      <c r="K109" s="10">
        <v>53313</v>
      </c>
      <c r="L109" s="397">
        <f t="shared" si="13"/>
        <v>24814.739648311806</v>
      </c>
      <c r="M109" s="14">
        <f t="shared" si="14"/>
        <v>28498.260351688194</v>
      </c>
      <c r="N109" s="2">
        <f t="shared" si="15"/>
        <v>-20521.112648224444</v>
      </c>
      <c r="O109" s="130">
        <f t="shared" si="16"/>
        <v>-118213.39196027258</v>
      </c>
      <c r="P109" s="438">
        <f t="shared" si="17"/>
        <v>-4.7638376882311908</v>
      </c>
      <c r="Q109" s="126"/>
    </row>
    <row r="110" spans="1:17" x14ac:dyDescent="0.25">
      <c r="A110" s="49">
        <f>+'A) Base RI'!A112</f>
        <v>5581</v>
      </c>
      <c r="B110" s="291" t="str">
        <f>+'A) Base RI'!B112</f>
        <v>Belmont-sur-Lausanne</v>
      </c>
      <c r="C110" s="302">
        <f>+'D) Ecrêtage'!C110</f>
        <v>187390.297037037</v>
      </c>
      <c r="D110" s="439">
        <v>1328138</v>
      </c>
      <c r="E110" s="440">
        <v>1320682</v>
      </c>
      <c r="F110" s="439">
        <v>229788</v>
      </c>
      <c r="G110" s="302">
        <f t="shared" si="9"/>
        <v>2878608</v>
      </c>
      <c r="H110" s="283">
        <f t="shared" si="10"/>
        <v>1499122.376296296</v>
      </c>
      <c r="I110" s="10">
        <f t="shared" si="11"/>
        <v>1379485.623703704</v>
      </c>
      <c r="J110" s="447">
        <f t="shared" si="12"/>
        <v>-993344.13859942544</v>
      </c>
      <c r="K110" s="10">
        <v>-155</v>
      </c>
      <c r="L110" s="397">
        <f t="shared" si="13"/>
        <v>187390.297037037</v>
      </c>
      <c r="M110" s="14">
        <f t="shared" si="14"/>
        <v>0</v>
      </c>
      <c r="N110" s="2">
        <f t="shared" si="15"/>
        <v>0</v>
      </c>
      <c r="O110" s="130">
        <f t="shared" si="16"/>
        <v>-993344.13859942544</v>
      </c>
      <c r="P110" s="438">
        <f t="shared" si="17"/>
        <v>-5.3009368911085861</v>
      </c>
      <c r="Q110" s="126"/>
    </row>
    <row r="111" spans="1:17" x14ac:dyDescent="0.25">
      <c r="A111" s="49">
        <f>+'A) Base RI'!A113</f>
        <v>5582</v>
      </c>
      <c r="B111" s="291" t="str">
        <f>+'A) Base RI'!B113</f>
        <v>Cheseaux-sur-Lausanne</v>
      </c>
      <c r="C111" s="302">
        <f>+'D) Ecrêtage'!C111</f>
        <v>165596.20409124478</v>
      </c>
      <c r="D111" s="439">
        <v>1281843</v>
      </c>
      <c r="E111" s="440">
        <v>382956</v>
      </c>
      <c r="F111" s="439">
        <v>151833</v>
      </c>
      <c r="G111" s="302">
        <f t="shared" si="9"/>
        <v>1816632</v>
      </c>
      <c r="H111" s="283">
        <f t="shared" si="10"/>
        <v>1324769.6327299583</v>
      </c>
      <c r="I111" s="10">
        <f t="shared" si="11"/>
        <v>491862.36727004172</v>
      </c>
      <c r="J111" s="447">
        <f t="shared" si="12"/>
        <v>-354181.72623905243</v>
      </c>
      <c r="K111" s="10">
        <v>69391</v>
      </c>
      <c r="L111" s="397">
        <f t="shared" si="13"/>
        <v>165596.20409124478</v>
      </c>
      <c r="M111" s="14">
        <f t="shared" si="14"/>
        <v>0</v>
      </c>
      <c r="N111" s="2">
        <f t="shared" si="15"/>
        <v>0</v>
      </c>
      <c r="O111" s="130">
        <f t="shared" si="16"/>
        <v>-354181.72623905243</v>
      </c>
      <c r="P111" s="438">
        <f t="shared" si="17"/>
        <v>-2.13882756662644</v>
      </c>
      <c r="Q111" s="126"/>
    </row>
    <row r="112" spans="1:17" x14ac:dyDescent="0.25">
      <c r="A112" s="49">
        <f>+'A) Base RI'!A114</f>
        <v>5583</v>
      </c>
      <c r="B112" s="291" t="str">
        <f>+'A) Base RI'!B114</f>
        <v>Crissier</v>
      </c>
      <c r="C112" s="302">
        <f>+'D) Ecrêtage'!C112</f>
        <v>307386.12106978399</v>
      </c>
      <c r="D112" s="439">
        <v>2312675</v>
      </c>
      <c r="E112" s="440">
        <v>3091464</v>
      </c>
      <c r="F112" s="439">
        <v>319158</v>
      </c>
      <c r="G112" s="302">
        <f t="shared" si="9"/>
        <v>5723297</v>
      </c>
      <c r="H112" s="283">
        <f t="shared" si="10"/>
        <v>2459088.9685582719</v>
      </c>
      <c r="I112" s="10">
        <f t="shared" si="11"/>
        <v>3264208.0314417281</v>
      </c>
      <c r="J112" s="447">
        <f t="shared" si="12"/>
        <v>-2350500.6935094045</v>
      </c>
      <c r="K112" s="10">
        <v>80096</v>
      </c>
      <c r="L112" s="397">
        <f t="shared" si="13"/>
        <v>307386.12106978399</v>
      </c>
      <c r="M112" s="14">
        <f t="shared" si="14"/>
        <v>0</v>
      </c>
      <c r="N112" s="2">
        <f t="shared" si="15"/>
        <v>0</v>
      </c>
      <c r="O112" s="130">
        <f t="shared" si="16"/>
        <v>-2350500.6935094045</v>
      </c>
      <c r="P112" s="438">
        <f t="shared" si="17"/>
        <v>-7.6467365713489217</v>
      </c>
      <c r="Q112" s="126"/>
    </row>
    <row r="113" spans="1:17" x14ac:dyDescent="0.25">
      <c r="A113" s="49">
        <f>+'A) Base RI'!A115</f>
        <v>5584</v>
      </c>
      <c r="B113" s="291" t="str">
        <f>+'A) Base RI'!B115</f>
        <v>Epalinges</v>
      </c>
      <c r="C113" s="302">
        <f>+'D) Ecrêtage'!C113</f>
        <v>474209.93693948264</v>
      </c>
      <c r="D113" s="439">
        <v>4171319</v>
      </c>
      <c r="E113" s="440">
        <v>3761006</v>
      </c>
      <c r="F113" s="439">
        <v>741103</v>
      </c>
      <c r="G113" s="302">
        <f t="shared" si="9"/>
        <v>8673428</v>
      </c>
      <c r="H113" s="283">
        <f t="shared" si="10"/>
        <v>3793679.4955158611</v>
      </c>
      <c r="I113" s="10">
        <f t="shared" si="11"/>
        <v>4879748.5044841394</v>
      </c>
      <c r="J113" s="447">
        <f t="shared" si="12"/>
        <v>-3513823.9148549209</v>
      </c>
      <c r="K113" s="10">
        <v>337724</v>
      </c>
      <c r="L113" s="397">
        <f t="shared" si="13"/>
        <v>474209.93693948264</v>
      </c>
      <c r="M113" s="14">
        <f t="shared" si="14"/>
        <v>0</v>
      </c>
      <c r="N113" s="2">
        <f t="shared" si="15"/>
        <v>0</v>
      </c>
      <c r="O113" s="130">
        <f t="shared" si="16"/>
        <v>-3513823.9148549209</v>
      </c>
      <c r="P113" s="438">
        <f t="shared" si="17"/>
        <v>-7.4098487634672772</v>
      </c>
      <c r="Q113" s="126"/>
    </row>
    <row r="114" spans="1:17" x14ac:dyDescent="0.25">
      <c r="A114" s="49">
        <f>+'A) Base RI'!A116</f>
        <v>5585</v>
      </c>
      <c r="B114" s="291" t="str">
        <f>+'A) Base RI'!B116</f>
        <v>Jouxtens-Mézery</v>
      </c>
      <c r="C114" s="302">
        <f>+'D) Ecrêtage'!C114</f>
        <v>229667.26461667338</v>
      </c>
      <c r="D114" s="439">
        <v>447774</v>
      </c>
      <c r="E114" s="440">
        <v>108458</v>
      </c>
      <c r="F114" s="439">
        <v>50130</v>
      </c>
      <c r="G114" s="302">
        <f t="shared" si="9"/>
        <v>606362</v>
      </c>
      <c r="H114" s="283">
        <f t="shared" si="10"/>
        <v>1837338.116933387</v>
      </c>
      <c r="I114" s="10">
        <f t="shared" si="11"/>
        <v>0</v>
      </c>
      <c r="J114" s="447">
        <f t="shared" si="12"/>
        <v>0</v>
      </c>
      <c r="K114" s="10">
        <v>42853</v>
      </c>
      <c r="L114" s="397">
        <f t="shared" si="13"/>
        <v>229667.26461667338</v>
      </c>
      <c r="M114" s="14">
        <f t="shared" si="14"/>
        <v>0</v>
      </c>
      <c r="N114" s="2">
        <f t="shared" si="15"/>
        <v>0</v>
      </c>
      <c r="O114" s="130">
        <f t="shared" si="16"/>
        <v>0</v>
      </c>
      <c r="P114" s="438">
        <f t="shared" si="17"/>
        <v>0</v>
      </c>
      <c r="Q114" s="126"/>
    </row>
    <row r="115" spans="1:17" x14ac:dyDescent="0.25">
      <c r="A115" s="49">
        <f>+'A) Base RI'!A117</f>
        <v>5586</v>
      </c>
      <c r="B115" s="291" t="str">
        <f>+'A) Base RI'!B117</f>
        <v>Lausanne</v>
      </c>
      <c r="C115" s="302">
        <f>+'D) Ecrêtage'!C115</f>
        <v>5921149.2978412546</v>
      </c>
      <c r="D115" s="439">
        <v>66149191</v>
      </c>
      <c r="E115" s="440">
        <v>57266521</v>
      </c>
      <c r="F115" s="439">
        <v>2617997</v>
      </c>
      <c r="G115" s="302">
        <f t="shared" si="9"/>
        <v>126033709</v>
      </c>
      <c r="H115" s="283">
        <f t="shared" si="10"/>
        <v>47369194.382730037</v>
      </c>
      <c r="I115" s="10">
        <f t="shared" si="11"/>
        <v>78664514.617269963</v>
      </c>
      <c r="J115" s="447">
        <f t="shared" si="12"/>
        <v>-56644979.235838428</v>
      </c>
      <c r="K115" s="10">
        <v>2410852</v>
      </c>
      <c r="L115" s="397">
        <f t="shared" si="13"/>
        <v>5921149.2978412546</v>
      </c>
      <c r="M115" s="14">
        <f t="shared" si="14"/>
        <v>0</v>
      </c>
      <c r="N115" s="2">
        <f t="shared" si="15"/>
        <v>0</v>
      </c>
      <c r="O115" s="130">
        <f t="shared" si="16"/>
        <v>-56644979.235838428</v>
      </c>
      <c r="P115" s="438">
        <f t="shared" si="17"/>
        <v>-9.5665514221183674</v>
      </c>
      <c r="Q115" s="126"/>
    </row>
    <row r="116" spans="1:17" x14ac:dyDescent="0.25">
      <c r="A116" s="49">
        <f>+'A) Base RI'!A118</f>
        <v>5587</v>
      </c>
      <c r="B116" s="291" t="str">
        <f>+'A) Base RI'!B118</f>
        <v>Le Mont-sur-Lausanne</v>
      </c>
      <c r="C116" s="302">
        <f>+'D) Ecrêtage'!C116</f>
        <v>435325.60080081096</v>
      </c>
      <c r="D116" s="439">
        <v>3909539</v>
      </c>
      <c r="E116" s="440">
        <v>2375706</v>
      </c>
      <c r="F116" s="439">
        <v>672562</v>
      </c>
      <c r="G116" s="302">
        <f t="shared" si="9"/>
        <v>6957807</v>
      </c>
      <c r="H116" s="283">
        <f t="shared" si="10"/>
        <v>3482604.8064064877</v>
      </c>
      <c r="I116" s="10">
        <f t="shared" si="11"/>
        <v>3475202.1935935123</v>
      </c>
      <c r="J116" s="447">
        <f t="shared" si="12"/>
        <v>-2502434.0015851026</v>
      </c>
      <c r="K116" s="10">
        <v>36888</v>
      </c>
      <c r="L116" s="397">
        <f t="shared" si="13"/>
        <v>435325.60080081096</v>
      </c>
      <c r="M116" s="14">
        <f t="shared" si="14"/>
        <v>0</v>
      </c>
      <c r="N116" s="2">
        <f t="shared" si="15"/>
        <v>0</v>
      </c>
      <c r="O116" s="130">
        <f t="shared" si="16"/>
        <v>-2502434.0015851026</v>
      </c>
      <c r="P116" s="438">
        <f t="shared" si="17"/>
        <v>-5.7484191074030697</v>
      </c>
      <c r="Q116" s="126"/>
    </row>
    <row r="117" spans="1:17" x14ac:dyDescent="0.25">
      <c r="A117" s="49">
        <f>+'A) Base RI'!A119</f>
        <v>5588</v>
      </c>
      <c r="B117" s="291" t="str">
        <f>+'A) Base RI'!B119</f>
        <v>Paudex</v>
      </c>
      <c r="C117" s="302">
        <f>+'D) Ecrêtage'!C117</f>
        <v>133190.693055262</v>
      </c>
      <c r="D117" s="439">
        <v>191096</v>
      </c>
      <c r="E117" s="440">
        <v>508484</v>
      </c>
      <c r="F117" s="439">
        <v>34877</v>
      </c>
      <c r="G117" s="302">
        <f t="shared" si="9"/>
        <v>734457</v>
      </c>
      <c r="H117" s="283">
        <f t="shared" si="10"/>
        <v>1065525.544442096</v>
      </c>
      <c r="I117" s="10">
        <f t="shared" si="11"/>
        <v>0</v>
      </c>
      <c r="J117" s="447">
        <f t="shared" si="12"/>
        <v>0</v>
      </c>
      <c r="K117" s="10">
        <v>0</v>
      </c>
      <c r="L117" s="397">
        <f t="shared" si="13"/>
        <v>133190.693055262</v>
      </c>
      <c r="M117" s="14">
        <f t="shared" si="14"/>
        <v>0</v>
      </c>
      <c r="N117" s="2">
        <f t="shared" si="15"/>
        <v>0</v>
      </c>
      <c r="O117" s="130">
        <f t="shared" si="16"/>
        <v>0</v>
      </c>
      <c r="P117" s="438">
        <f t="shared" si="17"/>
        <v>0</v>
      </c>
      <c r="Q117" s="126"/>
    </row>
    <row r="118" spans="1:17" x14ac:dyDescent="0.25">
      <c r="A118" s="49">
        <f>+'A) Base RI'!A120</f>
        <v>5589</v>
      </c>
      <c r="B118" s="291" t="str">
        <f>+'A) Base RI'!B120</f>
        <v>Prilly</v>
      </c>
      <c r="C118" s="302">
        <f>+'D) Ecrêtage'!C118</f>
        <v>406505.26778654603</v>
      </c>
      <c r="D118" s="439">
        <v>3088088</v>
      </c>
      <c r="E118" s="440">
        <v>3912591</v>
      </c>
      <c r="F118" s="439">
        <v>145440</v>
      </c>
      <c r="G118" s="302">
        <f t="shared" si="9"/>
        <v>7146119</v>
      </c>
      <c r="H118" s="283">
        <f t="shared" si="10"/>
        <v>3252042.1422923682</v>
      </c>
      <c r="I118" s="10">
        <f t="shared" si="11"/>
        <v>3894076.8577076318</v>
      </c>
      <c r="J118" s="447">
        <f t="shared" si="12"/>
        <v>-2804058.5239838469</v>
      </c>
      <c r="K118" s="10">
        <v>21782</v>
      </c>
      <c r="L118" s="397">
        <f t="shared" si="13"/>
        <v>406505.26778654603</v>
      </c>
      <c r="M118" s="14">
        <f t="shared" si="14"/>
        <v>0</v>
      </c>
      <c r="N118" s="2">
        <f t="shared" si="15"/>
        <v>0</v>
      </c>
      <c r="O118" s="130">
        <f t="shared" si="16"/>
        <v>-2804058.5239838469</v>
      </c>
      <c r="P118" s="438">
        <f t="shared" si="17"/>
        <v>-6.897963559616759</v>
      </c>
      <c r="Q118" s="126"/>
    </row>
    <row r="119" spans="1:17" x14ac:dyDescent="0.25">
      <c r="A119" s="49">
        <f>+'A) Base RI'!A121</f>
        <v>5590</v>
      </c>
      <c r="B119" s="291" t="str">
        <f>+'A) Base RI'!B121</f>
        <v>Pully</v>
      </c>
      <c r="C119" s="302">
        <f>+'D) Ecrêtage'!C119</f>
        <v>1525137.1517209217</v>
      </c>
      <c r="D119" s="439">
        <v>5687081</v>
      </c>
      <c r="E119" s="440">
        <v>9028822</v>
      </c>
      <c r="F119" s="439">
        <v>351104</v>
      </c>
      <c r="G119" s="302">
        <f t="shared" si="9"/>
        <v>15067007</v>
      </c>
      <c r="H119" s="283">
        <f t="shared" si="10"/>
        <v>12201097.213767374</v>
      </c>
      <c r="I119" s="10">
        <f t="shared" si="11"/>
        <v>2865909.7862326261</v>
      </c>
      <c r="J119" s="447">
        <f t="shared" si="12"/>
        <v>-2063692.9004490846</v>
      </c>
      <c r="K119" s="10">
        <v>515446</v>
      </c>
      <c r="L119" s="397">
        <f t="shared" si="13"/>
        <v>1525137.1517209217</v>
      </c>
      <c r="M119" s="14">
        <f t="shared" si="14"/>
        <v>0</v>
      </c>
      <c r="N119" s="2">
        <f t="shared" si="15"/>
        <v>0</v>
      </c>
      <c r="O119" s="130">
        <f t="shared" si="16"/>
        <v>-2063692.9004490846</v>
      </c>
      <c r="P119" s="438">
        <f t="shared" si="17"/>
        <v>-1.3531195526385753</v>
      </c>
      <c r="Q119" s="126"/>
    </row>
    <row r="120" spans="1:17" x14ac:dyDescent="0.25">
      <c r="A120" s="49">
        <f>+'A) Base RI'!A122</f>
        <v>5591</v>
      </c>
      <c r="B120" s="291" t="str">
        <f>+'A) Base RI'!B122</f>
        <v>Renens</v>
      </c>
      <c r="C120" s="302">
        <f>+'D) Ecrêtage'!C120</f>
        <v>560894.98850347521</v>
      </c>
      <c r="D120" s="439">
        <v>4212311</v>
      </c>
      <c r="E120" s="440">
        <v>8459721</v>
      </c>
      <c r="F120" s="439">
        <v>182416</v>
      </c>
      <c r="G120" s="302">
        <f t="shared" si="9"/>
        <v>12854448</v>
      </c>
      <c r="H120" s="283">
        <f t="shared" si="10"/>
        <v>4487159.9080278017</v>
      </c>
      <c r="I120" s="10">
        <f t="shared" si="11"/>
        <v>8367288.0919721983</v>
      </c>
      <c r="J120" s="447">
        <f t="shared" si="12"/>
        <v>-6025141.8639782639</v>
      </c>
      <c r="K120" s="10">
        <v>48290</v>
      </c>
      <c r="L120" s="397">
        <f t="shared" si="13"/>
        <v>560894.98850347521</v>
      </c>
      <c r="M120" s="14">
        <f t="shared" si="14"/>
        <v>0</v>
      </c>
      <c r="N120" s="2">
        <f t="shared" si="15"/>
        <v>0</v>
      </c>
      <c r="O120" s="130">
        <f t="shared" si="16"/>
        <v>-6025141.8639782639</v>
      </c>
      <c r="P120" s="438">
        <f t="shared" si="17"/>
        <v>-10.742014080129248</v>
      </c>
      <c r="Q120" s="126"/>
    </row>
    <row r="121" spans="1:17" x14ac:dyDescent="0.25">
      <c r="A121" s="49">
        <f>+'A) Base RI'!A123</f>
        <v>5592</v>
      </c>
      <c r="B121" s="291" t="str">
        <f>+'A) Base RI'!B123</f>
        <v>Romanel-sur-Lausanne</v>
      </c>
      <c r="C121" s="302">
        <f>+'D) Ecrêtage'!C121</f>
        <v>112590.71279371857</v>
      </c>
      <c r="D121" s="439">
        <v>1007197</v>
      </c>
      <c r="E121" s="440">
        <v>244122</v>
      </c>
      <c r="F121" s="439">
        <v>27821</v>
      </c>
      <c r="G121" s="302">
        <f t="shared" si="9"/>
        <v>1279140</v>
      </c>
      <c r="H121" s="283">
        <f t="shared" si="10"/>
        <v>900725.70234974858</v>
      </c>
      <c r="I121" s="10">
        <f t="shared" si="11"/>
        <v>378414.29765025142</v>
      </c>
      <c r="J121" s="447">
        <f t="shared" si="12"/>
        <v>-272489.70056235482</v>
      </c>
      <c r="K121" s="10">
        <v>9159</v>
      </c>
      <c r="L121" s="397">
        <f t="shared" si="13"/>
        <v>112590.71279371857</v>
      </c>
      <c r="M121" s="14">
        <f t="shared" si="14"/>
        <v>0</v>
      </c>
      <c r="N121" s="2">
        <f t="shared" si="15"/>
        <v>0</v>
      </c>
      <c r="O121" s="130">
        <f t="shared" si="16"/>
        <v>-272489.70056235482</v>
      </c>
      <c r="P121" s="438">
        <f t="shared" si="17"/>
        <v>-2.4201791941897803</v>
      </c>
      <c r="Q121" s="126"/>
    </row>
    <row r="122" spans="1:17" x14ac:dyDescent="0.25">
      <c r="A122" s="49">
        <f>+'A) Base RI'!A124</f>
        <v>5601</v>
      </c>
      <c r="B122" s="291" t="str">
        <f>+'A) Base RI'!B124</f>
        <v>Chexbres</v>
      </c>
      <c r="C122" s="302">
        <f>+'D) Ecrêtage'!C122</f>
        <v>103283.91611303072</v>
      </c>
      <c r="D122" s="439">
        <v>764778</v>
      </c>
      <c r="E122" s="440">
        <v>169442</v>
      </c>
      <c r="F122" s="439">
        <v>300501</v>
      </c>
      <c r="G122" s="302">
        <f t="shared" si="9"/>
        <v>1234721</v>
      </c>
      <c r="H122" s="283">
        <f t="shared" si="10"/>
        <v>826271.32890424575</v>
      </c>
      <c r="I122" s="10">
        <f t="shared" si="11"/>
        <v>408449.67109575425</v>
      </c>
      <c r="J122" s="447">
        <f t="shared" si="12"/>
        <v>-294117.66220985027</v>
      </c>
      <c r="K122" s="10">
        <v>54495</v>
      </c>
      <c r="L122" s="397">
        <f t="shared" si="13"/>
        <v>103283.91611303072</v>
      </c>
      <c r="M122" s="14">
        <f t="shared" si="14"/>
        <v>0</v>
      </c>
      <c r="N122" s="2">
        <f t="shared" si="15"/>
        <v>0</v>
      </c>
      <c r="O122" s="130">
        <f t="shared" si="16"/>
        <v>-294117.66220985027</v>
      </c>
      <c r="P122" s="438">
        <f t="shared" si="17"/>
        <v>-2.8476617974862322</v>
      </c>
      <c r="Q122" s="126"/>
    </row>
    <row r="123" spans="1:17" x14ac:dyDescent="0.25">
      <c r="A123" s="49">
        <f>+'A) Base RI'!A125</f>
        <v>5604</v>
      </c>
      <c r="B123" s="291" t="str">
        <f>+'A) Base RI'!B125</f>
        <v>Forel (Lavaux)</v>
      </c>
      <c r="C123" s="302">
        <f>+'D) Ecrêtage'!C123</f>
        <v>73662.582961552936</v>
      </c>
      <c r="D123" s="439">
        <v>693680</v>
      </c>
      <c r="E123" s="440">
        <v>92104</v>
      </c>
      <c r="F123" s="439">
        <v>275376</v>
      </c>
      <c r="G123" s="302">
        <f t="shared" si="9"/>
        <v>1061160</v>
      </c>
      <c r="H123" s="283">
        <f t="shared" si="10"/>
        <v>589300.66369242349</v>
      </c>
      <c r="I123" s="10">
        <f t="shared" si="11"/>
        <v>471859.33630757651</v>
      </c>
      <c r="J123" s="447">
        <f t="shared" si="12"/>
        <v>-339777.88380723348</v>
      </c>
      <c r="K123" s="10">
        <v>45701</v>
      </c>
      <c r="L123" s="397">
        <f t="shared" si="13"/>
        <v>73662.582961552936</v>
      </c>
      <c r="M123" s="14">
        <f t="shared" si="14"/>
        <v>0</v>
      </c>
      <c r="N123" s="2">
        <f t="shared" si="15"/>
        <v>0</v>
      </c>
      <c r="O123" s="130">
        <f t="shared" si="16"/>
        <v>-339777.88380723348</v>
      </c>
      <c r="P123" s="438">
        <f t="shared" si="17"/>
        <v>-4.6126251639122584</v>
      </c>
      <c r="Q123" s="126"/>
    </row>
    <row r="124" spans="1:17" x14ac:dyDescent="0.25">
      <c r="A124" s="49">
        <f>+'A) Base RI'!A126</f>
        <v>5606</v>
      </c>
      <c r="B124" s="291" t="str">
        <f>+'A) Base RI'!B126</f>
        <v>Lutry</v>
      </c>
      <c r="C124" s="302">
        <f>+'D) Ecrêtage'!C124</f>
        <v>807933.92151435383</v>
      </c>
      <c r="D124" s="439">
        <v>4571175</v>
      </c>
      <c r="E124" s="440">
        <v>3637269</v>
      </c>
      <c r="F124" s="439">
        <v>1695168</v>
      </c>
      <c r="G124" s="302">
        <f t="shared" si="9"/>
        <v>9903612</v>
      </c>
      <c r="H124" s="283">
        <f t="shared" si="10"/>
        <v>6463471.3721148307</v>
      </c>
      <c r="I124" s="10">
        <f t="shared" si="11"/>
        <v>3440140.6278851693</v>
      </c>
      <c r="J124" s="447">
        <f t="shared" si="12"/>
        <v>-2477186.7643627292</v>
      </c>
      <c r="K124" s="10">
        <v>251986</v>
      </c>
      <c r="L124" s="397">
        <f t="shared" si="13"/>
        <v>807933.92151435383</v>
      </c>
      <c r="M124" s="14">
        <f t="shared" si="14"/>
        <v>0</v>
      </c>
      <c r="N124" s="2">
        <f t="shared" si="15"/>
        <v>0</v>
      </c>
      <c r="O124" s="130">
        <f t="shared" si="16"/>
        <v>-2477186.7643627292</v>
      </c>
      <c r="P124" s="438">
        <f t="shared" si="17"/>
        <v>-3.0660759480423909</v>
      </c>
      <c r="Q124" s="126"/>
    </row>
    <row r="125" spans="1:17" x14ac:dyDescent="0.25">
      <c r="A125" s="49">
        <f>+'A) Base RI'!A127</f>
        <v>5607</v>
      </c>
      <c r="B125" s="291" t="str">
        <f>+'A) Base RI'!B127</f>
        <v>Puidoux</v>
      </c>
      <c r="C125" s="302">
        <f>+'D) Ecrêtage'!C125</f>
        <v>99930.249355206179</v>
      </c>
      <c r="D125" s="439">
        <v>1221087</v>
      </c>
      <c r="E125" s="440">
        <v>272560</v>
      </c>
      <c r="F125" s="439">
        <v>405899</v>
      </c>
      <c r="G125" s="302">
        <f t="shared" si="9"/>
        <v>1899546</v>
      </c>
      <c r="H125" s="283">
        <f t="shared" si="10"/>
        <v>799441.99484164943</v>
      </c>
      <c r="I125" s="10">
        <f t="shared" si="11"/>
        <v>1100104.0051583506</v>
      </c>
      <c r="J125" s="447">
        <f t="shared" si="12"/>
        <v>-792166.18614687014</v>
      </c>
      <c r="K125" s="10">
        <v>8687</v>
      </c>
      <c r="L125" s="397">
        <f t="shared" si="13"/>
        <v>99930.249355206179</v>
      </c>
      <c r="M125" s="14">
        <f t="shared" si="14"/>
        <v>0</v>
      </c>
      <c r="N125" s="2">
        <f t="shared" si="15"/>
        <v>0</v>
      </c>
      <c r="O125" s="130">
        <f t="shared" si="16"/>
        <v>-792166.18614687014</v>
      </c>
      <c r="P125" s="438">
        <f t="shared" si="17"/>
        <v>-7.9271911283947958</v>
      </c>
      <c r="Q125" s="126"/>
    </row>
    <row r="126" spans="1:17" x14ac:dyDescent="0.25">
      <c r="A126" s="49">
        <f>+'A) Base RI'!A128</f>
        <v>5609</v>
      </c>
      <c r="B126" s="291" t="str">
        <f>+'A) Base RI'!B128</f>
        <v>Rivaz</v>
      </c>
      <c r="C126" s="302">
        <f>+'D) Ecrêtage'!C126</f>
        <v>13671.143301269074</v>
      </c>
      <c r="D126" s="439">
        <v>92973</v>
      </c>
      <c r="E126" s="440">
        <v>33881</v>
      </c>
      <c r="F126" s="439">
        <v>39820</v>
      </c>
      <c r="G126" s="302">
        <f t="shared" si="9"/>
        <v>166674</v>
      </c>
      <c r="H126" s="283">
        <f t="shared" si="10"/>
        <v>109369.14641015259</v>
      </c>
      <c r="I126" s="10">
        <f t="shared" si="11"/>
        <v>57304.853589847407</v>
      </c>
      <c r="J126" s="447">
        <f t="shared" si="12"/>
        <v>-41264.250564600006</v>
      </c>
      <c r="K126" s="10">
        <v>25109</v>
      </c>
      <c r="L126" s="397">
        <f t="shared" si="13"/>
        <v>13671.143301269074</v>
      </c>
      <c r="M126" s="14">
        <f t="shared" si="14"/>
        <v>11437.856698730926</v>
      </c>
      <c r="N126" s="2">
        <f t="shared" si="15"/>
        <v>-8236.2061007349021</v>
      </c>
      <c r="O126" s="130">
        <f t="shared" si="16"/>
        <v>-49500.45666533491</v>
      </c>
      <c r="P126" s="438">
        <f t="shared" si="17"/>
        <v>-3.6207986102186385</v>
      </c>
      <c r="Q126" s="126"/>
    </row>
    <row r="127" spans="1:17" x14ac:dyDescent="0.25">
      <c r="A127" s="49">
        <f>+'A) Base RI'!A129</f>
        <v>5610</v>
      </c>
      <c r="B127" s="291" t="str">
        <f>+'A) Base RI'!B129</f>
        <v>St-Saphorin (Lavaux)</v>
      </c>
      <c r="C127" s="302">
        <f>+'D) Ecrêtage'!C127</f>
        <v>22273.105318410097</v>
      </c>
      <c r="D127" s="439">
        <v>120668</v>
      </c>
      <c r="E127" s="440">
        <v>37004</v>
      </c>
      <c r="F127" s="439">
        <v>50625</v>
      </c>
      <c r="G127" s="302">
        <f t="shared" si="9"/>
        <v>208297</v>
      </c>
      <c r="H127" s="283">
        <f t="shared" si="10"/>
        <v>178184.84254728077</v>
      </c>
      <c r="I127" s="10">
        <f t="shared" si="11"/>
        <v>30112.157452719228</v>
      </c>
      <c r="J127" s="447">
        <f t="shared" si="12"/>
        <v>-21683.252505331155</v>
      </c>
      <c r="K127" s="10">
        <v>10765</v>
      </c>
      <c r="L127" s="397">
        <f t="shared" si="13"/>
        <v>22273.105318410097</v>
      </c>
      <c r="M127" s="14">
        <f t="shared" si="14"/>
        <v>0</v>
      </c>
      <c r="N127" s="2">
        <f t="shared" si="15"/>
        <v>0</v>
      </c>
      <c r="O127" s="130">
        <f t="shared" si="16"/>
        <v>-21683.252505331155</v>
      </c>
      <c r="P127" s="438">
        <f t="shared" si="17"/>
        <v>-0.97351726197822119</v>
      </c>
      <c r="Q127" s="126"/>
    </row>
    <row r="128" spans="1:17" x14ac:dyDescent="0.25">
      <c r="A128" s="49">
        <f>+'A) Base RI'!A130</f>
        <v>5611</v>
      </c>
      <c r="B128" s="291" t="str">
        <f>+'A) Base RI'!B130</f>
        <v>Savigny</v>
      </c>
      <c r="C128" s="302">
        <f>+'D) Ecrêtage'!C128</f>
        <v>134511.88344270343</v>
      </c>
      <c r="D128" s="439">
        <v>1175695</v>
      </c>
      <c r="E128" s="440">
        <v>148331</v>
      </c>
      <c r="F128" s="439">
        <v>417900</v>
      </c>
      <c r="G128" s="302">
        <f t="shared" si="9"/>
        <v>1741926</v>
      </c>
      <c r="H128" s="283">
        <f t="shared" si="10"/>
        <v>1076095.0675416274</v>
      </c>
      <c r="I128" s="10">
        <f t="shared" si="11"/>
        <v>665830.93245837255</v>
      </c>
      <c r="J128" s="447">
        <f t="shared" si="12"/>
        <v>-479453.53158517182</v>
      </c>
      <c r="K128" s="10">
        <v>30299</v>
      </c>
      <c r="L128" s="397">
        <f t="shared" si="13"/>
        <v>134511.88344270343</v>
      </c>
      <c r="M128" s="14">
        <f t="shared" si="14"/>
        <v>0</v>
      </c>
      <c r="N128" s="2">
        <f t="shared" si="15"/>
        <v>0</v>
      </c>
      <c r="O128" s="130">
        <f t="shared" si="16"/>
        <v>-479453.53158517182</v>
      </c>
      <c r="P128" s="438">
        <f t="shared" si="17"/>
        <v>-3.564395347935184</v>
      </c>
      <c r="Q128" s="126"/>
    </row>
    <row r="129" spans="1:17" x14ac:dyDescent="0.25">
      <c r="A129" s="49">
        <f>+'A) Base RI'!A131</f>
        <v>5613</v>
      </c>
      <c r="B129" s="291" t="str">
        <f>+'A) Base RI'!B131</f>
        <v>Bourg-en-Lavaux</v>
      </c>
      <c r="C129" s="302">
        <f>+'D) Ecrêtage'!C129</f>
        <v>332932.37553055235</v>
      </c>
      <c r="D129" s="439">
        <v>1531060</v>
      </c>
      <c r="E129" s="440">
        <v>395711</v>
      </c>
      <c r="F129" s="439">
        <v>653504</v>
      </c>
      <c r="G129" s="302">
        <f t="shared" si="9"/>
        <v>2580275</v>
      </c>
      <c r="H129" s="283">
        <f t="shared" si="10"/>
        <v>2663459.0042444188</v>
      </c>
      <c r="I129" s="10">
        <f t="shared" si="11"/>
        <v>0</v>
      </c>
      <c r="J129" s="447">
        <f t="shared" si="12"/>
        <v>0</v>
      </c>
      <c r="K129" s="10">
        <v>85450</v>
      </c>
      <c r="L129" s="397">
        <f t="shared" si="13"/>
        <v>332932.37553055235</v>
      </c>
      <c r="M129" s="14">
        <f t="shared" si="14"/>
        <v>0</v>
      </c>
      <c r="N129" s="2">
        <f t="shared" si="15"/>
        <v>0</v>
      </c>
      <c r="O129" s="130">
        <f t="shared" si="16"/>
        <v>0</v>
      </c>
      <c r="P129" s="438">
        <f t="shared" si="17"/>
        <v>0</v>
      </c>
      <c r="Q129" s="126"/>
    </row>
    <row r="130" spans="1:17" x14ac:dyDescent="0.25">
      <c r="A130" s="49">
        <f>+'A) Base RI'!A132</f>
        <v>5621</v>
      </c>
      <c r="B130" s="291" t="str">
        <f>+'A) Base RI'!B132</f>
        <v>Aclens</v>
      </c>
      <c r="C130" s="302">
        <f>+'D) Ecrêtage'!C130</f>
        <v>27011.410978345568</v>
      </c>
      <c r="D130" s="439">
        <v>129742</v>
      </c>
      <c r="E130" s="440">
        <v>18316</v>
      </c>
      <c r="F130" s="439">
        <v>52785</v>
      </c>
      <c r="G130" s="302">
        <f t="shared" si="9"/>
        <v>200843</v>
      </c>
      <c r="H130" s="283">
        <f t="shared" si="10"/>
        <v>216091.28782676454</v>
      </c>
      <c r="I130" s="10">
        <f t="shared" si="11"/>
        <v>0</v>
      </c>
      <c r="J130" s="447">
        <f t="shared" si="12"/>
        <v>0</v>
      </c>
      <c r="K130" s="10">
        <v>31783</v>
      </c>
      <c r="L130" s="397">
        <f t="shared" si="13"/>
        <v>27011.410978345568</v>
      </c>
      <c r="M130" s="14">
        <f t="shared" si="14"/>
        <v>4771.5890216544321</v>
      </c>
      <c r="N130" s="2">
        <f t="shared" si="15"/>
        <v>-3435.9401105899833</v>
      </c>
      <c r="O130" s="130">
        <f t="shared" si="16"/>
        <v>-3435.9401105899833</v>
      </c>
      <c r="P130" s="438">
        <f t="shared" si="17"/>
        <v>-0.12720328135929285</v>
      </c>
      <c r="Q130" s="126"/>
    </row>
    <row r="131" spans="1:17" x14ac:dyDescent="0.25">
      <c r="A131" s="49">
        <f>+'A) Base RI'!A133</f>
        <v>5622</v>
      </c>
      <c r="B131" s="291" t="str">
        <f>+'A) Base RI'!B133</f>
        <v>Bremblens</v>
      </c>
      <c r="C131" s="302">
        <f>+'D) Ecrêtage'!C131</f>
        <v>26937.345606060608</v>
      </c>
      <c r="D131" s="439">
        <v>89645</v>
      </c>
      <c r="E131" s="440">
        <v>18760</v>
      </c>
      <c r="F131" s="439">
        <v>57065</v>
      </c>
      <c r="G131" s="302">
        <f t="shared" si="9"/>
        <v>165470</v>
      </c>
      <c r="H131" s="283">
        <f t="shared" si="10"/>
        <v>215498.76484848486</v>
      </c>
      <c r="I131" s="10">
        <f t="shared" si="11"/>
        <v>0</v>
      </c>
      <c r="J131" s="447">
        <f t="shared" si="12"/>
        <v>0</v>
      </c>
      <c r="K131" s="10">
        <v>14086</v>
      </c>
      <c r="L131" s="397">
        <f t="shared" si="13"/>
        <v>26937.345606060608</v>
      </c>
      <c r="M131" s="14">
        <f t="shared" si="14"/>
        <v>0</v>
      </c>
      <c r="N131" s="2">
        <f t="shared" si="15"/>
        <v>0</v>
      </c>
      <c r="O131" s="130">
        <f t="shared" si="16"/>
        <v>0</v>
      </c>
      <c r="P131" s="438">
        <f t="shared" si="17"/>
        <v>0</v>
      </c>
      <c r="Q131" s="126"/>
    </row>
    <row r="132" spans="1:17" x14ac:dyDescent="0.25">
      <c r="A132" s="49">
        <f>+'A) Base RI'!A134</f>
        <v>5623</v>
      </c>
      <c r="B132" s="291" t="str">
        <f>+'A) Base RI'!B134</f>
        <v>Buchillon</v>
      </c>
      <c r="C132" s="302">
        <f>+'D) Ecrêtage'!C132</f>
        <v>89461.877418085525</v>
      </c>
      <c r="D132" s="439">
        <v>92163</v>
      </c>
      <c r="E132" s="440">
        <v>59502</v>
      </c>
      <c r="F132" s="439">
        <v>64604</v>
      </c>
      <c r="G132" s="302">
        <f t="shared" si="9"/>
        <v>216269</v>
      </c>
      <c r="H132" s="283">
        <f t="shared" si="10"/>
        <v>715695.0193446842</v>
      </c>
      <c r="I132" s="10">
        <f t="shared" si="11"/>
        <v>0</v>
      </c>
      <c r="J132" s="447">
        <f t="shared" si="12"/>
        <v>0</v>
      </c>
      <c r="K132" s="10">
        <v>10740</v>
      </c>
      <c r="L132" s="397">
        <f t="shared" si="13"/>
        <v>89461.877418085525</v>
      </c>
      <c r="M132" s="14">
        <f t="shared" si="14"/>
        <v>0</v>
      </c>
      <c r="N132" s="2">
        <f t="shared" si="15"/>
        <v>0</v>
      </c>
      <c r="O132" s="130">
        <f t="shared" si="16"/>
        <v>0</v>
      </c>
      <c r="P132" s="438">
        <f t="shared" si="17"/>
        <v>0</v>
      </c>
      <c r="Q132" s="126"/>
    </row>
    <row r="133" spans="1:17" x14ac:dyDescent="0.25">
      <c r="A133" s="49">
        <f>+'A) Base RI'!A135</f>
        <v>5624</v>
      </c>
      <c r="B133" s="291" t="str">
        <f>+'A) Base RI'!B135</f>
        <v>Bussigny</v>
      </c>
      <c r="C133" s="302">
        <f>+'D) Ecrêtage'!C133</f>
        <v>400390.10765672859</v>
      </c>
      <c r="D133" s="439">
        <v>1719900</v>
      </c>
      <c r="E133" s="440">
        <v>2607398</v>
      </c>
      <c r="F133" s="439">
        <v>265496</v>
      </c>
      <c r="G133" s="302">
        <f t="shared" ref="G133:G196" si="18">SUM(D133:F133)</f>
        <v>4592794</v>
      </c>
      <c r="H133" s="283">
        <f t="shared" ref="H133:H196" si="19">+C133*$I$4</f>
        <v>3203120.8612538287</v>
      </c>
      <c r="I133" s="10">
        <f t="shared" ref="I133:I196" si="20">IF(G133&gt;H133,G133-H133,0)</f>
        <v>1389673.1387461713</v>
      </c>
      <c r="J133" s="447">
        <f t="shared" ref="J133:J196" si="21">-I133*J$4</f>
        <v>-1000679.9949363392</v>
      </c>
      <c r="K133" s="10">
        <v>207420</v>
      </c>
      <c r="L133" s="397">
        <f t="shared" ref="L133:L196" si="22">C133*M$4</f>
        <v>400390.10765672859</v>
      </c>
      <c r="M133" s="14">
        <f t="shared" ref="M133:M196" si="23">IF(K133&gt;L133,K133-L133,0)</f>
        <v>0</v>
      </c>
      <c r="N133" s="2">
        <f t="shared" ref="N133:N196" si="24">-M133*N$4</f>
        <v>0</v>
      </c>
      <c r="O133" s="130">
        <f t="shared" ref="O133:O196" si="25">N133+J133</f>
        <v>-1000679.9949363392</v>
      </c>
      <c r="P133" s="438">
        <f t="shared" ref="P133:P196" si="26">+O133/C133</f>
        <v>-2.4992625337144059</v>
      </c>
      <c r="Q133" s="126"/>
    </row>
    <row r="134" spans="1:17" x14ac:dyDescent="0.25">
      <c r="A134" s="49">
        <f>+'A) Base RI'!A136</f>
        <v>5625</v>
      </c>
      <c r="B134" s="291" t="str">
        <f>+'A) Base RI'!B136</f>
        <v>Bussy-Chardonney</v>
      </c>
      <c r="C134" s="302">
        <f>+'D) Ecrêtage'!C134</f>
        <v>16815.127999439792</v>
      </c>
      <c r="D134" s="439">
        <v>99958</v>
      </c>
      <c r="E134" s="440">
        <v>32180</v>
      </c>
      <c r="F134" s="439">
        <v>48760</v>
      </c>
      <c r="G134" s="302">
        <f t="shared" si="18"/>
        <v>180898</v>
      </c>
      <c r="H134" s="283">
        <f t="shared" si="19"/>
        <v>134521.02399551834</v>
      </c>
      <c r="I134" s="10">
        <f t="shared" si="20"/>
        <v>46376.976004481665</v>
      </c>
      <c r="J134" s="447">
        <f t="shared" si="21"/>
        <v>-33395.271750880493</v>
      </c>
      <c r="K134" s="10">
        <v>10598</v>
      </c>
      <c r="L134" s="397">
        <f t="shared" si="22"/>
        <v>16815.127999439792</v>
      </c>
      <c r="M134" s="14">
        <f t="shared" si="23"/>
        <v>0</v>
      </c>
      <c r="N134" s="2">
        <f t="shared" si="24"/>
        <v>0</v>
      </c>
      <c r="O134" s="130">
        <f t="shared" si="25"/>
        <v>-33395.271750880493</v>
      </c>
      <c r="P134" s="438">
        <f t="shared" si="26"/>
        <v>-1.9860254261515631</v>
      </c>
      <c r="Q134" s="126"/>
    </row>
    <row r="135" spans="1:17" x14ac:dyDescent="0.25">
      <c r="A135" s="49">
        <f>+'A) Base RI'!A137</f>
        <v>5627</v>
      </c>
      <c r="B135" s="291" t="str">
        <f>+'A) Base RI'!B137</f>
        <v>Chavannes-près-Renens</v>
      </c>
      <c r="C135" s="302">
        <f>+'D) Ecrêtage'!C135</f>
        <v>214338.77376035714</v>
      </c>
      <c r="D135" s="439">
        <v>882061</v>
      </c>
      <c r="E135" s="440">
        <v>2572677</v>
      </c>
      <c r="F135" s="439">
        <v>7077</v>
      </c>
      <c r="G135" s="302">
        <f t="shared" si="18"/>
        <v>3461815</v>
      </c>
      <c r="H135" s="283">
        <f t="shared" si="19"/>
        <v>1714710.1900828572</v>
      </c>
      <c r="I135" s="10">
        <f t="shared" si="20"/>
        <v>1747104.8099171428</v>
      </c>
      <c r="J135" s="447">
        <f t="shared" si="21"/>
        <v>-1258060.4629938612</v>
      </c>
      <c r="K135" s="10">
        <v>11096</v>
      </c>
      <c r="L135" s="397">
        <f t="shared" si="22"/>
        <v>214338.77376035714</v>
      </c>
      <c r="M135" s="14">
        <f t="shared" si="23"/>
        <v>0</v>
      </c>
      <c r="N135" s="2">
        <f t="shared" si="24"/>
        <v>0</v>
      </c>
      <c r="O135" s="130">
        <f t="shared" si="25"/>
        <v>-1258060.4629938612</v>
      </c>
      <c r="P135" s="438">
        <f t="shared" si="26"/>
        <v>-5.8694954763548468</v>
      </c>
      <c r="Q135" s="126"/>
    </row>
    <row r="136" spans="1:17" x14ac:dyDescent="0.25">
      <c r="A136" s="49">
        <f>+'A) Base RI'!A138</f>
        <v>5628</v>
      </c>
      <c r="B136" s="291" t="str">
        <f>+'A) Base RI'!B138</f>
        <v>Chigny</v>
      </c>
      <c r="C136" s="302">
        <f>+'D) Ecrêtage'!C136</f>
        <v>22372.02129032258</v>
      </c>
      <c r="D136" s="439">
        <v>14336</v>
      </c>
      <c r="E136" s="440">
        <v>30640</v>
      </c>
      <c r="F136" s="439">
        <v>37351</v>
      </c>
      <c r="G136" s="302">
        <f t="shared" si="18"/>
        <v>82327</v>
      </c>
      <c r="H136" s="283">
        <f t="shared" si="19"/>
        <v>178976.17032258064</v>
      </c>
      <c r="I136" s="10">
        <f t="shared" si="20"/>
        <v>0</v>
      </c>
      <c r="J136" s="447">
        <f t="shared" si="21"/>
        <v>0</v>
      </c>
      <c r="K136" s="10">
        <v>2038</v>
      </c>
      <c r="L136" s="397">
        <f t="shared" si="22"/>
        <v>22372.02129032258</v>
      </c>
      <c r="M136" s="14">
        <f t="shared" si="23"/>
        <v>0</v>
      </c>
      <c r="N136" s="2">
        <f t="shared" si="24"/>
        <v>0</v>
      </c>
      <c r="O136" s="130">
        <f t="shared" si="25"/>
        <v>0</v>
      </c>
      <c r="P136" s="438">
        <f t="shared" si="26"/>
        <v>0</v>
      </c>
      <c r="Q136" s="126"/>
    </row>
    <row r="137" spans="1:17" x14ac:dyDescent="0.25">
      <c r="A137" s="49">
        <f>+'A) Base RI'!A139</f>
        <v>5629</v>
      </c>
      <c r="B137" s="291" t="str">
        <f>+'A) Base RI'!B139</f>
        <v>Clarmont</v>
      </c>
      <c r="C137" s="302">
        <f>+'D) Ecrêtage'!C137</f>
        <v>6749.9170666666651</v>
      </c>
      <c r="D137" s="439">
        <v>84594</v>
      </c>
      <c r="E137" s="440">
        <v>6505</v>
      </c>
      <c r="F137" s="439">
        <v>26059</v>
      </c>
      <c r="G137" s="302">
        <f t="shared" si="18"/>
        <v>117158</v>
      </c>
      <c r="H137" s="283">
        <f t="shared" si="19"/>
        <v>53999.33653333332</v>
      </c>
      <c r="I137" s="10">
        <f t="shared" si="20"/>
        <v>63158.66346666668</v>
      </c>
      <c r="J137" s="447">
        <f t="shared" si="21"/>
        <v>-45479.479509140867</v>
      </c>
      <c r="K137" s="10">
        <v>131</v>
      </c>
      <c r="L137" s="397">
        <f t="shared" si="22"/>
        <v>6749.9170666666651</v>
      </c>
      <c r="M137" s="14">
        <f t="shared" si="23"/>
        <v>0</v>
      </c>
      <c r="N137" s="2">
        <f t="shared" si="24"/>
        <v>0</v>
      </c>
      <c r="O137" s="130">
        <f t="shared" si="25"/>
        <v>-45479.479509140867</v>
      </c>
      <c r="P137" s="438">
        <f t="shared" si="26"/>
        <v>-6.7377834512565586</v>
      </c>
      <c r="Q137" s="126"/>
    </row>
    <row r="138" spans="1:17" x14ac:dyDescent="0.25">
      <c r="A138" s="49">
        <f>+'A) Base RI'!A140</f>
        <v>5631</v>
      </c>
      <c r="B138" s="291" t="str">
        <f>+'A) Base RI'!B140</f>
        <v>Denens</v>
      </c>
      <c r="C138" s="302">
        <f>+'D) Ecrêtage'!C138</f>
        <v>51374.095571428574</v>
      </c>
      <c r="D138" s="439">
        <v>88840</v>
      </c>
      <c r="E138" s="440">
        <v>25573</v>
      </c>
      <c r="F138" s="439">
        <v>68466</v>
      </c>
      <c r="G138" s="302">
        <f t="shared" si="18"/>
        <v>182879</v>
      </c>
      <c r="H138" s="283">
        <f t="shared" si="19"/>
        <v>410992.76457142859</v>
      </c>
      <c r="I138" s="10">
        <f t="shared" si="20"/>
        <v>0</v>
      </c>
      <c r="J138" s="447">
        <f t="shared" si="21"/>
        <v>0</v>
      </c>
      <c r="K138" s="10">
        <v>2335</v>
      </c>
      <c r="L138" s="397">
        <f t="shared" si="22"/>
        <v>51374.095571428574</v>
      </c>
      <c r="M138" s="14">
        <f t="shared" si="23"/>
        <v>0</v>
      </c>
      <c r="N138" s="2">
        <f t="shared" si="24"/>
        <v>0</v>
      </c>
      <c r="O138" s="130">
        <f t="shared" si="25"/>
        <v>0</v>
      </c>
      <c r="P138" s="438">
        <f t="shared" si="26"/>
        <v>0</v>
      </c>
      <c r="Q138" s="126"/>
    </row>
    <row r="139" spans="1:17" x14ac:dyDescent="0.25">
      <c r="A139" s="49">
        <f>+'A) Base RI'!A141</f>
        <v>5632</v>
      </c>
      <c r="B139" s="291" t="str">
        <f>+'A) Base RI'!B141</f>
        <v>Denges</v>
      </c>
      <c r="C139" s="302">
        <f>+'D) Ecrêtage'!C139</f>
        <v>73160.20406689003</v>
      </c>
      <c r="D139" s="439">
        <v>266140</v>
      </c>
      <c r="E139" s="440">
        <v>474111</v>
      </c>
      <c r="F139" s="439">
        <v>57123</v>
      </c>
      <c r="G139" s="302">
        <f t="shared" si="18"/>
        <v>797374</v>
      </c>
      <c r="H139" s="283">
        <f t="shared" si="19"/>
        <v>585281.63253512024</v>
      </c>
      <c r="I139" s="10">
        <f t="shared" si="20"/>
        <v>212092.36746487976</v>
      </c>
      <c r="J139" s="447">
        <f t="shared" si="21"/>
        <v>-152724.10704597912</v>
      </c>
      <c r="K139" s="10">
        <v>6412</v>
      </c>
      <c r="L139" s="397">
        <f t="shared" si="22"/>
        <v>73160.20406689003</v>
      </c>
      <c r="M139" s="14">
        <f t="shared" si="23"/>
        <v>0</v>
      </c>
      <c r="N139" s="2">
        <f t="shared" si="24"/>
        <v>0</v>
      </c>
      <c r="O139" s="130">
        <f t="shared" si="25"/>
        <v>-152724.10704597912</v>
      </c>
      <c r="P139" s="438">
        <f t="shared" si="26"/>
        <v>-2.0875298120593566</v>
      </c>
      <c r="Q139" s="126"/>
    </row>
    <row r="140" spans="1:17" x14ac:dyDescent="0.25">
      <c r="A140" s="49">
        <f>+'A) Base RI'!A142</f>
        <v>5633</v>
      </c>
      <c r="B140" s="291" t="str">
        <f>+'A) Base RI'!B142</f>
        <v>Echandens</v>
      </c>
      <c r="C140" s="302">
        <f>+'D) Ecrêtage'!C140</f>
        <v>160114.83181506293</v>
      </c>
      <c r="D140" s="439">
        <v>1013289</v>
      </c>
      <c r="E140" s="440">
        <v>857110</v>
      </c>
      <c r="F140" s="439">
        <v>158484</v>
      </c>
      <c r="G140" s="302">
        <f t="shared" si="18"/>
        <v>2028883</v>
      </c>
      <c r="H140" s="283">
        <f t="shared" si="19"/>
        <v>1280918.6545205035</v>
      </c>
      <c r="I140" s="10">
        <f t="shared" si="20"/>
        <v>747964.34547949652</v>
      </c>
      <c r="J140" s="447">
        <f t="shared" si="21"/>
        <v>-538596.40557080391</v>
      </c>
      <c r="K140" s="10">
        <v>12460</v>
      </c>
      <c r="L140" s="397">
        <f t="shared" si="22"/>
        <v>160114.83181506293</v>
      </c>
      <c r="M140" s="14">
        <f t="shared" si="23"/>
        <v>0</v>
      </c>
      <c r="N140" s="2">
        <f t="shared" si="24"/>
        <v>0</v>
      </c>
      <c r="O140" s="130">
        <f t="shared" si="25"/>
        <v>-538596.40557080391</v>
      </c>
      <c r="P140" s="438">
        <f t="shared" si="26"/>
        <v>-3.3638133298787567</v>
      </c>
      <c r="Q140" s="126"/>
    </row>
    <row r="141" spans="1:17" x14ac:dyDescent="0.25">
      <c r="A141" s="49">
        <f>+'A) Base RI'!A143</f>
        <v>5634</v>
      </c>
      <c r="B141" s="291" t="str">
        <f>+'A) Base RI'!B143</f>
        <v>Echichens</v>
      </c>
      <c r="C141" s="302">
        <f>+'D) Ecrêtage'!C141</f>
        <v>173888.96393435504</v>
      </c>
      <c r="D141" s="439">
        <v>330919</v>
      </c>
      <c r="E141" s="440">
        <v>581485</v>
      </c>
      <c r="F141" s="439">
        <v>237754</v>
      </c>
      <c r="G141" s="302">
        <f t="shared" si="18"/>
        <v>1150158</v>
      </c>
      <c r="H141" s="283">
        <f t="shared" si="19"/>
        <v>1391111.7114748403</v>
      </c>
      <c r="I141" s="10">
        <f t="shared" si="20"/>
        <v>0</v>
      </c>
      <c r="J141" s="447">
        <f t="shared" si="21"/>
        <v>0</v>
      </c>
      <c r="K141" s="10">
        <v>-463</v>
      </c>
      <c r="L141" s="397">
        <f t="shared" si="22"/>
        <v>173888.96393435504</v>
      </c>
      <c r="M141" s="14">
        <f t="shared" si="23"/>
        <v>0</v>
      </c>
      <c r="N141" s="2">
        <f t="shared" si="24"/>
        <v>0</v>
      </c>
      <c r="O141" s="130">
        <f t="shared" si="25"/>
        <v>0</v>
      </c>
      <c r="P141" s="438">
        <f t="shared" si="26"/>
        <v>0</v>
      </c>
      <c r="Q141" s="126"/>
    </row>
    <row r="142" spans="1:17" x14ac:dyDescent="0.25">
      <c r="A142" s="49">
        <f>+'A) Base RI'!A144</f>
        <v>5635</v>
      </c>
      <c r="B142" s="291" t="str">
        <f>+'A) Base RI'!B144</f>
        <v>Ecublens</v>
      </c>
      <c r="C142" s="302">
        <f>+'D) Ecrêtage'!C142</f>
        <v>488507.72683115519</v>
      </c>
      <c r="D142" s="439">
        <v>3640984</v>
      </c>
      <c r="E142" s="440">
        <v>4037512</v>
      </c>
      <c r="F142" s="439">
        <v>129780</v>
      </c>
      <c r="G142" s="302">
        <f t="shared" si="18"/>
        <v>7808276</v>
      </c>
      <c r="H142" s="283">
        <f t="shared" si="19"/>
        <v>3908061.8146492415</v>
      </c>
      <c r="I142" s="10">
        <f t="shared" si="20"/>
        <v>3900214.1853507585</v>
      </c>
      <c r="J142" s="447">
        <f t="shared" si="21"/>
        <v>-2808477.9092505062</v>
      </c>
      <c r="K142" s="10">
        <v>149836</v>
      </c>
      <c r="L142" s="397">
        <f t="shared" si="22"/>
        <v>488507.72683115519</v>
      </c>
      <c r="M142" s="14">
        <f t="shared" si="23"/>
        <v>0</v>
      </c>
      <c r="N142" s="2">
        <f t="shared" si="24"/>
        <v>0</v>
      </c>
      <c r="O142" s="130">
        <f t="shared" si="25"/>
        <v>-2808477.9092505062</v>
      </c>
      <c r="P142" s="438">
        <f t="shared" si="26"/>
        <v>-5.7490961861923857</v>
      </c>
      <c r="Q142" s="126"/>
    </row>
    <row r="143" spans="1:17" x14ac:dyDescent="0.25">
      <c r="A143" s="49">
        <f>+'A) Base RI'!A145</f>
        <v>5636</v>
      </c>
      <c r="B143" s="291" t="str">
        <f>+'A) Base RI'!B145</f>
        <v>Etoy</v>
      </c>
      <c r="C143" s="302">
        <f>+'D) Ecrêtage'!C143</f>
        <v>176831.6240274295</v>
      </c>
      <c r="D143" s="439">
        <v>1020815</v>
      </c>
      <c r="E143" s="440">
        <v>315654</v>
      </c>
      <c r="F143" s="439">
        <v>318677</v>
      </c>
      <c r="G143" s="302">
        <f t="shared" si="18"/>
        <v>1655146</v>
      </c>
      <c r="H143" s="283">
        <f t="shared" si="19"/>
        <v>1414652.992219436</v>
      </c>
      <c r="I143" s="10">
        <f t="shared" si="20"/>
        <v>240493.00778056402</v>
      </c>
      <c r="J143" s="447">
        <f t="shared" si="21"/>
        <v>-173174.9251663679</v>
      </c>
      <c r="K143" s="10">
        <v>14147</v>
      </c>
      <c r="L143" s="397">
        <f t="shared" si="22"/>
        <v>176831.6240274295</v>
      </c>
      <c r="M143" s="14">
        <f t="shared" si="23"/>
        <v>0</v>
      </c>
      <c r="N143" s="2">
        <f t="shared" si="24"/>
        <v>0</v>
      </c>
      <c r="O143" s="130">
        <f t="shared" si="25"/>
        <v>-173174.9251663679</v>
      </c>
      <c r="P143" s="438">
        <f t="shared" si="26"/>
        <v>-0.97932101296262264</v>
      </c>
      <c r="Q143" s="126"/>
    </row>
    <row r="144" spans="1:17" x14ac:dyDescent="0.25">
      <c r="A144" s="49">
        <f>+'A) Base RI'!A146</f>
        <v>5637</v>
      </c>
      <c r="B144" s="291" t="str">
        <f>+'A) Base RI'!B146</f>
        <v>Lavigny</v>
      </c>
      <c r="C144" s="302">
        <f>+'D) Ecrêtage'!C144</f>
        <v>37137.682399987621</v>
      </c>
      <c r="D144" s="439">
        <v>365506</v>
      </c>
      <c r="E144" s="440">
        <v>57251</v>
      </c>
      <c r="F144" s="439">
        <v>120917</v>
      </c>
      <c r="G144" s="302">
        <f t="shared" si="18"/>
        <v>543674</v>
      </c>
      <c r="H144" s="283">
        <f t="shared" si="19"/>
        <v>297101.45919990097</v>
      </c>
      <c r="I144" s="10">
        <f t="shared" si="20"/>
        <v>246572.54080009903</v>
      </c>
      <c r="J144" s="447">
        <f t="shared" si="21"/>
        <v>-177552.69350741289</v>
      </c>
      <c r="K144" s="10">
        <v>0</v>
      </c>
      <c r="L144" s="397">
        <f t="shared" si="22"/>
        <v>37137.682399987621</v>
      </c>
      <c r="M144" s="14">
        <f t="shared" si="23"/>
        <v>0</v>
      </c>
      <c r="N144" s="2">
        <f t="shared" si="24"/>
        <v>0</v>
      </c>
      <c r="O144" s="130">
        <f t="shared" si="25"/>
        <v>-177552.69350741289</v>
      </c>
      <c r="P144" s="438">
        <f t="shared" si="26"/>
        <v>-4.7809309044947854</v>
      </c>
      <c r="Q144" s="126"/>
    </row>
    <row r="145" spans="1:17" x14ac:dyDescent="0.25">
      <c r="A145" s="49">
        <f>+'A) Base RI'!A147</f>
        <v>5638</v>
      </c>
      <c r="B145" s="291" t="str">
        <f>+'A) Base RI'!B147</f>
        <v>Lonay</v>
      </c>
      <c r="C145" s="302">
        <f>+'D) Ecrêtage'!C145</f>
        <v>154797.39129324263</v>
      </c>
      <c r="D145" s="439">
        <v>749814</v>
      </c>
      <c r="E145" s="440">
        <v>930216</v>
      </c>
      <c r="F145" s="439">
        <v>94239</v>
      </c>
      <c r="G145" s="302">
        <f t="shared" si="18"/>
        <v>1774269</v>
      </c>
      <c r="H145" s="283">
        <f t="shared" si="19"/>
        <v>1238379.1303459411</v>
      </c>
      <c r="I145" s="10">
        <f t="shared" si="20"/>
        <v>535889.86965405894</v>
      </c>
      <c r="J145" s="447">
        <f t="shared" si="21"/>
        <v>-385885.18199012836</v>
      </c>
      <c r="K145" s="10">
        <v>13879</v>
      </c>
      <c r="L145" s="397">
        <f t="shared" si="22"/>
        <v>154797.39129324263</v>
      </c>
      <c r="M145" s="14">
        <f t="shared" si="23"/>
        <v>0</v>
      </c>
      <c r="N145" s="2">
        <f t="shared" si="24"/>
        <v>0</v>
      </c>
      <c r="O145" s="130">
        <f t="shared" si="25"/>
        <v>-385885.18199012836</v>
      </c>
      <c r="P145" s="438">
        <f t="shared" si="26"/>
        <v>-2.4928403428913173</v>
      </c>
      <c r="Q145" s="126"/>
    </row>
    <row r="146" spans="1:17" x14ac:dyDescent="0.25">
      <c r="A146" s="49">
        <f>+'A) Base RI'!A148</f>
        <v>5639</v>
      </c>
      <c r="B146" s="291" t="str">
        <f>+'A) Base RI'!B148</f>
        <v>Lully</v>
      </c>
      <c r="C146" s="302">
        <f>+'D) Ecrêtage'!C146</f>
        <v>46990.489786222082</v>
      </c>
      <c r="D146" s="439">
        <v>19953</v>
      </c>
      <c r="E146" s="440">
        <v>146356</v>
      </c>
      <c r="F146" s="439">
        <v>26650</v>
      </c>
      <c r="G146" s="302">
        <f t="shared" si="18"/>
        <v>192959</v>
      </c>
      <c r="H146" s="283">
        <f t="shared" si="19"/>
        <v>375923.91828977666</v>
      </c>
      <c r="I146" s="10">
        <f t="shared" si="20"/>
        <v>0</v>
      </c>
      <c r="J146" s="447">
        <f t="shared" si="21"/>
        <v>0</v>
      </c>
      <c r="K146" s="10">
        <v>20482</v>
      </c>
      <c r="L146" s="397">
        <f t="shared" si="22"/>
        <v>46990.489786222082</v>
      </c>
      <c r="M146" s="14">
        <f t="shared" si="23"/>
        <v>0</v>
      </c>
      <c r="N146" s="2">
        <f t="shared" si="24"/>
        <v>0</v>
      </c>
      <c r="O146" s="130">
        <f t="shared" si="25"/>
        <v>0</v>
      </c>
      <c r="P146" s="438">
        <f t="shared" si="26"/>
        <v>0</v>
      </c>
      <c r="Q146" s="126"/>
    </row>
    <row r="147" spans="1:17" x14ac:dyDescent="0.25">
      <c r="A147" s="49">
        <f>+'A) Base RI'!A149</f>
        <v>5640</v>
      </c>
      <c r="B147" s="291" t="str">
        <f>+'A) Base RI'!B149</f>
        <v>Lussy-sur-Morges</v>
      </c>
      <c r="C147" s="302">
        <f>+'D) Ecrêtage'!C147</f>
        <v>60932.654829076157</v>
      </c>
      <c r="D147" s="439">
        <v>177056</v>
      </c>
      <c r="E147" s="440">
        <v>120122</v>
      </c>
      <c r="F147" s="439">
        <v>78491</v>
      </c>
      <c r="G147" s="302">
        <f t="shared" si="18"/>
        <v>375669</v>
      </c>
      <c r="H147" s="283">
        <f t="shared" si="19"/>
        <v>487461.23863260925</v>
      </c>
      <c r="I147" s="10">
        <f t="shared" si="20"/>
        <v>0</v>
      </c>
      <c r="J147" s="447">
        <f t="shared" si="21"/>
        <v>0</v>
      </c>
      <c r="K147" s="10">
        <v>8180</v>
      </c>
      <c r="L147" s="397">
        <f t="shared" si="22"/>
        <v>60932.654829076157</v>
      </c>
      <c r="M147" s="14">
        <f t="shared" si="23"/>
        <v>0</v>
      </c>
      <c r="N147" s="2">
        <f t="shared" si="24"/>
        <v>0</v>
      </c>
      <c r="O147" s="130">
        <f t="shared" si="25"/>
        <v>0</v>
      </c>
      <c r="P147" s="438">
        <f t="shared" si="26"/>
        <v>0</v>
      </c>
      <c r="Q147" s="126"/>
    </row>
    <row r="148" spans="1:17" x14ac:dyDescent="0.25">
      <c r="A148" s="49">
        <f>+'A) Base RI'!A150</f>
        <v>5642</v>
      </c>
      <c r="B148" s="291" t="str">
        <f>+'A) Base RI'!B150</f>
        <v>Morges</v>
      </c>
      <c r="C148" s="302">
        <f>+'D) Ecrêtage'!C148</f>
        <v>860073.47085290938</v>
      </c>
      <c r="D148" s="439">
        <v>3342677</v>
      </c>
      <c r="E148" s="440">
        <v>4612864</v>
      </c>
      <c r="F148" s="439">
        <v>88825</v>
      </c>
      <c r="G148" s="302">
        <f t="shared" si="18"/>
        <v>8044366</v>
      </c>
      <c r="H148" s="283">
        <f t="shared" si="19"/>
        <v>6880587.766823275</v>
      </c>
      <c r="I148" s="10">
        <f t="shared" si="20"/>
        <v>1163778.233176725</v>
      </c>
      <c r="J148" s="447">
        <f t="shared" si="21"/>
        <v>-838016.91492219293</v>
      </c>
      <c r="K148" s="10">
        <v>7062</v>
      </c>
      <c r="L148" s="397">
        <f t="shared" si="22"/>
        <v>860073.47085290938</v>
      </c>
      <c r="M148" s="14">
        <f t="shared" si="23"/>
        <v>0</v>
      </c>
      <c r="N148" s="2">
        <f t="shared" si="24"/>
        <v>0</v>
      </c>
      <c r="O148" s="130">
        <f t="shared" si="25"/>
        <v>-838016.91492219293</v>
      </c>
      <c r="P148" s="438">
        <f t="shared" si="26"/>
        <v>-0.97435503282197089</v>
      </c>
      <c r="Q148" s="126"/>
    </row>
    <row r="149" spans="1:17" x14ac:dyDescent="0.25">
      <c r="A149" s="49">
        <f>+'A) Base RI'!A151</f>
        <v>5643</v>
      </c>
      <c r="B149" s="291" t="str">
        <f>+'A) Base RI'!B151</f>
        <v>Préverenges</v>
      </c>
      <c r="C149" s="302">
        <f>+'D) Ecrêtage'!C149</f>
        <v>258751.58879529274</v>
      </c>
      <c r="D149" s="439">
        <v>194799</v>
      </c>
      <c r="E149" s="440">
        <v>1160185</v>
      </c>
      <c r="F149" s="439">
        <v>126196</v>
      </c>
      <c r="G149" s="302">
        <f t="shared" si="18"/>
        <v>1481180</v>
      </c>
      <c r="H149" s="283">
        <f t="shared" si="19"/>
        <v>2070012.710362342</v>
      </c>
      <c r="I149" s="10">
        <f t="shared" si="20"/>
        <v>0</v>
      </c>
      <c r="J149" s="447">
        <f t="shared" si="21"/>
        <v>0</v>
      </c>
      <c r="K149" s="10">
        <v>150</v>
      </c>
      <c r="L149" s="397">
        <f t="shared" si="22"/>
        <v>258751.58879529274</v>
      </c>
      <c r="M149" s="14">
        <f t="shared" si="23"/>
        <v>0</v>
      </c>
      <c r="N149" s="2">
        <f t="shared" si="24"/>
        <v>0</v>
      </c>
      <c r="O149" s="130">
        <f t="shared" si="25"/>
        <v>0</v>
      </c>
      <c r="P149" s="438">
        <f t="shared" si="26"/>
        <v>0</v>
      </c>
      <c r="Q149" s="126"/>
    </row>
    <row r="150" spans="1:17" x14ac:dyDescent="0.25">
      <c r="A150" s="49">
        <f>+'A) Base RI'!A152</f>
        <v>5644</v>
      </c>
      <c r="B150" s="291" t="str">
        <f>+'A) Base RI'!B152</f>
        <v>Reverolle</v>
      </c>
      <c r="C150" s="302">
        <f>+'D) Ecrêtage'!C150</f>
        <v>16806.032344441897</v>
      </c>
      <c r="D150" s="439">
        <v>115847</v>
      </c>
      <c r="E150" s="440">
        <v>27319</v>
      </c>
      <c r="F150" s="439">
        <v>59017</v>
      </c>
      <c r="G150" s="302">
        <f t="shared" si="18"/>
        <v>202183</v>
      </c>
      <c r="H150" s="283">
        <f t="shared" si="19"/>
        <v>134448.25875553518</v>
      </c>
      <c r="I150" s="10">
        <f t="shared" si="20"/>
        <v>67734.741244464822</v>
      </c>
      <c r="J150" s="447">
        <f t="shared" si="21"/>
        <v>-48774.635297822868</v>
      </c>
      <c r="K150" s="10">
        <v>9774</v>
      </c>
      <c r="L150" s="397">
        <f t="shared" si="22"/>
        <v>16806.032344441897</v>
      </c>
      <c r="M150" s="14">
        <f t="shared" si="23"/>
        <v>0</v>
      </c>
      <c r="N150" s="2">
        <f t="shared" si="24"/>
        <v>0</v>
      </c>
      <c r="O150" s="130">
        <f t="shared" si="25"/>
        <v>-48774.635297822868</v>
      </c>
      <c r="P150" s="438">
        <f t="shared" si="26"/>
        <v>-2.9022100099642882</v>
      </c>
      <c r="Q150" s="126"/>
    </row>
    <row r="151" spans="1:17" x14ac:dyDescent="0.25">
      <c r="A151" s="49">
        <f>+'A) Base RI'!A153</f>
        <v>5645</v>
      </c>
      <c r="B151" s="291" t="str">
        <f>+'A) Base RI'!B153</f>
        <v>Romanel-sur-Morges</v>
      </c>
      <c r="C151" s="302">
        <f>+'D) Ecrêtage'!C151</f>
        <v>30104.624556076433</v>
      </c>
      <c r="D151" s="439">
        <v>128828</v>
      </c>
      <c r="E151" s="440">
        <v>15679</v>
      </c>
      <c r="F151" s="439">
        <v>37017</v>
      </c>
      <c r="G151" s="302">
        <f t="shared" si="18"/>
        <v>181524</v>
      </c>
      <c r="H151" s="283">
        <f t="shared" si="19"/>
        <v>240836.99644861146</v>
      </c>
      <c r="I151" s="10">
        <f t="shared" si="20"/>
        <v>0</v>
      </c>
      <c r="J151" s="447">
        <f t="shared" si="21"/>
        <v>0</v>
      </c>
      <c r="K151" s="10">
        <v>2995</v>
      </c>
      <c r="L151" s="397">
        <f t="shared" si="22"/>
        <v>30104.624556076433</v>
      </c>
      <c r="M151" s="14">
        <f t="shared" si="23"/>
        <v>0</v>
      </c>
      <c r="N151" s="2">
        <f t="shared" si="24"/>
        <v>0</v>
      </c>
      <c r="O151" s="130">
        <f t="shared" si="25"/>
        <v>0</v>
      </c>
      <c r="P151" s="438">
        <f t="shared" si="26"/>
        <v>0</v>
      </c>
      <c r="Q151" s="126"/>
    </row>
    <row r="152" spans="1:17" x14ac:dyDescent="0.25">
      <c r="A152" s="49">
        <f>+'A) Base RI'!A154</f>
        <v>5646</v>
      </c>
      <c r="B152" s="291" t="str">
        <f>+'A) Base RI'!B154</f>
        <v>Saint-Prex</v>
      </c>
      <c r="C152" s="302">
        <f>+'D) Ecrêtage'!C152</f>
        <v>410896.75287158613</v>
      </c>
      <c r="D152" s="439">
        <v>543112</v>
      </c>
      <c r="E152" s="440">
        <v>486470</v>
      </c>
      <c r="F152" s="439">
        <v>109778</v>
      </c>
      <c r="G152" s="302">
        <f t="shared" si="18"/>
        <v>1139360</v>
      </c>
      <c r="H152" s="283">
        <f t="shared" si="19"/>
        <v>3287174.022972689</v>
      </c>
      <c r="I152" s="10">
        <f t="shared" si="20"/>
        <v>0</v>
      </c>
      <c r="J152" s="447">
        <f t="shared" si="21"/>
        <v>0</v>
      </c>
      <c r="K152" s="10">
        <v>11495</v>
      </c>
      <c r="L152" s="397">
        <f t="shared" si="22"/>
        <v>410896.75287158613</v>
      </c>
      <c r="M152" s="14">
        <f t="shared" si="23"/>
        <v>0</v>
      </c>
      <c r="N152" s="2">
        <f t="shared" si="24"/>
        <v>0</v>
      </c>
      <c r="O152" s="130">
        <f t="shared" si="25"/>
        <v>0</v>
      </c>
      <c r="P152" s="438">
        <f t="shared" si="26"/>
        <v>0</v>
      </c>
      <c r="Q152" s="126"/>
    </row>
    <row r="153" spans="1:17" x14ac:dyDescent="0.25">
      <c r="A153" s="49">
        <f>+'A) Base RI'!A155</f>
        <v>5648</v>
      </c>
      <c r="B153" s="291" t="str">
        <f>+'A) Base RI'!B155</f>
        <v>Saint-Sulpice</v>
      </c>
      <c r="C153" s="302">
        <f>+'D) Ecrêtage'!C153</f>
        <v>382700.93610668415</v>
      </c>
      <c r="D153" s="439">
        <v>843015</v>
      </c>
      <c r="E153" s="440">
        <v>2155734</v>
      </c>
      <c r="F153" s="439">
        <v>60089</v>
      </c>
      <c r="G153" s="302">
        <f t="shared" si="18"/>
        <v>3058838</v>
      </c>
      <c r="H153" s="283">
        <f t="shared" si="19"/>
        <v>3061607.4888534732</v>
      </c>
      <c r="I153" s="10">
        <f t="shared" si="20"/>
        <v>0</v>
      </c>
      <c r="J153" s="447">
        <f t="shared" si="21"/>
        <v>0</v>
      </c>
      <c r="K153" s="10">
        <v>35449</v>
      </c>
      <c r="L153" s="397">
        <f t="shared" si="22"/>
        <v>382700.93610668415</v>
      </c>
      <c r="M153" s="14">
        <f t="shared" si="23"/>
        <v>0</v>
      </c>
      <c r="N153" s="2">
        <f t="shared" si="24"/>
        <v>0</v>
      </c>
      <c r="O153" s="130">
        <f t="shared" si="25"/>
        <v>0</v>
      </c>
      <c r="P153" s="438">
        <f t="shared" si="26"/>
        <v>0</v>
      </c>
      <c r="Q153" s="126"/>
    </row>
    <row r="154" spans="1:17" x14ac:dyDescent="0.25">
      <c r="A154" s="49">
        <f>+'A) Base RI'!A156</f>
        <v>5649</v>
      </c>
      <c r="B154" s="291" t="str">
        <f>+'A) Base RI'!B156</f>
        <v>Tolochenaz</v>
      </c>
      <c r="C154" s="302">
        <f>+'D) Ecrêtage'!C154</f>
        <v>102752.22096213103</v>
      </c>
      <c r="D154" s="439">
        <v>824975</v>
      </c>
      <c r="E154" s="440">
        <v>665443</v>
      </c>
      <c r="F154" s="439">
        <v>28649</v>
      </c>
      <c r="G154" s="302">
        <f t="shared" si="18"/>
        <v>1519067</v>
      </c>
      <c r="H154" s="283">
        <f t="shared" si="19"/>
        <v>822017.76769704826</v>
      </c>
      <c r="I154" s="10">
        <f t="shared" si="20"/>
        <v>697049.23230295174</v>
      </c>
      <c r="J154" s="447">
        <f t="shared" si="21"/>
        <v>-501933.29841622704</v>
      </c>
      <c r="K154" s="10">
        <v>10493</v>
      </c>
      <c r="L154" s="397">
        <f t="shared" si="22"/>
        <v>102752.22096213103</v>
      </c>
      <c r="M154" s="14">
        <f t="shared" si="23"/>
        <v>0</v>
      </c>
      <c r="N154" s="2">
        <f t="shared" si="24"/>
        <v>0</v>
      </c>
      <c r="O154" s="130">
        <f t="shared" si="25"/>
        <v>-501933.29841622704</v>
      </c>
      <c r="P154" s="438">
        <f t="shared" si="26"/>
        <v>-4.8848900171336718</v>
      </c>
      <c r="Q154" s="126"/>
    </row>
    <row r="155" spans="1:17" x14ac:dyDescent="0.25">
      <c r="A155" s="49">
        <f>+'A) Base RI'!A157</f>
        <v>5650</v>
      </c>
      <c r="B155" s="291" t="str">
        <f>+'A) Base RI'!B157</f>
        <v>Vaux-sur-Morges</v>
      </c>
      <c r="C155" s="302">
        <f>+'D) Ecrêtage'!C155</f>
        <v>91360.78017857144</v>
      </c>
      <c r="D155" s="439">
        <v>28656</v>
      </c>
      <c r="E155" s="440">
        <v>6299</v>
      </c>
      <c r="F155" s="439">
        <v>25010</v>
      </c>
      <c r="G155" s="302">
        <f t="shared" si="18"/>
        <v>59965</v>
      </c>
      <c r="H155" s="283">
        <f t="shared" si="19"/>
        <v>730886.24142857152</v>
      </c>
      <c r="I155" s="10">
        <f t="shared" si="20"/>
        <v>0</v>
      </c>
      <c r="J155" s="447">
        <f t="shared" si="21"/>
        <v>0</v>
      </c>
      <c r="K155" s="10">
        <v>2910</v>
      </c>
      <c r="L155" s="397">
        <f t="shared" si="22"/>
        <v>91360.78017857144</v>
      </c>
      <c r="M155" s="14">
        <f t="shared" si="23"/>
        <v>0</v>
      </c>
      <c r="N155" s="2">
        <f t="shared" si="24"/>
        <v>0</v>
      </c>
      <c r="O155" s="130">
        <f t="shared" si="25"/>
        <v>0</v>
      </c>
      <c r="P155" s="438">
        <f t="shared" si="26"/>
        <v>0</v>
      </c>
      <c r="Q155" s="126"/>
    </row>
    <row r="156" spans="1:17" x14ac:dyDescent="0.25">
      <c r="A156" s="49">
        <f>+'A) Base RI'!A158</f>
        <v>5651</v>
      </c>
      <c r="B156" s="291" t="str">
        <f>+'A) Base RI'!B158</f>
        <v>Villars-Sainte-Croix</v>
      </c>
      <c r="C156" s="302">
        <f>+'D) Ecrêtage'!C156</f>
        <v>58663.104123472025</v>
      </c>
      <c r="D156" s="439">
        <v>152388</v>
      </c>
      <c r="E156" s="440">
        <v>180899</v>
      </c>
      <c r="F156" s="439">
        <v>25809</v>
      </c>
      <c r="G156" s="302">
        <f t="shared" si="18"/>
        <v>359096</v>
      </c>
      <c r="H156" s="283">
        <f t="shared" si="19"/>
        <v>469304.8329877762</v>
      </c>
      <c r="I156" s="10">
        <f t="shared" si="20"/>
        <v>0</v>
      </c>
      <c r="J156" s="447">
        <f t="shared" si="21"/>
        <v>0</v>
      </c>
      <c r="K156" s="10">
        <v>17774</v>
      </c>
      <c r="L156" s="397">
        <f t="shared" si="22"/>
        <v>58663.104123472025</v>
      </c>
      <c r="M156" s="14">
        <f t="shared" si="23"/>
        <v>0</v>
      </c>
      <c r="N156" s="2">
        <f t="shared" si="24"/>
        <v>0</v>
      </c>
      <c r="O156" s="130">
        <f t="shared" si="25"/>
        <v>0</v>
      </c>
      <c r="P156" s="438">
        <f t="shared" si="26"/>
        <v>0</v>
      </c>
      <c r="Q156" s="126"/>
    </row>
    <row r="157" spans="1:17" x14ac:dyDescent="0.25">
      <c r="A157" s="49">
        <f>+'A) Base RI'!A159</f>
        <v>5652</v>
      </c>
      <c r="B157" s="291" t="str">
        <f>+'A) Base RI'!B159</f>
        <v>Villars-sous-Yens</v>
      </c>
      <c r="C157" s="302">
        <f>+'D) Ecrêtage'!C157</f>
        <v>32914.720873332524</v>
      </c>
      <c r="D157" s="439">
        <v>83574</v>
      </c>
      <c r="E157" s="440">
        <v>41629</v>
      </c>
      <c r="F157" s="439">
        <v>63064</v>
      </c>
      <c r="G157" s="302">
        <f t="shared" si="18"/>
        <v>188267</v>
      </c>
      <c r="H157" s="283">
        <f t="shared" si="19"/>
        <v>263317.76698666019</v>
      </c>
      <c r="I157" s="10">
        <f t="shared" si="20"/>
        <v>0</v>
      </c>
      <c r="J157" s="447">
        <f t="shared" si="21"/>
        <v>0</v>
      </c>
      <c r="K157" s="10">
        <v>180</v>
      </c>
      <c r="L157" s="397">
        <f t="shared" si="22"/>
        <v>32914.720873332524</v>
      </c>
      <c r="M157" s="14">
        <f t="shared" si="23"/>
        <v>0</v>
      </c>
      <c r="N157" s="2">
        <f t="shared" si="24"/>
        <v>0</v>
      </c>
      <c r="O157" s="130">
        <f t="shared" si="25"/>
        <v>0</v>
      </c>
      <c r="P157" s="438">
        <f t="shared" si="26"/>
        <v>0</v>
      </c>
      <c r="Q157" s="126"/>
    </row>
    <row r="158" spans="1:17" x14ac:dyDescent="0.25">
      <c r="A158" s="49">
        <f>+'A) Base RI'!A160</f>
        <v>5653</v>
      </c>
      <c r="B158" s="291" t="str">
        <f>+'A) Base RI'!B160</f>
        <v>Vufflens-le-Château</v>
      </c>
      <c r="C158" s="302">
        <f>+'D) Ecrêtage'!C158</f>
        <v>71945.00670599271</v>
      </c>
      <c r="D158" s="439">
        <v>241012</v>
      </c>
      <c r="E158" s="440">
        <v>75829</v>
      </c>
      <c r="F158" s="439">
        <v>9189</v>
      </c>
      <c r="G158" s="302">
        <f t="shared" si="18"/>
        <v>326030</v>
      </c>
      <c r="H158" s="283">
        <f t="shared" si="19"/>
        <v>575560.05364794168</v>
      </c>
      <c r="I158" s="10">
        <f t="shared" si="20"/>
        <v>0</v>
      </c>
      <c r="J158" s="447">
        <f t="shared" si="21"/>
        <v>0</v>
      </c>
      <c r="K158" s="10">
        <v>8226</v>
      </c>
      <c r="L158" s="397">
        <f t="shared" si="22"/>
        <v>71945.00670599271</v>
      </c>
      <c r="M158" s="14">
        <f t="shared" si="23"/>
        <v>0</v>
      </c>
      <c r="N158" s="2">
        <f t="shared" si="24"/>
        <v>0</v>
      </c>
      <c r="O158" s="130">
        <f t="shared" si="25"/>
        <v>0</v>
      </c>
      <c r="P158" s="438">
        <f t="shared" si="26"/>
        <v>0</v>
      </c>
      <c r="Q158" s="126"/>
    </row>
    <row r="159" spans="1:17" x14ac:dyDescent="0.25">
      <c r="A159" s="49">
        <f>+'A) Base RI'!A161</f>
        <v>5654</v>
      </c>
      <c r="B159" s="291" t="str">
        <f>+'A) Base RI'!B161</f>
        <v>Vullierens</v>
      </c>
      <c r="C159" s="302">
        <f>+'D) Ecrêtage'!C159</f>
        <v>18024.22731423103</v>
      </c>
      <c r="D159" s="439">
        <v>101069</v>
      </c>
      <c r="E159" s="440">
        <v>17357</v>
      </c>
      <c r="F159" s="439">
        <v>53026</v>
      </c>
      <c r="G159" s="302">
        <f t="shared" si="18"/>
        <v>171452</v>
      </c>
      <c r="H159" s="283">
        <f t="shared" si="19"/>
        <v>144193.81851384824</v>
      </c>
      <c r="I159" s="10">
        <f t="shared" si="20"/>
        <v>27258.181486151763</v>
      </c>
      <c r="J159" s="447">
        <f t="shared" si="21"/>
        <v>-19628.152945480764</v>
      </c>
      <c r="K159" s="10">
        <v>1352</v>
      </c>
      <c r="L159" s="397">
        <f t="shared" si="22"/>
        <v>18024.22731423103</v>
      </c>
      <c r="M159" s="14">
        <f t="shared" si="23"/>
        <v>0</v>
      </c>
      <c r="N159" s="2">
        <f t="shared" si="24"/>
        <v>0</v>
      </c>
      <c r="O159" s="130">
        <f t="shared" si="25"/>
        <v>-19628.152945480764</v>
      </c>
      <c r="P159" s="438">
        <f t="shared" si="26"/>
        <v>-1.0889872061246895</v>
      </c>
      <c r="Q159" s="126"/>
    </row>
    <row r="160" spans="1:17" x14ac:dyDescent="0.25">
      <c r="A160" s="49">
        <f>+'A) Base RI'!A162</f>
        <v>5655</v>
      </c>
      <c r="B160" s="291" t="str">
        <f>+'A) Base RI'!B162</f>
        <v>Yens</v>
      </c>
      <c r="C160" s="302">
        <f>+'D) Ecrêtage'!C160</f>
        <v>77001.825217451595</v>
      </c>
      <c r="D160" s="439">
        <v>284414</v>
      </c>
      <c r="E160" s="440">
        <v>122302</v>
      </c>
      <c r="F160" s="439">
        <v>174145</v>
      </c>
      <c r="G160" s="302">
        <f t="shared" si="18"/>
        <v>580861</v>
      </c>
      <c r="H160" s="283">
        <f t="shared" si="19"/>
        <v>616014.60173961276</v>
      </c>
      <c r="I160" s="10">
        <f t="shared" si="20"/>
        <v>0</v>
      </c>
      <c r="J160" s="447">
        <f t="shared" si="21"/>
        <v>0</v>
      </c>
      <c r="K160" s="10">
        <v>42670</v>
      </c>
      <c r="L160" s="397">
        <f t="shared" si="22"/>
        <v>77001.825217451595</v>
      </c>
      <c r="M160" s="14">
        <f t="shared" si="23"/>
        <v>0</v>
      </c>
      <c r="N160" s="2">
        <f t="shared" si="24"/>
        <v>0</v>
      </c>
      <c r="O160" s="130">
        <f t="shared" si="25"/>
        <v>0</v>
      </c>
      <c r="P160" s="438">
        <f t="shared" si="26"/>
        <v>0</v>
      </c>
      <c r="Q160" s="126"/>
    </row>
    <row r="161" spans="1:17" x14ac:dyDescent="0.25">
      <c r="A161" s="49">
        <f>+'A) Base RI'!A163</f>
        <v>5661</v>
      </c>
      <c r="B161" s="291" t="str">
        <f>+'A) Base RI'!B163</f>
        <v>Boulens</v>
      </c>
      <c r="C161" s="302">
        <f>+'D) Ecrêtage'!C161</f>
        <v>10064.101124681909</v>
      </c>
      <c r="D161" s="439">
        <v>119585</v>
      </c>
      <c r="E161" s="440">
        <v>12836</v>
      </c>
      <c r="F161" s="439">
        <v>33623</v>
      </c>
      <c r="G161" s="302">
        <f t="shared" si="18"/>
        <v>166044</v>
      </c>
      <c r="H161" s="283">
        <f t="shared" si="19"/>
        <v>80512.808997455271</v>
      </c>
      <c r="I161" s="10">
        <f t="shared" si="20"/>
        <v>85531.191002544729</v>
      </c>
      <c r="J161" s="447">
        <f t="shared" si="21"/>
        <v>-61589.556128679491</v>
      </c>
      <c r="K161" s="10">
        <v>27105</v>
      </c>
      <c r="L161" s="397">
        <f t="shared" si="22"/>
        <v>10064.101124681909</v>
      </c>
      <c r="M161" s="14">
        <f t="shared" si="23"/>
        <v>17040.898875318089</v>
      </c>
      <c r="N161" s="2">
        <f t="shared" si="24"/>
        <v>-12270.861488802708</v>
      </c>
      <c r="O161" s="130">
        <f t="shared" si="25"/>
        <v>-73860.417617482191</v>
      </c>
      <c r="P161" s="438">
        <f t="shared" si="26"/>
        <v>-7.3389979594244847</v>
      </c>
      <c r="Q161" s="126"/>
    </row>
    <row r="162" spans="1:17" x14ac:dyDescent="0.25">
      <c r="A162" s="49">
        <f>+'A) Base RI'!A164</f>
        <v>5663</v>
      </c>
      <c r="B162" s="291" t="str">
        <f>+'A) Base RI'!B164</f>
        <v>Bussy-sur-Moudon</v>
      </c>
      <c r="C162" s="302">
        <f>+'D) Ecrêtage'!C162</f>
        <v>6370.1104534474161</v>
      </c>
      <c r="D162" s="439">
        <v>70822</v>
      </c>
      <c r="E162" s="440">
        <v>7154</v>
      </c>
      <c r="F162" s="439">
        <v>12956</v>
      </c>
      <c r="G162" s="302">
        <f t="shared" si="18"/>
        <v>90932</v>
      </c>
      <c r="H162" s="283">
        <f t="shared" si="19"/>
        <v>50960.883627579329</v>
      </c>
      <c r="I162" s="10">
        <f t="shared" si="20"/>
        <v>39971.116372420671</v>
      </c>
      <c r="J162" s="447">
        <f t="shared" si="21"/>
        <v>-28782.521165546954</v>
      </c>
      <c r="K162" s="10">
        <v>3145</v>
      </c>
      <c r="L162" s="397">
        <f t="shared" si="22"/>
        <v>6370.1104534474161</v>
      </c>
      <c r="M162" s="14">
        <f t="shared" si="23"/>
        <v>0</v>
      </c>
      <c r="N162" s="2">
        <f t="shared" si="24"/>
        <v>0</v>
      </c>
      <c r="O162" s="130">
        <f t="shared" si="25"/>
        <v>-28782.521165546954</v>
      </c>
      <c r="P162" s="438">
        <f t="shared" si="26"/>
        <v>-4.5183708156850324</v>
      </c>
      <c r="Q162" s="126"/>
    </row>
    <row r="163" spans="1:17" x14ac:dyDescent="0.25">
      <c r="A163" s="49">
        <f>+'A) Base RI'!A165</f>
        <v>5665</v>
      </c>
      <c r="B163" s="291" t="str">
        <f>+'A) Base RI'!B165</f>
        <v>Chavannes-sur-Moudon</v>
      </c>
      <c r="C163" s="302">
        <f>+'D) Ecrêtage'!C163</f>
        <v>4725.8157534246584</v>
      </c>
      <c r="D163" s="439">
        <v>38134</v>
      </c>
      <c r="E163" s="440">
        <v>7221</v>
      </c>
      <c r="F163" s="439">
        <v>12478</v>
      </c>
      <c r="G163" s="302">
        <f t="shared" si="18"/>
        <v>57833</v>
      </c>
      <c r="H163" s="283">
        <f t="shared" si="19"/>
        <v>37806.526027397267</v>
      </c>
      <c r="I163" s="10">
        <f t="shared" si="20"/>
        <v>20026.473972602733</v>
      </c>
      <c r="J163" s="447">
        <f t="shared" si="21"/>
        <v>-14420.723344755696</v>
      </c>
      <c r="K163" s="10">
        <v>12724</v>
      </c>
      <c r="L163" s="397">
        <f t="shared" si="22"/>
        <v>4725.8157534246584</v>
      </c>
      <c r="M163" s="14">
        <f t="shared" si="23"/>
        <v>7998.1842465753416</v>
      </c>
      <c r="N163" s="2">
        <f t="shared" si="24"/>
        <v>-5759.3564617534221</v>
      </c>
      <c r="O163" s="130">
        <f t="shared" si="25"/>
        <v>-20180.079806509118</v>
      </c>
      <c r="P163" s="438">
        <f t="shared" si="26"/>
        <v>-4.2701791308485131</v>
      </c>
      <c r="Q163" s="126"/>
    </row>
    <row r="164" spans="1:17" x14ac:dyDescent="0.25">
      <c r="A164" s="49">
        <f>+'A) Base RI'!A166</f>
        <v>5669</v>
      </c>
      <c r="B164" s="291" t="str">
        <f>+'A) Base RI'!B166</f>
        <v>Curtilles</v>
      </c>
      <c r="C164" s="302">
        <f>+'D) Ecrêtage'!C164</f>
        <v>9981.2313977454014</v>
      </c>
      <c r="D164" s="439">
        <v>18591</v>
      </c>
      <c r="E164" s="440">
        <v>20926</v>
      </c>
      <c r="F164" s="439">
        <v>18335</v>
      </c>
      <c r="G164" s="302">
        <f t="shared" si="18"/>
        <v>57852</v>
      </c>
      <c r="H164" s="283">
        <f t="shared" si="19"/>
        <v>79849.851181963211</v>
      </c>
      <c r="I164" s="10">
        <f t="shared" si="20"/>
        <v>0</v>
      </c>
      <c r="J164" s="447">
        <f t="shared" si="21"/>
        <v>0</v>
      </c>
      <c r="K164" s="10">
        <v>297</v>
      </c>
      <c r="L164" s="397">
        <f t="shared" si="22"/>
        <v>9981.2313977454014</v>
      </c>
      <c r="M164" s="14">
        <f t="shared" si="23"/>
        <v>0</v>
      </c>
      <c r="N164" s="2">
        <f t="shared" si="24"/>
        <v>0</v>
      </c>
      <c r="O164" s="130">
        <f t="shared" si="25"/>
        <v>0</v>
      </c>
      <c r="P164" s="438">
        <f t="shared" si="26"/>
        <v>0</v>
      </c>
      <c r="Q164" s="126"/>
    </row>
    <row r="165" spans="1:17" x14ac:dyDescent="0.25">
      <c r="A165" s="49">
        <f>+'A) Base RI'!A167</f>
        <v>5671</v>
      </c>
      <c r="B165" s="291" t="str">
        <f>+'A) Base RI'!B167</f>
        <v>Dompierre</v>
      </c>
      <c r="C165" s="302">
        <f>+'D) Ecrêtage'!C165</f>
        <v>6546.2666570185083</v>
      </c>
      <c r="D165" s="439">
        <v>75821</v>
      </c>
      <c r="E165" s="440">
        <v>7989</v>
      </c>
      <c r="F165" s="439">
        <v>22192</v>
      </c>
      <c r="G165" s="302">
        <f t="shared" si="18"/>
        <v>106002</v>
      </c>
      <c r="H165" s="283">
        <f t="shared" si="19"/>
        <v>52370.133256148067</v>
      </c>
      <c r="I165" s="10">
        <f t="shared" si="20"/>
        <v>53631.866743851933</v>
      </c>
      <c r="J165" s="447">
        <f t="shared" si="21"/>
        <v>-38619.395198273945</v>
      </c>
      <c r="K165" s="10">
        <v>4153</v>
      </c>
      <c r="L165" s="397">
        <f t="shared" si="22"/>
        <v>6546.2666570185083</v>
      </c>
      <c r="M165" s="14">
        <f t="shared" si="23"/>
        <v>0</v>
      </c>
      <c r="N165" s="2">
        <f t="shared" si="24"/>
        <v>0</v>
      </c>
      <c r="O165" s="130">
        <f t="shared" si="25"/>
        <v>-38619.395198273945</v>
      </c>
      <c r="P165" s="438">
        <f t="shared" si="26"/>
        <v>-5.8994534169897559</v>
      </c>
      <c r="Q165" s="126"/>
    </row>
    <row r="166" spans="1:17" x14ac:dyDescent="0.25">
      <c r="A166" s="49">
        <f>+'A) Base RI'!A168</f>
        <v>5673</v>
      </c>
      <c r="B166" s="291" t="str">
        <f>+'A) Base RI'!B168</f>
        <v>Hermenches</v>
      </c>
      <c r="C166" s="302">
        <f>+'D) Ecrêtage'!C166</f>
        <v>9911.4858119507371</v>
      </c>
      <c r="D166" s="439">
        <v>145538</v>
      </c>
      <c r="E166" s="440">
        <v>12168</v>
      </c>
      <c r="F166" s="439">
        <v>21709</v>
      </c>
      <c r="G166" s="302">
        <f t="shared" si="18"/>
        <v>179415</v>
      </c>
      <c r="H166" s="283">
        <f t="shared" si="19"/>
        <v>79291.886495605897</v>
      </c>
      <c r="I166" s="10">
        <f t="shared" si="20"/>
        <v>100123.1135043941</v>
      </c>
      <c r="J166" s="447">
        <f t="shared" si="21"/>
        <v>-72096.951377346792</v>
      </c>
      <c r="K166" s="10">
        <v>33629</v>
      </c>
      <c r="L166" s="397">
        <f t="shared" si="22"/>
        <v>9911.4858119507371</v>
      </c>
      <c r="M166" s="14">
        <f t="shared" si="23"/>
        <v>23717.514188049263</v>
      </c>
      <c r="N166" s="2">
        <f t="shared" si="24"/>
        <v>-17078.57863541444</v>
      </c>
      <c r="O166" s="130">
        <f t="shared" si="25"/>
        <v>-89175.530012761228</v>
      </c>
      <c r="P166" s="438">
        <f t="shared" si="26"/>
        <v>-8.9971909060534756</v>
      </c>
      <c r="Q166" s="126"/>
    </row>
    <row r="167" spans="1:17" x14ac:dyDescent="0.25">
      <c r="A167" s="49">
        <f>+'A) Base RI'!A169</f>
        <v>5674</v>
      </c>
      <c r="B167" s="291" t="str">
        <f>+'A) Base RI'!B169</f>
        <v>Lovatens</v>
      </c>
      <c r="C167" s="302">
        <f>+'D) Ecrêtage'!C167</f>
        <v>3212.7201333333333</v>
      </c>
      <c r="D167" s="439">
        <v>30323</v>
      </c>
      <c r="E167" s="440">
        <v>4881</v>
      </c>
      <c r="F167" s="439">
        <v>7227</v>
      </c>
      <c r="G167" s="302">
        <f t="shared" si="18"/>
        <v>42431</v>
      </c>
      <c r="H167" s="283">
        <f t="shared" si="19"/>
        <v>25701.761066666666</v>
      </c>
      <c r="I167" s="10">
        <f t="shared" si="20"/>
        <v>16729.238933333334</v>
      </c>
      <c r="J167" s="447">
        <f t="shared" si="21"/>
        <v>-12046.44046455484</v>
      </c>
      <c r="K167" s="10">
        <v>-1359</v>
      </c>
      <c r="L167" s="397">
        <f t="shared" si="22"/>
        <v>3212.7201333333333</v>
      </c>
      <c r="M167" s="14">
        <f t="shared" si="23"/>
        <v>0</v>
      </c>
      <c r="N167" s="2">
        <f t="shared" si="24"/>
        <v>0</v>
      </c>
      <c r="O167" s="130">
        <f t="shared" si="25"/>
        <v>-12046.44046455484</v>
      </c>
      <c r="P167" s="438">
        <f t="shared" si="26"/>
        <v>-3.7496077979429066</v>
      </c>
      <c r="Q167" s="126"/>
    </row>
    <row r="168" spans="1:17" x14ac:dyDescent="0.25">
      <c r="A168" s="49">
        <f>+'A) Base RI'!A170</f>
        <v>5675</v>
      </c>
      <c r="B168" s="291" t="str">
        <f>+'A) Base RI'!B170</f>
        <v>Lucens</v>
      </c>
      <c r="C168" s="302">
        <f>+'D) Ecrêtage'!C168</f>
        <v>97171.957057014763</v>
      </c>
      <c r="D168" s="439">
        <v>806652</v>
      </c>
      <c r="E168" s="440">
        <v>350914</v>
      </c>
      <c r="F168" s="439">
        <v>265996</v>
      </c>
      <c r="G168" s="302">
        <f t="shared" si="18"/>
        <v>1423562</v>
      </c>
      <c r="H168" s="283">
        <f t="shared" si="19"/>
        <v>777375.6564561181</v>
      </c>
      <c r="I168" s="10">
        <f t="shared" si="20"/>
        <v>646186.3435438819</v>
      </c>
      <c r="J168" s="447">
        <f t="shared" si="21"/>
        <v>-465307.79717656452</v>
      </c>
      <c r="K168" s="10">
        <v>36309</v>
      </c>
      <c r="L168" s="397">
        <f t="shared" si="22"/>
        <v>97171.957057014763</v>
      </c>
      <c r="M168" s="14">
        <f t="shared" si="23"/>
        <v>0</v>
      </c>
      <c r="N168" s="2">
        <f t="shared" si="24"/>
        <v>0</v>
      </c>
      <c r="O168" s="130">
        <f t="shared" si="25"/>
        <v>-465307.79717656452</v>
      </c>
      <c r="P168" s="438">
        <f t="shared" si="26"/>
        <v>-4.788498773401769</v>
      </c>
      <c r="Q168" s="126"/>
    </row>
    <row r="169" spans="1:17" x14ac:dyDescent="0.25">
      <c r="A169" s="49">
        <f>+'A) Base RI'!A171</f>
        <v>5678</v>
      </c>
      <c r="B169" s="291" t="str">
        <f>+'A) Base RI'!B171</f>
        <v>Moudon</v>
      </c>
      <c r="C169" s="302">
        <f>+'D) Ecrêtage'!C169</f>
        <v>124990.90700543707</v>
      </c>
      <c r="D169" s="439">
        <v>1584552</v>
      </c>
      <c r="E169" s="440">
        <v>512707</v>
      </c>
      <c r="F169" s="439">
        <v>402310</v>
      </c>
      <c r="G169" s="302">
        <f t="shared" si="18"/>
        <v>2499569</v>
      </c>
      <c r="H169" s="283">
        <f t="shared" si="19"/>
        <v>999927.25604349654</v>
      </c>
      <c r="I169" s="10">
        <f t="shared" si="20"/>
        <v>1499641.7439565035</v>
      </c>
      <c r="J169" s="447">
        <f t="shared" si="21"/>
        <v>-1079866.5174622894</v>
      </c>
      <c r="K169" s="10">
        <v>71201</v>
      </c>
      <c r="L169" s="397">
        <f t="shared" si="22"/>
        <v>124990.90700543707</v>
      </c>
      <c r="M169" s="14">
        <f t="shared" si="23"/>
        <v>0</v>
      </c>
      <c r="N169" s="2">
        <f t="shared" si="24"/>
        <v>0</v>
      </c>
      <c r="O169" s="130">
        <f t="shared" si="25"/>
        <v>-1079866.5174622894</v>
      </c>
      <c r="P169" s="438">
        <f t="shared" si="26"/>
        <v>-8.6395606155199403</v>
      </c>
      <c r="Q169" s="126"/>
    </row>
    <row r="170" spans="1:17" x14ac:dyDescent="0.25">
      <c r="A170" s="49">
        <f>+'A) Base RI'!A172</f>
        <v>5680</v>
      </c>
      <c r="B170" s="291" t="str">
        <f>+'A) Base RI'!B172</f>
        <v>Ogens</v>
      </c>
      <c r="C170" s="302">
        <f>+'D) Ecrêtage'!C170</f>
        <v>6319.984442335237</v>
      </c>
      <c r="D170" s="439">
        <v>39591</v>
      </c>
      <c r="E170" s="440">
        <v>12619</v>
      </c>
      <c r="F170" s="439">
        <v>26180</v>
      </c>
      <c r="G170" s="302">
        <f t="shared" si="18"/>
        <v>78390</v>
      </c>
      <c r="H170" s="283">
        <f t="shared" si="19"/>
        <v>50559.875538681896</v>
      </c>
      <c r="I170" s="10">
        <f t="shared" si="20"/>
        <v>27830.124461318104</v>
      </c>
      <c r="J170" s="447">
        <f t="shared" si="21"/>
        <v>-20039.999355644319</v>
      </c>
      <c r="K170" s="10">
        <v>16500</v>
      </c>
      <c r="L170" s="397">
        <f t="shared" si="22"/>
        <v>6319.984442335237</v>
      </c>
      <c r="M170" s="14">
        <f t="shared" si="23"/>
        <v>10180.015557664763</v>
      </c>
      <c r="N170" s="2">
        <f t="shared" si="24"/>
        <v>-7330.4560854410456</v>
      </c>
      <c r="O170" s="130">
        <f t="shared" si="25"/>
        <v>-27370.455441085363</v>
      </c>
      <c r="P170" s="438">
        <f t="shared" si="26"/>
        <v>-4.3307789268816563</v>
      </c>
      <c r="Q170" s="126"/>
    </row>
    <row r="171" spans="1:17" x14ac:dyDescent="0.25">
      <c r="A171" s="49">
        <f>+'A) Base RI'!A173</f>
        <v>5683</v>
      </c>
      <c r="B171" s="291" t="str">
        <f>+'A) Base RI'!B173</f>
        <v>Prévonloup</v>
      </c>
      <c r="C171" s="302">
        <f>+'D) Ecrêtage'!C171</f>
        <v>4554.1237837837825</v>
      </c>
      <c r="D171" s="439">
        <v>48453</v>
      </c>
      <c r="E171" s="440">
        <v>6151</v>
      </c>
      <c r="F171" s="439">
        <v>11523</v>
      </c>
      <c r="G171" s="302">
        <f t="shared" si="18"/>
        <v>66127</v>
      </c>
      <c r="H171" s="283">
        <f t="shared" si="19"/>
        <v>36432.99027027026</v>
      </c>
      <c r="I171" s="10">
        <f t="shared" si="20"/>
        <v>29694.00972972974</v>
      </c>
      <c r="J171" s="447">
        <f t="shared" si="21"/>
        <v>-21382.15144087416</v>
      </c>
      <c r="K171" s="10">
        <v>-2190</v>
      </c>
      <c r="L171" s="397">
        <f t="shared" si="22"/>
        <v>4554.1237837837825</v>
      </c>
      <c r="M171" s="14">
        <f t="shared" si="23"/>
        <v>0</v>
      </c>
      <c r="N171" s="2">
        <f t="shared" si="24"/>
        <v>0</v>
      </c>
      <c r="O171" s="130">
        <f t="shared" si="25"/>
        <v>-21382.15144087416</v>
      </c>
      <c r="P171" s="438">
        <f t="shared" si="26"/>
        <v>-4.6951186344585594</v>
      </c>
      <c r="Q171" s="126"/>
    </row>
    <row r="172" spans="1:17" x14ac:dyDescent="0.25">
      <c r="A172" s="49">
        <f>+'A) Base RI'!A174</f>
        <v>5684</v>
      </c>
      <c r="B172" s="291" t="str">
        <f>+'A) Base RI'!B174</f>
        <v>Rossenges</v>
      </c>
      <c r="C172" s="302">
        <f>+'D) Ecrêtage'!C172</f>
        <v>3099.5946967890927</v>
      </c>
      <c r="D172" s="439">
        <v>34610</v>
      </c>
      <c r="E172" s="440">
        <v>2173</v>
      </c>
      <c r="F172" s="439">
        <v>3790</v>
      </c>
      <c r="G172" s="302">
        <f t="shared" si="18"/>
        <v>40573</v>
      </c>
      <c r="H172" s="283">
        <f t="shared" si="19"/>
        <v>24796.757574312742</v>
      </c>
      <c r="I172" s="10">
        <f t="shared" si="20"/>
        <v>15776.242425687258</v>
      </c>
      <c r="J172" s="447">
        <f t="shared" si="21"/>
        <v>-11360.203885710085</v>
      </c>
      <c r="K172" s="10">
        <v>171</v>
      </c>
      <c r="L172" s="397">
        <f t="shared" si="22"/>
        <v>3099.5946967890927</v>
      </c>
      <c r="M172" s="14">
        <f t="shared" si="23"/>
        <v>0</v>
      </c>
      <c r="N172" s="2">
        <f t="shared" si="24"/>
        <v>0</v>
      </c>
      <c r="O172" s="130">
        <f t="shared" si="25"/>
        <v>-11360.203885710085</v>
      </c>
      <c r="P172" s="438">
        <f t="shared" si="26"/>
        <v>-3.665061079591553</v>
      </c>
      <c r="Q172" s="126"/>
    </row>
    <row r="173" spans="1:17" x14ac:dyDescent="0.25">
      <c r="A173" s="49">
        <f>+'A) Base RI'!A175</f>
        <v>5688</v>
      </c>
      <c r="B173" s="291" t="str">
        <f>+'A) Base RI'!B175</f>
        <v>Syens</v>
      </c>
      <c r="C173" s="302">
        <f>+'D) Ecrêtage'!C173</f>
        <v>2722.3146828511958</v>
      </c>
      <c r="D173" s="439">
        <v>28946</v>
      </c>
      <c r="E173" s="440">
        <v>7973</v>
      </c>
      <c r="F173" s="439">
        <v>21356</v>
      </c>
      <c r="G173" s="302">
        <f t="shared" si="18"/>
        <v>58275</v>
      </c>
      <c r="H173" s="283">
        <f t="shared" si="19"/>
        <v>21778.517462809566</v>
      </c>
      <c r="I173" s="10">
        <f t="shared" si="20"/>
        <v>36496.48253719043</v>
      </c>
      <c r="J173" s="447">
        <f t="shared" si="21"/>
        <v>-26280.496429153947</v>
      </c>
      <c r="K173" s="10">
        <v>22766</v>
      </c>
      <c r="L173" s="397">
        <f t="shared" si="22"/>
        <v>2722.3146828511958</v>
      </c>
      <c r="M173" s="14">
        <f t="shared" si="23"/>
        <v>20043.685317148804</v>
      </c>
      <c r="N173" s="2">
        <f t="shared" si="24"/>
        <v>-14433.116941273471</v>
      </c>
      <c r="O173" s="130">
        <f t="shared" si="25"/>
        <v>-40713.613370427418</v>
      </c>
      <c r="P173" s="438">
        <f t="shared" si="26"/>
        <v>-14.955513272178484</v>
      </c>
      <c r="Q173" s="126"/>
    </row>
    <row r="174" spans="1:17" x14ac:dyDescent="0.25">
      <c r="A174" s="49">
        <f>+'A) Base RI'!A176</f>
        <v>5690</v>
      </c>
      <c r="B174" s="291" t="str">
        <f>+'A) Base RI'!B176</f>
        <v>Villars-le-Comte</v>
      </c>
      <c r="C174" s="302">
        <f>+'D) Ecrêtage'!C174</f>
        <v>3015.9771931576993</v>
      </c>
      <c r="D174" s="439">
        <v>6153</v>
      </c>
      <c r="E174" s="440">
        <v>4413</v>
      </c>
      <c r="F174" s="439">
        <v>7226</v>
      </c>
      <c r="G174" s="302">
        <f t="shared" si="18"/>
        <v>17792</v>
      </c>
      <c r="H174" s="283">
        <f t="shared" si="19"/>
        <v>24127.817545261594</v>
      </c>
      <c r="I174" s="10">
        <f t="shared" si="20"/>
        <v>0</v>
      </c>
      <c r="J174" s="447">
        <f t="shared" si="21"/>
        <v>0</v>
      </c>
      <c r="K174" s="10">
        <v>522</v>
      </c>
      <c r="L174" s="397">
        <f t="shared" si="22"/>
        <v>3015.9771931576993</v>
      </c>
      <c r="M174" s="14">
        <f t="shared" si="23"/>
        <v>0</v>
      </c>
      <c r="N174" s="2">
        <f t="shared" si="24"/>
        <v>0</v>
      </c>
      <c r="O174" s="130">
        <f t="shared" si="25"/>
        <v>0</v>
      </c>
      <c r="P174" s="438">
        <f t="shared" si="26"/>
        <v>0</v>
      </c>
      <c r="Q174" s="126"/>
    </row>
    <row r="175" spans="1:17" x14ac:dyDescent="0.25">
      <c r="A175" s="49">
        <f>+'A) Base RI'!A177</f>
        <v>5692</v>
      </c>
      <c r="B175" s="291" t="str">
        <f>+'A) Base RI'!B177</f>
        <v>Vucherens</v>
      </c>
      <c r="C175" s="302">
        <f>+'D) Ecrêtage'!C175</f>
        <v>15976.51835443038</v>
      </c>
      <c r="D175" s="439">
        <v>106686</v>
      </c>
      <c r="E175" s="440">
        <v>28932</v>
      </c>
      <c r="F175" s="439">
        <v>83311</v>
      </c>
      <c r="G175" s="302">
        <f t="shared" si="18"/>
        <v>218929</v>
      </c>
      <c r="H175" s="283">
        <f t="shared" si="19"/>
        <v>127812.14683544304</v>
      </c>
      <c r="I175" s="10">
        <f t="shared" si="20"/>
        <v>91116.85316455696</v>
      </c>
      <c r="J175" s="447">
        <f t="shared" si="21"/>
        <v>-65611.696463810076</v>
      </c>
      <c r="K175" s="10">
        <v>-12505</v>
      </c>
      <c r="L175" s="397">
        <f t="shared" si="22"/>
        <v>15976.51835443038</v>
      </c>
      <c r="M175" s="14">
        <f t="shared" si="23"/>
        <v>0</v>
      </c>
      <c r="N175" s="2">
        <f t="shared" si="24"/>
        <v>0</v>
      </c>
      <c r="O175" s="130">
        <f t="shared" si="25"/>
        <v>-65611.696463810076</v>
      </c>
      <c r="P175" s="438">
        <f t="shared" si="26"/>
        <v>-4.1067581188998901</v>
      </c>
      <c r="Q175" s="126"/>
    </row>
    <row r="176" spans="1:17" x14ac:dyDescent="0.25">
      <c r="A176" s="49">
        <f>+'A) Base RI'!A178</f>
        <v>5693</v>
      </c>
      <c r="B176" s="291" t="str">
        <f>+'A) Base RI'!B178</f>
        <v>Montanaire</v>
      </c>
      <c r="C176" s="302">
        <f>+'D) Ecrêtage'!C176</f>
        <v>70480.928098220116</v>
      </c>
      <c r="D176" s="439">
        <v>961717</v>
      </c>
      <c r="E176" s="440">
        <v>134633</v>
      </c>
      <c r="F176" s="439">
        <v>235099</v>
      </c>
      <c r="G176" s="302">
        <f t="shared" si="18"/>
        <v>1331449</v>
      </c>
      <c r="H176" s="283">
        <f t="shared" si="19"/>
        <v>563847.42478576093</v>
      </c>
      <c r="I176" s="10">
        <f t="shared" si="20"/>
        <v>767601.57521423907</v>
      </c>
      <c r="J176" s="447">
        <f t="shared" si="21"/>
        <v>-552736.84075922205</v>
      </c>
      <c r="K176" s="10">
        <v>78121</v>
      </c>
      <c r="L176" s="397">
        <f t="shared" si="22"/>
        <v>70480.928098220116</v>
      </c>
      <c r="M176" s="14">
        <f t="shared" si="23"/>
        <v>7640.0719017798838</v>
      </c>
      <c r="N176" s="2">
        <f t="shared" si="24"/>
        <v>-5501.4858521941951</v>
      </c>
      <c r="O176" s="130">
        <f t="shared" si="25"/>
        <v>-558238.3266114163</v>
      </c>
      <c r="P176" s="438">
        <f t="shared" si="26"/>
        <v>-7.9204167946465187</v>
      </c>
      <c r="Q176" s="126"/>
    </row>
    <row r="177" spans="1:17" x14ac:dyDescent="0.25">
      <c r="A177" s="49">
        <f>+'A) Base RI'!A179</f>
        <v>5701</v>
      </c>
      <c r="B177" s="291" t="str">
        <f>+'A) Base RI'!B179</f>
        <v>Arnex-sur-Nyon</v>
      </c>
      <c r="C177" s="302">
        <f>+'D) Ecrêtage'!C177</f>
        <v>12114.196611371119</v>
      </c>
      <c r="D177" s="439">
        <v>284107</v>
      </c>
      <c r="E177" s="440">
        <v>9289</v>
      </c>
      <c r="F177" s="439">
        <v>34908</v>
      </c>
      <c r="G177" s="302">
        <f t="shared" si="18"/>
        <v>328304</v>
      </c>
      <c r="H177" s="283">
        <f t="shared" si="19"/>
        <v>96913.57289096895</v>
      </c>
      <c r="I177" s="10">
        <f t="shared" si="20"/>
        <v>231390.42710903106</v>
      </c>
      <c r="J177" s="447">
        <f t="shared" si="21"/>
        <v>-166620.31161996548</v>
      </c>
      <c r="K177" s="10">
        <v>4197</v>
      </c>
      <c r="L177" s="397">
        <f t="shared" si="22"/>
        <v>12114.196611371119</v>
      </c>
      <c r="M177" s="14">
        <f t="shared" si="23"/>
        <v>0</v>
      </c>
      <c r="N177" s="2">
        <f t="shared" si="24"/>
        <v>0</v>
      </c>
      <c r="O177" s="130">
        <f t="shared" si="25"/>
        <v>-166620.31161996548</v>
      </c>
      <c r="P177" s="438">
        <f t="shared" si="26"/>
        <v>-13.754136321641466</v>
      </c>
      <c r="Q177" s="126"/>
    </row>
    <row r="178" spans="1:17" x14ac:dyDescent="0.25">
      <c r="A178" s="49">
        <f>+'A) Base RI'!A180</f>
        <v>5702</v>
      </c>
      <c r="B178" s="291" t="str">
        <f>+'A) Base RI'!B180</f>
        <v>Arzier-Le Muids</v>
      </c>
      <c r="C178" s="302">
        <f>+'D) Ecrêtage'!C178</f>
        <v>174460.56839607147</v>
      </c>
      <c r="D178" s="439">
        <v>716788</v>
      </c>
      <c r="E178" s="440">
        <v>219411</v>
      </c>
      <c r="F178" s="439">
        <v>144751</v>
      </c>
      <c r="G178" s="302">
        <f t="shared" si="18"/>
        <v>1080950</v>
      </c>
      <c r="H178" s="283">
        <f t="shared" si="19"/>
        <v>1395684.5471685717</v>
      </c>
      <c r="I178" s="10">
        <f t="shared" si="20"/>
        <v>0</v>
      </c>
      <c r="J178" s="447">
        <f t="shared" si="21"/>
        <v>0</v>
      </c>
      <c r="K178" s="10">
        <v>544621</v>
      </c>
      <c r="L178" s="397">
        <f t="shared" si="22"/>
        <v>174460.56839607147</v>
      </c>
      <c r="M178" s="14">
        <f t="shared" si="23"/>
        <v>370160.43160392856</v>
      </c>
      <c r="N178" s="2">
        <f t="shared" si="24"/>
        <v>-266546.23198463465</v>
      </c>
      <c r="O178" s="130">
        <f t="shared" si="25"/>
        <v>-266546.23198463465</v>
      </c>
      <c r="P178" s="438">
        <f t="shared" si="26"/>
        <v>-1.5278308126309921</v>
      </c>
      <c r="Q178" s="126"/>
    </row>
    <row r="179" spans="1:17" x14ac:dyDescent="0.25">
      <c r="A179" s="49">
        <f>+'A) Base RI'!A181</f>
        <v>5703</v>
      </c>
      <c r="B179" s="291" t="str">
        <f>+'A) Base RI'!B181</f>
        <v>Bassins</v>
      </c>
      <c r="C179" s="302">
        <f>+'D) Ecrêtage'!C179</f>
        <v>58935.560453684549</v>
      </c>
      <c r="D179" s="439">
        <v>296253</v>
      </c>
      <c r="E179" s="440">
        <v>78241</v>
      </c>
      <c r="F179" s="439">
        <v>140414</v>
      </c>
      <c r="G179" s="302">
        <f t="shared" si="18"/>
        <v>514908</v>
      </c>
      <c r="H179" s="283">
        <f t="shared" si="19"/>
        <v>471484.4836294764</v>
      </c>
      <c r="I179" s="10">
        <f t="shared" si="20"/>
        <v>43423.516370523605</v>
      </c>
      <c r="J179" s="447">
        <f t="shared" si="21"/>
        <v>-31268.535693925114</v>
      </c>
      <c r="K179" s="10">
        <v>488035</v>
      </c>
      <c r="L179" s="397">
        <f t="shared" si="22"/>
        <v>58935.560453684549</v>
      </c>
      <c r="M179" s="14">
        <f t="shared" si="23"/>
        <v>429099.43954631547</v>
      </c>
      <c r="N179" s="2">
        <f t="shared" si="24"/>
        <v>-308987.20930866519</v>
      </c>
      <c r="O179" s="130">
        <f t="shared" si="25"/>
        <v>-340255.74500259029</v>
      </c>
      <c r="P179" s="438">
        <f t="shared" si="26"/>
        <v>-5.7733521558683689</v>
      </c>
      <c r="Q179" s="126"/>
    </row>
    <row r="180" spans="1:17" x14ac:dyDescent="0.25">
      <c r="A180" s="49">
        <f>+'A) Base RI'!A182</f>
        <v>5704</v>
      </c>
      <c r="B180" s="291" t="str">
        <f>+'A) Base RI'!B182</f>
        <v>Begnins</v>
      </c>
      <c r="C180" s="302">
        <f>+'D) Ecrêtage'!C180</f>
        <v>129508.82887740067</v>
      </c>
      <c r="D180" s="439">
        <v>516827</v>
      </c>
      <c r="E180" s="440">
        <v>89798</v>
      </c>
      <c r="F180" s="439">
        <v>98862</v>
      </c>
      <c r="G180" s="302">
        <f t="shared" si="18"/>
        <v>705487</v>
      </c>
      <c r="H180" s="283">
        <f t="shared" si="19"/>
        <v>1036070.6310192053</v>
      </c>
      <c r="I180" s="10">
        <f t="shared" si="20"/>
        <v>0</v>
      </c>
      <c r="J180" s="447">
        <f t="shared" si="21"/>
        <v>0</v>
      </c>
      <c r="K180" s="10">
        <v>34609</v>
      </c>
      <c r="L180" s="397">
        <f t="shared" si="22"/>
        <v>129508.82887740067</v>
      </c>
      <c r="M180" s="14">
        <f t="shared" si="23"/>
        <v>0</v>
      </c>
      <c r="N180" s="2">
        <f t="shared" si="24"/>
        <v>0</v>
      </c>
      <c r="O180" s="130">
        <f t="shared" si="25"/>
        <v>0</v>
      </c>
      <c r="P180" s="438">
        <f t="shared" si="26"/>
        <v>0</v>
      </c>
      <c r="Q180" s="126"/>
    </row>
    <row r="181" spans="1:17" x14ac:dyDescent="0.25">
      <c r="A181" s="49">
        <f>+'A) Base RI'!A183</f>
        <v>5705</v>
      </c>
      <c r="B181" s="291" t="str">
        <f>+'A) Base RI'!B183</f>
        <v>Bogis-Bossey</v>
      </c>
      <c r="C181" s="302">
        <f>+'D) Ecrêtage'!C181</f>
        <v>47399.998914219243</v>
      </c>
      <c r="D181" s="439">
        <v>199749</v>
      </c>
      <c r="E181" s="440">
        <v>42396</v>
      </c>
      <c r="F181" s="439">
        <v>46292</v>
      </c>
      <c r="G181" s="302">
        <f t="shared" si="18"/>
        <v>288437</v>
      </c>
      <c r="H181" s="283">
        <f t="shared" si="19"/>
        <v>379199.99131375394</v>
      </c>
      <c r="I181" s="10">
        <f t="shared" si="20"/>
        <v>0</v>
      </c>
      <c r="J181" s="447">
        <f t="shared" si="21"/>
        <v>0</v>
      </c>
      <c r="K181" s="10">
        <v>21166</v>
      </c>
      <c r="L181" s="397">
        <f t="shared" si="22"/>
        <v>47399.998914219243</v>
      </c>
      <c r="M181" s="14">
        <f t="shared" si="23"/>
        <v>0</v>
      </c>
      <c r="N181" s="2">
        <f t="shared" si="24"/>
        <v>0</v>
      </c>
      <c r="O181" s="130">
        <f t="shared" si="25"/>
        <v>0</v>
      </c>
      <c r="P181" s="438">
        <f t="shared" si="26"/>
        <v>0</v>
      </c>
      <c r="Q181" s="126"/>
    </row>
    <row r="182" spans="1:17" x14ac:dyDescent="0.25">
      <c r="A182" s="49">
        <f>+'A) Base RI'!A184</f>
        <v>5706</v>
      </c>
      <c r="B182" s="291" t="str">
        <f>+'A) Base RI'!B184</f>
        <v>Borex</v>
      </c>
      <c r="C182" s="302">
        <f>+'D) Ecrêtage'!C182</f>
        <v>76732.339331916941</v>
      </c>
      <c r="D182" s="439">
        <v>219095</v>
      </c>
      <c r="E182" s="440">
        <v>45059</v>
      </c>
      <c r="F182" s="439">
        <v>181942</v>
      </c>
      <c r="G182" s="302">
        <f t="shared" si="18"/>
        <v>446096</v>
      </c>
      <c r="H182" s="283">
        <f t="shared" si="19"/>
        <v>613858.71465533553</v>
      </c>
      <c r="I182" s="10">
        <f t="shared" si="20"/>
        <v>0</v>
      </c>
      <c r="J182" s="447">
        <f t="shared" si="21"/>
        <v>0</v>
      </c>
      <c r="K182" s="10">
        <v>0</v>
      </c>
      <c r="L182" s="397">
        <f t="shared" si="22"/>
        <v>76732.339331916941</v>
      </c>
      <c r="M182" s="14">
        <f t="shared" si="23"/>
        <v>0</v>
      </c>
      <c r="N182" s="2">
        <f t="shared" si="24"/>
        <v>0</v>
      </c>
      <c r="O182" s="130">
        <f t="shared" si="25"/>
        <v>0</v>
      </c>
      <c r="P182" s="438">
        <f t="shared" si="26"/>
        <v>0</v>
      </c>
      <c r="Q182" s="126"/>
    </row>
    <row r="183" spans="1:17" x14ac:dyDescent="0.25">
      <c r="A183" s="49">
        <f>+'A) Base RI'!A185</f>
        <v>5707</v>
      </c>
      <c r="B183" s="291" t="str">
        <f>+'A) Base RI'!B185</f>
        <v>Chavannes-de-Bogis</v>
      </c>
      <c r="C183" s="302">
        <f>+'D) Ecrêtage'!C183</f>
        <v>80433.672291066076</v>
      </c>
      <c r="D183" s="439">
        <v>234650</v>
      </c>
      <c r="E183" s="440">
        <v>69329</v>
      </c>
      <c r="F183" s="439">
        <v>66612</v>
      </c>
      <c r="G183" s="302">
        <f t="shared" si="18"/>
        <v>370591</v>
      </c>
      <c r="H183" s="283">
        <f t="shared" si="19"/>
        <v>643469.3783285286</v>
      </c>
      <c r="I183" s="10">
        <f t="shared" si="20"/>
        <v>0</v>
      </c>
      <c r="J183" s="447">
        <f t="shared" si="21"/>
        <v>0</v>
      </c>
      <c r="K183" s="10">
        <v>8667</v>
      </c>
      <c r="L183" s="397">
        <f t="shared" si="22"/>
        <v>80433.672291066076</v>
      </c>
      <c r="M183" s="14">
        <f t="shared" si="23"/>
        <v>0</v>
      </c>
      <c r="N183" s="2">
        <f t="shared" si="24"/>
        <v>0</v>
      </c>
      <c r="O183" s="130">
        <f t="shared" si="25"/>
        <v>0</v>
      </c>
      <c r="P183" s="438">
        <f t="shared" si="26"/>
        <v>0</v>
      </c>
      <c r="Q183" s="126"/>
    </row>
    <row r="184" spans="1:17" x14ac:dyDescent="0.25">
      <c r="A184" s="49">
        <f>+'A) Base RI'!A186</f>
        <v>5708</v>
      </c>
      <c r="B184" s="291" t="str">
        <f>+'A) Base RI'!B186</f>
        <v>Chavannes-des-Bois</v>
      </c>
      <c r="C184" s="302">
        <f>+'D) Ecrêtage'!C184</f>
        <v>64673.600200081586</v>
      </c>
      <c r="D184" s="439">
        <v>218812</v>
      </c>
      <c r="E184" s="440">
        <v>127952</v>
      </c>
      <c r="F184" s="439">
        <v>63570</v>
      </c>
      <c r="G184" s="302">
        <f t="shared" si="18"/>
        <v>410334</v>
      </c>
      <c r="H184" s="283">
        <f t="shared" si="19"/>
        <v>517388.80160065269</v>
      </c>
      <c r="I184" s="10">
        <f t="shared" si="20"/>
        <v>0</v>
      </c>
      <c r="J184" s="447">
        <f t="shared" si="21"/>
        <v>0</v>
      </c>
      <c r="K184" s="10">
        <v>0</v>
      </c>
      <c r="L184" s="397">
        <f t="shared" si="22"/>
        <v>64673.600200081586</v>
      </c>
      <c r="M184" s="14">
        <f t="shared" si="23"/>
        <v>0</v>
      </c>
      <c r="N184" s="2">
        <f t="shared" si="24"/>
        <v>0</v>
      </c>
      <c r="O184" s="130">
        <f t="shared" si="25"/>
        <v>0</v>
      </c>
      <c r="P184" s="438">
        <f t="shared" si="26"/>
        <v>0</v>
      </c>
      <c r="Q184" s="126"/>
    </row>
    <row r="185" spans="1:17" x14ac:dyDescent="0.25">
      <c r="A185" s="49">
        <f>+'A) Base RI'!A187</f>
        <v>5709</v>
      </c>
      <c r="B185" s="291" t="str">
        <f>+'A) Base RI'!B187</f>
        <v>Chéserex</v>
      </c>
      <c r="C185" s="302">
        <f>+'D) Ecrêtage'!C185</f>
        <v>96665.564675304791</v>
      </c>
      <c r="D185" s="439">
        <v>293209</v>
      </c>
      <c r="E185" s="440">
        <v>48498</v>
      </c>
      <c r="F185" s="439">
        <v>180720</v>
      </c>
      <c r="G185" s="302">
        <f t="shared" si="18"/>
        <v>522427</v>
      </c>
      <c r="H185" s="283">
        <f t="shared" si="19"/>
        <v>773324.51740243833</v>
      </c>
      <c r="I185" s="10">
        <f t="shared" si="20"/>
        <v>0</v>
      </c>
      <c r="J185" s="447">
        <f t="shared" si="21"/>
        <v>0</v>
      </c>
      <c r="K185" s="10">
        <v>16106</v>
      </c>
      <c r="L185" s="397">
        <f t="shared" si="22"/>
        <v>96665.564675304791</v>
      </c>
      <c r="M185" s="14">
        <f t="shared" si="23"/>
        <v>0</v>
      </c>
      <c r="N185" s="2">
        <f t="shared" si="24"/>
        <v>0</v>
      </c>
      <c r="O185" s="130">
        <f t="shared" si="25"/>
        <v>0</v>
      </c>
      <c r="P185" s="438">
        <f t="shared" si="26"/>
        <v>0</v>
      </c>
      <c r="Q185" s="126"/>
    </row>
    <row r="186" spans="1:17" x14ac:dyDescent="0.25">
      <c r="A186" s="49">
        <f>+'A) Base RI'!A188</f>
        <v>5710</v>
      </c>
      <c r="B186" s="291" t="str">
        <f>+'A) Base RI'!B188</f>
        <v>Coinsins</v>
      </c>
      <c r="C186" s="302">
        <f>+'D) Ecrêtage'!C186</f>
        <v>116722.0098047505</v>
      </c>
      <c r="D186" s="439">
        <v>103239</v>
      </c>
      <c r="E186" s="440">
        <v>19723</v>
      </c>
      <c r="F186" s="439">
        <v>51164</v>
      </c>
      <c r="G186" s="302">
        <f t="shared" si="18"/>
        <v>174126</v>
      </c>
      <c r="H186" s="283">
        <f t="shared" si="19"/>
        <v>933776.07843800401</v>
      </c>
      <c r="I186" s="10">
        <f t="shared" si="20"/>
        <v>0</v>
      </c>
      <c r="J186" s="447">
        <f t="shared" si="21"/>
        <v>0</v>
      </c>
      <c r="K186" s="10">
        <v>9680</v>
      </c>
      <c r="L186" s="397">
        <f t="shared" si="22"/>
        <v>116722.0098047505</v>
      </c>
      <c r="M186" s="14">
        <f t="shared" si="23"/>
        <v>0</v>
      </c>
      <c r="N186" s="2">
        <f t="shared" si="24"/>
        <v>0</v>
      </c>
      <c r="O186" s="130">
        <f t="shared" si="25"/>
        <v>0</v>
      </c>
      <c r="P186" s="438">
        <f t="shared" si="26"/>
        <v>0</v>
      </c>
      <c r="Q186" s="126"/>
    </row>
    <row r="187" spans="1:17" x14ac:dyDescent="0.25">
      <c r="A187" s="49">
        <f>+'A) Base RI'!A189</f>
        <v>5711</v>
      </c>
      <c r="B187" s="291" t="str">
        <f>+'A) Base RI'!B189</f>
        <v>Commugny</v>
      </c>
      <c r="C187" s="302">
        <f>+'D) Ecrêtage'!C187</f>
        <v>257446.98641964147</v>
      </c>
      <c r="D187" s="439">
        <v>578949</v>
      </c>
      <c r="E187" s="440">
        <v>156025</v>
      </c>
      <c r="F187" s="439">
        <v>151425</v>
      </c>
      <c r="G187" s="302">
        <f t="shared" si="18"/>
        <v>886399</v>
      </c>
      <c r="H187" s="283">
        <f t="shared" si="19"/>
        <v>2059575.8913571318</v>
      </c>
      <c r="I187" s="10">
        <f t="shared" si="20"/>
        <v>0</v>
      </c>
      <c r="J187" s="447">
        <f t="shared" si="21"/>
        <v>0</v>
      </c>
      <c r="K187" s="10">
        <v>0</v>
      </c>
      <c r="L187" s="397">
        <f t="shared" si="22"/>
        <v>257446.98641964147</v>
      </c>
      <c r="M187" s="14">
        <f t="shared" si="23"/>
        <v>0</v>
      </c>
      <c r="N187" s="2">
        <f t="shared" si="24"/>
        <v>0</v>
      </c>
      <c r="O187" s="130">
        <f t="shared" si="25"/>
        <v>0</v>
      </c>
      <c r="P187" s="438">
        <f t="shared" si="26"/>
        <v>0</v>
      </c>
      <c r="Q187" s="126"/>
    </row>
    <row r="188" spans="1:17" x14ac:dyDescent="0.25">
      <c r="A188" s="49">
        <f>+'A) Base RI'!A190</f>
        <v>5712</v>
      </c>
      <c r="B188" s="291" t="str">
        <f>+'A) Base RI'!B190</f>
        <v>Coppet</v>
      </c>
      <c r="C188" s="302">
        <f>+'D) Ecrêtage'!C188</f>
        <v>389580.29972433241</v>
      </c>
      <c r="D188" s="439">
        <v>637704</v>
      </c>
      <c r="E188" s="440">
        <v>298166</v>
      </c>
      <c r="F188" s="439">
        <v>165477</v>
      </c>
      <c r="G188" s="302">
        <f t="shared" si="18"/>
        <v>1101347</v>
      </c>
      <c r="H188" s="283">
        <f t="shared" si="19"/>
        <v>3116642.3977946592</v>
      </c>
      <c r="I188" s="10">
        <f t="shared" si="20"/>
        <v>0</v>
      </c>
      <c r="J188" s="447">
        <f t="shared" si="21"/>
        <v>0</v>
      </c>
      <c r="K188" s="10">
        <v>0</v>
      </c>
      <c r="L188" s="397">
        <f t="shared" si="22"/>
        <v>389580.29972433241</v>
      </c>
      <c r="M188" s="14">
        <f t="shared" si="23"/>
        <v>0</v>
      </c>
      <c r="N188" s="2">
        <f t="shared" si="24"/>
        <v>0</v>
      </c>
      <c r="O188" s="130">
        <f t="shared" si="25"/>
        <v>0</v>
      </c>
      <c r="P188" s="438">
        <f t="shared" si="26"/>
        <v>0</v>
      </c>
      <c r="Q188" s="126"/>
    </row>
    <row r="189" spans="1:17" x14ac:dyDescent="0.25">
      <c r="A189" s="49">
        <f>+'A) Base RI'!A191</f>
        <v>5713</v>
      </c>
      <c r="B189" s="291" t="str">
        <f>+'A) Base RI'!B191</f>
        <v>Crans-près-Céligny</v>
      </c>
      <c r="C189" s="302">
        <f>+'D) Ecrêtage'!C189</f>
        <v>285688.37252656295</v>
      </c>
      <c r="D189" s="439">
        <v>363040</v>
      </c>
      <c r="E189" s="440">
        <v>92029</v>
      </c>
      <c r="F189" s="439">
        <v>117738</v>
      </c>
      <c r="G189" s="302">
        <f t="shared" si="18"/>
        <v>572807</v>
      </c>
      <c r="H189" s="283">
        <f t="shared" si="19"/>
        <v>2285506.9802125036</v>
      </c>
      <c r="I189" s="10">
        <f t="shared" si="20"/>
        <v>0</v>
      </c>
      <c r="J189" s="447">
        <f t="shared" si="21"/>
        <v>0</v>
      </c>
      <c r="K189" s="10">
        <v>38871</v>
      </c>
      <c r="L189" s="397">
        <f t="shared" si="22"/>
        <v>285688.37252656295</v>
      </c>
      <c r="M189" s="14">
        <f t="shared" si="23"/>
        <v>0</v>
      </c>
      <c r="N189" s="2">
        <f t="shared" si="24"/>
        <v>0</v>
      </c>
      <c r="O189" s="130">
        <f t="shared" si="25"/>
        <v>0</v>
      </c>
      <c r="P189" s="438">
        <f t="shared" si="26"/>
        <v>0</v>
      </c>
      <c r="Q189" s="126"/>
    </row>
    <row r="190" spans="1:17" x14ac:dyDescent="0.25">
      <c r="A190" s="49">
        <f>+'A) Base RI'!A192</f>
        <v>5714</v>
      </c>
      <c r="B190" s="291" t="str">
        <f>+'A) Base RI'!B192</f>
        <v>Crassier</v>
      </c>
      <c r="C190" s="302">
        <f>+'D) Ecrêtage'!C190</f>
        <v>69464.601004636497</v>
      </c>
      <c r="D190" s="439">
        <v>150919</v>
      </c>
      <c r="E190" s="440">
        <v>46442</v>
      </c>
      <c r="F190" s="439">
        <v>206823</v>
      </c>
      <c r="G190" s="302">
        <f t="shared" si="18"/>
        <v>404184</v>
      </c>
      <c r="H190" s="283">
        <f t="shared" si="19"/>
        <v>555716.80803709198</v>
      </c>
      <c r="I190" s="10">
        <f t="shared" si="20"/>
        <v>0</v>
      </c>
      <c r="J190" s="447">
        <f t="shared" si="21"/>
        <v>0</v>
      </c>
      <c r="K190" s="10">
        <v>11549</v>
      </c>
      <c r="L190" s="397">
        <f t="shared" si="22"/>
        <v>69464.601004636497</v>
      </c>
      <c r="M190" s="14">
        <f t="shared" si="23"/>
        <v>0</v>
      </c>
      <c r="N190" s="2">
        <f t="shared" si="24"/>
        <v>0</v>
      </c>
      <c r="O190" s="130">
        <f t="shared" si="25"/>
        <v>0</v>
      </c>
      <c r="P190" s="438">
        <f t="shared" si="26"/>
        <v>0</v>
      </c>
      <c r="Q190" s="126"/>
    </row>
    <row r="191" spans="1:17" x14ac:dyDescent="0.25">
      <c r="A191" s="49">
        <f>+'A) Base RI'!A193</f>
        <v>5715</v>
      </c>
      <c r="B191" s="291" t="str">
        <f>+'A) Base RI'!B193</f>
        <v>Duillier</v>
      </c>
      <c r="C191" s="302">
        <f>+'D) Ecrêtage'!C191</f>
        <v>70057.743908647069</v>
      </c>
      <c r="D191" s="439">
        <v>121682</v>
      </c>
      <c r="E191" s="440">
        <v>42885</v>
      </c>
      <c r="F191" s="439">
        <v>107961</v>
      </c>
      <c r="G191" s="302">
        <f t="shared" si="18"/>
        <v>272528</v>
      </c>
      <c r="H191" s="283">
        <f t="shared" si="19"/>
        <v>560461.95126917656</v>
      </c>
      <c r="I191" s="10">
        <f t="shared" si="20"/>
        <v>0</v>
      </c>
      <c r="J191" s="447">
        <f t="shared" si="21"/>
        <v>0</v>
      </c>
      <c r="K191" s="10">
        <v>4601</v>
      </c>
      <c r="L191" s="397">
        <f t="shared" si="22"/>
        <v>70057.743908647069</v>
      </c>
      <c r="M191" s="14">
        <f t="shared" si="23"/>
        <v>0</v>
      </c>
      <c r="N191" s="2">
        <f t="shared" si="24"/>
        <v>0</v>
      </c>
      <c r="O191" s="130">
        <f t="shared" si="25"/>
        <v>0</v>
      </c>
      <c r="P191" s="438">
        <f t="shared" si="26"/>
        <v>0</v>
      </c>
      <c r="Q191" s="126"/>
    </row>
    <row r="192" spans="1:17" x14ac:dyDescent="0.25">
      <c r="A192" s="49">
        <f>+'A) Base RI'!A194</f>
        <v>5716</v>
      </c>
      <c r="B192" s="291" t="str">
        <f>+'A) Base RI'!B194</f>
        <v>Eysins</v>
      </c>
      <c r="C192" s="302">
        <f>+'D) Ecrêtage'!C192</f>
        <v>215421.00462875623</v>
      </c>
      <c r="D192" s="439">
        <v>194082</v>
      </c>
      <c r="E192" s="440">
        <v>63952</v>
      </c>
      <c r="F192" s="439">
        <v>313120</v>
      </c>
      <c r="G192" s="302">
        <f t="shared" si="18"/>
        <v>571154</v>
      </c>
      <c r="H192" s="283">
        <f t="shared" si="19"/>
        <v>1723368.0370300498</v>
      </c>
      <c r="I192" s="10">
        <f t="shared" si="20"/>
        <v>0</v>
      </c>
      <c r="J192" s="447">
        <f t="shared" si="21"/>
        <v>0</v>
      </c>
      <c r="K192" s="10">
        <v>4123</v>
      </c>
      <c r="L192" s="397">
        <f t="shared" si="22"/>
        <v>215421.00462875623</v>
      </c>
      <c r="M192" s="14">
        <f t="shared" si="23"/>
        <v>0</v>
      </c>
      <c r="N192" s="2">
        <f t="shared" si="24"/>
        <v>0</v>
      </c>
      <c r="O192" s="130">
        <f t="shared" si="25"/>
        <v>0</v>
      </c>
      <c r="P192" s="438">
        <f t="shared" si="26"/>
        <v>0</v>
      </c>
      <c r="Q192" s="126"/>
    </row>
    <row r="193" spans="1:17" x14ac:dyDescent="0.25">
      <c r="A193" s="49">
        <f>+'A) Base RI'!A195</f>
        <v>5717</v>
      </c>
      <c r="B193" s="291" t="str">
        <f>+'A) Base RI'!B195</f>
        <v>Founex</v>
      </c>
      <c r="C193" s="302">
        <f>+'D) Ecrêtage'!C193</f>
        <v>344785.57941848523</v>
      </c>
      <c r="D193" s="439">
        <v>1122337</v>
      </c>
      <c r="E193" s="440">
        <v>147802</v>
      </c>
      <c r="F193" s="439">
        <v>206509</v>
      </c>
      <c r="G193" s="302">
        <f t="shared" si="18"/>
        <v>1476648</v>
      </c>
      <c r="H193" s="283">
        <f t="shared" si="19"/>
        <v>2758284.6353478818</v>
      </c>
      <c r="I193" s="10">
        <f t="shared" si="20"/>
        <v>0</v>
      </c>
      <c r="J193" s="447">
        <f t="shared" si="21"/>
        <v>0</v>
      </c>
      <c r="K193" s="10">
        <v>9600</v>
      </c>
      <c r="L193" s="397">
        <f t="shared" si="22"/>
        <v>344785.57941848523</v>
      </c>
      <c r="M193" s="14">
        <f t="shared" si="23"/>
        <v>0</v>
      </c>
      <c r="N193" s="2">
        <f t="shared" si="24"/>
        <v>0</v>
      </c>
      <c r="O193" s="130">
        <f t="shared" si="25"/>
        <v>0</v>
      </c>
      <c r="P193" s="438">
        <f t="shared" si="26"/>
        <v>0</v>
      </c>
      <c r="Q193" s="126"/>
    </row>
    <row r="194" spans="1:17" s="260" customFormat="1" x14ac:dyDescent="0.25">
      <c r="A194" s="49">
        <f>+'A) Base RI'!A196</f>
        <v>5718</v>
      </c>
      <c r="B194" s="291" t="str">
        <f>+'A) Base RI'!B196</f>
        <v>Genolier</v>
      </c>
      <c r="C194" s="302">
        <f>+'D) Ecrêtage'!C194</f>
        <v>170276.54994177341</v>
      </c>
      <c r="D194" s="439">
        <v>570548</v>
      </c>
      <c r="E194" s="440">
        <v>133495</v>
      </c>
      <c r="F194" s="439">
        <v>135950</v>
      </c>
      <c r="G194" s="302">
        <f t="shared" si="18"/>
        <v>839993</v>
      </c>
      <c r="H194" s="283">
        <f t="shared" si="19"/>
        <v>1362212.3995341873</v>
      </c>
      <c r="I194" s="10">
        <f t="shared" si="20"/>
        <v>0</v>
      </c>
      <c r="J194" s="447">
        <f t="shared" si="21"/>
        <v>0</v>
      </c>
      <c r="K194" s="10">
        <v>120183</v>
      </c>
      <c r="L194" s="448">
        <f t="shared" si="22"/>
        <v>170276.54994177341</v>
      </c>
      <c r="M194" s="1">
        <f t="shared" si="23"/>
        <v>0</v>
      </c>
      <c r="N194" s="2">
        <f t="shared" si="24"/>
        <v>0</v>
      </c>
      <c r="O194" s="130">
        <f t="shared" si="25"/>
        <v>0</v>
      </c>
      <c r="P194" s="438">
        <f t="shared" si="26"/>
        <v>0</v>
      </c>
      <c r="Q194" s="259"/>
    </row>
    <row r="195" spans="1:17" x14ac:dyDescent="0.25">
      <c r="A195" s="49">
        <f>+'A) Base RI'!A197</f>
        <v>5719</v>
      </c>
      <c r="B195" s="291" t="str">
        <f>+'A) Base RI'!B197</f>
        <v>Gingins</v>
      </c>
      <c r="C195" s="302">
        <f>+'D) Ecrêtage'!C195</f>
        <v>142327.02027947939</v>
      </c>
      <c r="D195" s="439">
        <v>241074</v>
      </c>
      <c r="E195" s="440">
        <v>49883</v>
      </c>
      <c r="F195" s="439">
        <v>194906</v>
      </c>
      <c r="G195" s="302">
        <f t="shared" si="18"/>
        <v>485863</v>
      </c>
      <c r="H195" s="283">
        <f t="shared" si="19"/>
        <v>1138616.1622358351</v>
      </c>
      <c r="I195" s="10">
        <f t="shared" si="20"/>
        <v>0</v>
      </c>
      <c r="J195" s="447">
        <f t="shared" si="21"/>
        <v>0</v>
      </c>
      <c r="K195" s="10">
        <v>60543</v>
      </c>
      <c r="L195" s="397">
        <f t="shared" si="22"/>
        <v>142327.02027947939</v>
      </c>
      <c r="M195" s="14">
        <f t="shared" si="23"/>
        <v>0</v>
      </c>
      <c r="N195" s="2">
        <f t="shared" si="24"/>
        <v>0</v>
      </c>
      <c r="O195" s="130">
        <f t="shared" si="25"/>
        <v>0</v>
      </c>
      <c r="P195" s="438">
        <f t="shared" si="26"/>
        <v>0</v>
      </c>
      <c r="Q195" s="126"/>
    </row>
    <row r="196" spans="1:17" x14ac:dyDescent="0.25">
      <c r="A196" s="49">
        <f>+'A) Base RI'!A198</f>
        <v>5720</v>
      </c>
      <c r="B196" s="291" t="str">
        <f>+'A) Base RI'!B198</f>
        <v>Givrins</v>
      </c>
      <c r="C196" s="302">
        <f>+'D) Ecrêtage'!C196</f>
        <v>82417.202201596621</v>
      </c>
      <c r="D196" s="439">
        <v>326721</v>
      </c>
      <c r="E196" s="440">
        <v>80412</v>
      </c>
      <c r="F196" s="439">
        <v>67918</v>
      </c>
      <c r="G196" s="302">
        <f t="shared" si="18"/>
        <v>475051</v>
      </c>
      <c r="H196" s="283">
        <f t="shared" si="19"/>
        <v>659337.61761277297</v>
      </c>
      <c r="I196" s="10">
        <f t="shared" si="20"/>
        <v>0</v>
      </c>
      <c r="J196" s="447">
        <f t="shared" si="21"/>
        <v>0</v>
      </c>
      <c r="K196" s="10">
        <v>136356</v>
      </c>
      <c r="L196" s="397">
        <f t="shared" si="22"/>
        <v>82417.202201596621</v>
      </c>
      <c r="M196" s="14">
        <f t="shared" si="23"/>
        <v>53938.797798403379</v>
      </c>
      <c r="N196" s="2">
        <f t="shared" si="24"/>
        <v>-38840.411031098825</v>
      </c>
      <c r="O196" s="130">
        <f t="shared" si="25"/>
        <v>-38840.411031098825</v>
      </c>
      <c r="P196" s="438">
        <f t="shared" si="26"/>
        <v>-0.47126582792865529</v>
      </c>
      <c r="Q196" s="126"/>
    </row>
    <row r="197" spans="1:17" x14ac:dyDescent="0.25">
      <c r="A197" s="49">
        <f>+'A) Base RI'!A199</f>
        <v>5721</v>
      </c>
      <c r="B197" s="291" t="str">
        <f>+'A) Base RI'!B199</f>
        <v>Gland</v>
      </c>
      <c r="C197" s="302">
        <f>+'D) Ecrêtage'!C197</f>
        <v>657906.43691215932</v>
      </c>
      <c r="D197" s="439">
        <v>2841679</v>
      </c>
      <c r="E197" s="440">
        <v>853041</v>
      </c>
      <c r="F197" s="439">
        <v>42445</v>
      </c>
      <c r="G197" s="302">
        <f t="shared" ref="G197:G260" si="27">SUM(D197:F197)</f>
        <v>3737165</v>
      </c>
      <c r="H197" s="283">
        <f t="shared" ref="H197:H260" si="28">+C197*$I$4</f>
        <v>5263251.4952972746</v>
      </c>
      <c r="I197" s="10">
        <f t="shared" ref="I197:I260" si="29">IF(G197&gt;H197,G197-H197,0)</f>
        <v>0</v>
      </c>
      <c r="J197" s="447">
        <f t="shared" ref="J197:J260" si="30">-I197*J$4</f>
        <v>0</v>
      </c>
      <c r="K197" s="10">
        <v>41088</v>
      </c>
      <c r="L197" s="397">
        <f t="shared" ref="L197:L260" si="31">C197*M$4</f>
        <v>657906.43691215932</v>
      </c>
      <c r="M197" s="14">
        <f t="shared" ref="M197:M260" si="32">IF(K197&gt;L197,K197-L197,0)</f>
        <v>0</v>
      </c>
      <c r="N197" s="2">
        <f t="shared" ref="N197:N260" si="33">-M197*N$4</f>
        <v>0</v>
      </c>
      <c r="O197" s="130">
        <f t="shared" ref="O197:O260" si="34">N197+J197</f>
        <v>0</v>
      </c>
      <c r="P197" s="438">
        <f t="shared" ref="P197:P260" si="35">+O197/C197</f>
        <v>0</v>
      </c>
      <c r="Q197" s="126"/>
    </row>
    <row r="198" spans="1:17" x14ac:dyDescent="0.25">
      <c r="A198" s="49">
        <f>+'A) Base RI'!A200</f>
        <v>5722</v>
      </c>
      <c r="B198" s="291" t="str">
        <f>+'A) Base RI'!B200</f>
        <v>Grens</v>
      </c>
      <c r="C198" s="302">
        <f>+'D) Ecrêtage'!C198</f>
        <v>20260.981774193551</v>
      </c>
      <c r="D198" s="439">
        <v>364272</v>
      </c>
      <c r="E198" s="440">
        <v>15455</v>
      </c>
      <c r="F198" s="439">
        <v>61580</v>
      </c>
      <c r="G198" s="302">
        <f t="shared" si="27"/>
        <v>441307</v>
      </c>
      <c r="H198" s="283">
        <f t="shared" si="28"/>
        <v>162087.85419354841</v>
      </c>
      <c r="I198" s="10">
        <f t="shared" si="29"/>
        <v>279219.14580645156</v>
      </c>
      <c r="J198" s="447">
        <f t="shared" si="30"/>
        <v>-201060.95859622423</v>
      </c>
      <c r="K198" s="10">
        <v>567</v>
      </c>
      <c r="L198" s="397">
        <f t="shared" si="31"/>
        <v>20260.981774193551</v>
      </c>
      <c r="M198" s="14">
        <f t="shared" si="32"/>
        <v>0</v>
      </c>
      <c r="N198" s="2">
        <f t="shared" si="33"/>
        <v>0</v>
      </c>
      <c r="O198" s="130">
        <f t="shared" si="34"/>
        <v>-201060.95859622423</v>
      </c>
      <c r="P198" s="438">
        <f t="shared" si="35"/>
        <v>-9.9235545857069933</v>
      </c>
      <c r="Q198" s="126"/>
    </row>
    <row r="199" spans="1:17" x14ac:dyDescent="0.25">
      <c r="A199" s="49">
        <f>+'A) Base RI'!A201</f>
        <v>5723</v>
      </c>
      <c r="B199" s="291" t="str">
        <f>+'A) Base RI'!B201</f>
        <v>Mies</v>
      </c>
      <c r="C199" s="302">
        <f>+'D) Ecrêtage'!C199</f>
        <v>196584.50934585766</v>
      </c>
      <c r="D199" s="439">
        <v>175986</v>
      </c>
      <c r="E199" s="440">
        <v>142509</v>
      </c>
      <c r="F199" s="439">
        <v>101832</v>
      </c>
      <c r="G199" s="302">
        <f t="shared" si="27"/>
        <v>420327</v>
      </c>
      <c r="H199" s="283">
        <f t="shared" si="28"/>
        <v>1572676.0747668613</v>
      </c>
      <c r="I199" s="10">
        <f t="shared" si="29"/>
        <v>0</v>
      </c>
      <c r="J199" s="447">
        <f t="shared" si="30"/>
        <v>0</v>
      </c>
      <c r="K199" s="10">
        <v>0</v>
      </c>
      <c r="L199" s="397">
        <f t="shared" si="31"/>
        <v>196584.50934585766</v>
      </c>
      <c r="M199" s="14">
        <f t="shared" si="32"/>
        <v>0</v>
      </c>
      <c r="N199" s="2">
        <f t="shared" si="33"/>
        <v>0</v>
      </c>
      <c r="O199" s="130">
        <f t="shared" si="34"/>
        <v>0</v>
      </c>
      <c r="P199" s="438">
        <f t="shared" si="35"/>
        <v>0</v>
      </c>
      <c r="Q199" s="126"/>
    </row>
    <row r="200" spans="1:17" x14ac:dyDescent="0.25">
      <c r="A200" s="49">
        <f>+'A) Base RI'!A202</f>
        <v>5724</v>
      </c>
      <c r="B200" s="291" t="str">
        <f>+'A) Base RI'!B202</f>
        <v>Nyon</v>
      </c>
      <c r="C200" s="302">
        <f>+'D) Ecrêtage'!C200</f>
        <v>1385271.3719392153</v>
      </c>
      <c r="D200" s="439">
        <v>7423955</v>
      </c>
      <c r="E200" s="440">
        <v>4421567</v>
      </c>
      <c r="F200" s="439">
        <v>178576</v>
      </c>
      <c r="G200" s="302">
        <f t="shared" si="27"/>
        <v>12024098</v>
      </c>
      <c r="H200" s="283">
        <f t="shared" si="28"/>
        <v>11082170.975513723</v>
      </c>
      <c r="I200" s="10">
        <f t="shared" si="29"/>
        <v>941927.02448627725</v>
      </c>
      <c r="J200" s="447">
        <f t="shared" si="30"/>
        <v>-678265.63226497849</v>
      </c>
      <c r="K200" s="10">
        <v>387518</v>
      </c>
      <c r="L200" s="397">
        <f t="shared" si="31"/>
        <v>1385271.3719392153</v>
      </c>
      <c r="M200" s="14">
        <f t="shared" si="32"/>
        <v>0</v>
      </c>
      <c r="N200" s="2">
        <f t="shared" si="33"/>
        <v>0</v>
      </c>
      <c r="O200" s="130">
        <f t="shared" si="34"/>
        <v>-678265.63226497849</v>
      </c>
      <c r="P200" s="438">
        <f t="shared" si="35"/>
        <v>-0.48962654249866377</v>
      </c>
      <c r="Q200" s="126"/>
    </row>
    <row r="201" spans="1:17" x14ac:dyDescent="0.25">
      <c r="A201" s="49">
        <f>+'A) Base RI'!A203</f>
        <v>5725</v>
      </c>
      <c r="B201" s="291" t="str">
        <f>+'A) Base RI'!B203</f>
        <v>Prangins</v>
      </c>
      <c r="C201" s="302">
        <f>+'D) Ecrêtage'!C201</f>
        <v>342757.72234116954</v>
      </c>
      <c r="D201" s="439">
        <v>609459</v>
      </c>
      <c r="E201" s="440">
        <v>895758</v>
      </c>
      <c r="F201" s="439">
        <v>86834</v>
      </c>
      <c r="G201" s="302">
        <f t="shared" si="27"/>
        <v>1592051</v>
      </c>
      <c r="H201" s="283">
        <f t="shared" si="28"/>
        <v>2742061.7787293564</v>
      </c>
      <c r="I201" s="10">
        <f t="shared" si="29"/>
        <v>0</v>
      </c>
      <c r="J201" s="447">
        <f t="shared" si="30"/>
        <v>0</v>
      </c>
      <c r="K201" s="10">
        <v>13646</v>
      </c>
      <c r="L201" s="397">
        <f t="shared" si="31"/>
        <v>342757.72234116954</v>
      </c>
      <c r="M201" s="14">
        <f t="shared" si="32"/>
        <v>0</v>
      </c>
      <c r="N201" s="2">
        <f t="shared" si="33"/>
        <v>0</v>
      </c>
      <c r="O201" s="130">
        <f t="shared" si="34"/>
        <v>0</v>
      </c>
      <c r="P201" s="438">
        <f t="shared" si="35"/>
        <v>0</v>
      </c>
      <c r="Q201" s="126"/>
    </row>
    <row r="202" spans="1:17" x14ac:dyDescent="0.25">
      <c r="A202" s="49">
        <f>+'A) Base RI'!A204</f>
        <v>5726</v>
      </c>
      <c r="B202" s="291" t="str">
        <f>+'A) Base RI'!B204</f>
        <v>La Rippe</v>
      </c>
      <c r="C202" s="302">
        <f>+'D) Ecrêtage'!C202</f>
        <v>61259.007150466066</v>
      </c>
      <c r="D202" s="439">
        <v>241168</v>
      </c>
      <c r="E202" s="440">
        <v>71621</v>
      </c>
      <c r="F202" s="439">
        <v>178743</v>
      </c>
      <c r="G202" s="302">
        <f t="shared" si="27"/>
        <v>491532</v>
      </c>
      <c r="H202" s="283">
        <f t="shared" si="28"/>
        <v>490072.05720372853</v>
      </c>
      <c r="I202" s="10">
        <f t="shared" si="29"/>
        <v>1459.942796271469</v>
      </c>
      <c r="J202" s="447">
        <f t="shared" si="30"/>
        <v>-1051.2799803401276</v>
      </c>
      <c r="K202" s="10">
        <v>32648</v>
      </c>
      <c r="L202" s="397">
        <f t="shared" si="31"/>
        <v>61259.007150466066</v>
      </c>
      <c r="M202" s="14">
        <f t="shared" si="32"/>
        <v>0</v>
      </c>
      <c r="N202" s="2">
        <f t="shared" si="33"/>
        <v>0</v>
      </c>
      <c r="O202" s="130">
        <f t="shared" si="34"/>
        <v>-1051.2799803401276</v>
      </c>
      <c r="P202" s="438">
        <f t="shared" si="35"/>
        <v>-1.7161231127333563E-2</v>
      </c>
      <c r="Q202" s="126"/>
    </row>
    <row r="203" spans="1:17" x14ac:dyDescent="0.25">
      <c r="A203" s="49">
        <f>+'A) Base RI'!A205</f>
        <v>5727</v>
      </c>
      <c r="B203" s="291" t="str">
        <f>+'A) Base RI'!B205</f>
        <v>Saint-Cergue</v>
      </c>
      <c r="C203" s="302">
        <f>+'D) Ecrêtage'!C203</f>
        <v>96033.059668733855</v>
      </c>
      <c r="D203" s="439">
        <v>874488</v>
      </c>
      <c r="E203" s="440">
        <v>225740</v>
      </c>
      <c r="F203" s="439">
        <v>114645</v>
      </c>
      <c r="G203" s="302">
        <f t="shared" si="27"/>
        <v>1214873</v>
      </c>
      <c r="H203" s="283">
        <f t="shared" si="28"/>
        <v>768264.47734987084</v>
      </c>
      <c r="I203" s="10">
        <f t="shared" si="29"/>
        <v>446608.52265012916</v>
      </c>
      <c r="J203" s="447">
        <f t="shared" si="30"/>
        <v>-321595.2022986373</v>
      </c>
      <c r="K203" s="10">
        <v>124912</v>
      </c>
      <c r="L203" s="397">
        <f t="shared" si="31"/>
        <v>96033.059668733855</v>
      </c>
      <c r="M203" s="14">
        <f t="shared" si="32"/>
        <v>28878.940331266145</v>
      </c>
      <c r="N203" s="2">
        <f t="shared" si="33"/>
        <v>-20795.233827813576</v>
      </c>
      <c r="O203" s="130">
        <f t="shared" si="34"/>
        <v>-342390.43612645089</v>
      </c>
      <c r="P203" s="438">
        <f t="shared" si="35"/>
        <v>-3.5653392415854195</v>
      </c>
      <c r="Q203" s="126"/>
    </row>
    <row r="204" spans="1:17" x14ac:dyDescent="0.25">
      <c r="A204" s="49">
        <f>+'A) Base RI'!A206</f>
        <v>5728</v>
      </c>
      <c r="B204" s="291" t="str">
        <f>+'A) Base RI'!B206</f>
        <v>Signy-Avenex</v>
      </c>
      <c r="C204" s="302">
        <f>+'D) Ecrêtage'!C204</f>
        <v>43425.016490818416</v>
      </c>
      <c r="D204" s="439">
        <v>113031</v>
      </c>
      <c r="E204" s="440">
        <v>24102</v>
      </c>
      <c r="F204" s="439">
        <v>91546</v>
      </c>
      <c r="G204" s="302">
        <f t="shared" si="27"/>
        <v>228679</v>
      </c>
      <c r="H204" s="283">
        <f t="shared" si="28"/>
        <v>347400.13192654733</v>
      </c>
      <c r="I204" s="10">
        <f t="shared" si="29"/>
        <v>0</v>
      </c>
      <c r="J204" s="447">
        <f t="shared" si="30"/>
        <v>0</v>
      </c>
      <c r="K204" s="10">
        <v>0</v>
      </c>
      <c r="L204" s="397">
        <f t="shared" si="31"/>
        <v>43425.016490818416</v>
      </c>
      <c r="M204" s="14">
        <f t="shared" si="32"/>
        <v>0</v>
      </c>
      <c r="N204" s="2">
        <f t="shared" si="33"/>
        <v>0</v>
      </c>
      <c r="O204" s="130">
        <f t="shared" si="34"/>
        <v>0</v>
      </c>
      <c r="P204" s="438">
        <f t="shared" si="35"/>
        <v>0</v>
      </c>
      <c r="Q204" s="126"/>
    </row>
    <row r="205" spans="1:17" x14ac:dyDescent="0.25">
      <c r="A205" s="49">
        <f>+'A) Base RI'!A207</f>
        <v>5729</v>
      </c>
      <c r="B205" s="291" t="str">
        <f>+'A) Base RI'!B207</f>
        <v>Tannay</v>
      </c>
      <c r="C205" s="302">
        <f>+'D) Ecrêtage'!C205</f>
        <v>176785.12407552512</v>
      </c>
      <c r="D205" s="439">
        <v>629198</v>
      </c>
      <c r="E205" s="440">
        <v>109041</v>
      </c>
      <c r="F205" s="439">
        <v>77397</v>
      </c>
      <c r="G205" s="302">
        <f t="shared" si="27"/>
        <v>815636</v>
      </c>
      <c r="H205" s="283">
        <f t="shared" si="28"/>
        <v>1414280.992604201</v>
      </c>
      <c r="I205" s="10">
        <f t="shared" si="29"/>
        <v>0</v>
      </c>
      <c r="J205" s="447">
        <f t="shared" si="30"/>
        <v>0</v>
      </c>
      <c r="K205" s="10">
        <v>0</v>
      </c>
      <c r="L205" s="397">
        <f t="shared" si="31"/>
        <v>176785.12407552512</v>
      </c>
      <c r="M205" s="14">
        <f t="shared" si="32"/>
        <v>0</v>
      </c>
      <c r="N205" s="2">
        <f t="shared" si="33"/>
        <v>0</v>
      </c>
      <c r="O205" s="130">
        <f t="shared" si="34"/>
        <v>0</v>
      </c>
      <c r="P205" s="438">
        <f t="shared" si="35"/>
        <v>0</v>
      </c>
      <c r="Q205" s="126"/>
    </row>
    <row r="206" spans="1:17" x14ac:dyDescent="0.25">
      <c r="A206" s="49">
        <f>+'A) Base RI'!A208</f>
        <v>5730</v>
      </c>
      <c r="B206" s="291" t="str">
        <f>+'A) Base RI'!B208</f>
        <v>Trélex</v>
      </c>
      <c r="C206" s="302">
        <f>+'D) Ecrêtage'!C206</f>
        <v>134389.74453035684</v>
      </c>
      <c r="D206" s="439">
        <v>254288</v>
      </c>
      <c r="E206" s="440">
        <v>92753</v>
      </c>
      <c r="F206" s="439">
        <v>90882</v>
      </c>
      <c r="G206" s="302">
        <f t="shared" si="27"/>
        <v>437923</v>
      </c>
      <c r="H206" s="283">
        <f t="shared" si="28"/>
        <v>1075117.9562428547</v>
      </c>
      <c r="I206" s="10">
        <f t="shared" si="29"/>
        <v>0</v>
      </c>
      <c r="J206" s="447">
        <f t="shared" si="30"/>
        <v>0</v>
      </c>
      <c r="K206" s="10">
        <v>-13775</v>
      </c>
      <c r="L206" s="397">
        <f t="shared" si="31"/>
        <v>134389.74453035684</v>
      </c>
      <c r="M206" s="14">
        <f t="shared" si="32"/>
        <v>0</v>
      </c>
      <c r="N206" s="2">
        <f t="shared" si="33"/>
        <v>0</v>
      </c>
      <c r="O206" s="130">
        <f t="shared" si="34"/>
        <v>0</v>
      </c>
      <c r="P206" s="438">
        <f t="shared" si="35"/>
        <v>0</v>
      </c>
      <c r="Q206" s="126"/>
    </row>
    <row r="207" spans="1:17" x14ac:dyDescent="0.25">
      <c r="A207" s="49">
        <f>+'A) Base RI'!A209</f>
        <v>5731</v>
      </c>
      <c r="B207" s="291" t="str">
        <f>+'A) Base RI'!B209</f>
        <v>Le Vaud</v>
      </c>
      <c r="C207" s="302">
        <f>+'D) Ecrêtage'!C207</f>
        <v>61951.44694342916</v>
      </c>
      <c r="D207" s="439">
        <v>437107</v>
      </c>
      <c r="E207" s="440">
        <v>52134</v>
      </c>
      <c r="F207" s="439">
        <v>149812</v>
      </c>
      <c r="G207" s="302">
        <f t="shared" si="27"/>
        <v>639053</v>
      </c>
      <c r="H207" s="283">
        <f t="shared" si="28"/>
        <v>495611.57554743328</v>
      </c>
      <c r="I207" s="10">
        <f t="shared" si="29"/>
        <v>143441.42445256672</v>
      </c>
      <c r="J207" s="447">
        <f t="shared" si="30"/>
        <v>-103289.73043572201</v>
      </c>
      <c r="K207" s="10">
        <v>-21016</v>
      </c>
      <c r="L207" s="397">
        <f t="shared" si="31"/>
        <v>61951.44694342916</v>
      </c>
      <c r="M207" s="14">
        <f t="shared" si="32"/>
        <v>0</v>
      </c>
      <c r="N207" s="2">
        <f t="shared" si="33"/>
        <v>0</v>
      </c>
      <c r="O207" s="130">
        <f t="shared" si="34"/>
        <v>-103289.73043572201</v>
      </c>
      <c r="P207" s="438">
        <f t="shared" si="35"/>
        <v>-1.6672690555563749</v>
      </c>
      <c r="Q207" s="126"/>
    </row>
    <row r="208" spans="1:17" x14ac:dyDescent="0.25">
      <c r="A208" s="49">
        <f>+'A) Base RI'!A210</f>
        <v>5732</v>
      </c>
      <c r="B208" s="291" t="str">
        <f>+'A) Base RI'!B210</f>
        <v>Vich</v>
      </c>
      <c r="C208" s="302">
        <f>+'D) Ecrêtage'!C208</f>
        <v>62590.343939393941</v>
      </c>
      <c r="D208" s="439">
        <v>232917</v>
      </c>
      <c r="E208" s="440">
        <v>64289</v>
      </c>
      <c r="F208" s="439">
        <v>111298</v>
      </c>
      <c r="G208" s="302">
        <f t="shared" si="27"/>
        <v>408504</v>
      </c>
      <c r="H208" s="283">
        <f t="shared" si="28"/>
        <v>500722.75151515153</v>
      </c>
      <c r="I208" s="10">
        <f t="shared" si="29"/>
        <v>0</v>
      </c>
      <c r="J208" s="447">
        <f t="shared" si="30"/>
        <v>0</v>
      </c>
      <c r="K208" s="10">
        <v>15640</v>
      </c>
      <c r="L208" s="397">
        <f t="shared" si="31"/>
        <v>62590.343939393941</v>
      </c>
      <c r="M208" s="14">
        <f t="shared" si="32"/>
        <v>0</v>
      </c>
      <c r="N208" s="2">
        <f t="shared" si="33"/>
        <v>0</v>
      </c>
      <c r="O208" s="130">
        <f t="shared" si="34"/>
        <v>0</v>
      </c>
      <c r="P208" s="438">
        <f t="shared" si="35"/>
        <v>0</v>
      </c>
      <c r="Q208" s="126"/>
    </row>
    <row r="209" spans="1:17" x14ac:dyDescent="0.25">
      <c r="A209" s="49">
        <f>+'A) Base RI'!A211</f>
        <v>5741</v>
      </c>
      <c r="B209" s="291" t="str">
        <f>+'A) Base RI'!B211</f>
        <v>L'Abergement</v>
      </c>
      <c r="C209" s="302">
        <f>+'D) Ecrêtage'!C209</f>
        <v>7136.3252688010616</v>
      </c>
      <c r="D209" s="439">
        <v>165756</v>
      </c>
      <c r="E209" s="440">
        <v>10467</v>
      </c>
      <c r="F209" s="439">
        <v>18154</v>
      </c>
      <c r="G209" s="302">
        <f t="shared" si="27"/>
        <v>194377</v>
      </c>
      <c r="H209" s="283">
        <f t="shared" si="28"/>
        <v>57090.602150408493</v>
      </c>
      <c r="I209" s="10">
        <f t="shared" si="29"/>
        <v>137286.39784959151</v>
      </c>
      <c r="J209" s="447">
        <f t="shared" si="30"/>
        <v>-98857.600449058096</v>
      </c>
      <c r="K209" s="10">
        <v>29969</v>
      </c>
      <c r="L209" s="397">
        <f t="shared" si="31"/>
        <v>7136.3252688010616</v>
      </c>
      <c r="M209" s="14">
        <f t="shared" si="32"/>
        <v>22832.674731198938</v>
      </c>
      <c r="N209" s="2">
        <f t="shared" si="33"/>
        <v>-16441.420789793749</v>
      </c>
      <c r="O209" s="130">
        <f t="shared" si="34"/>
        <v>-115299.02123885184</v>
      </c>
      <c r="P209" s="438">
        <f t="shared" si="35"/>
        <v>-16.156637610525095</v>
      </c>
      <c r="Q209" s="126"/>
    </row>
    <row r="210" spans="1:17" x14ac:dyDescent="0.25">
      <c r="A210" s="49">
        <f>+'A) Base RI'!A212</f>
        <v>5742</v>
      </c>
      <c r="B210" s="291" t="str">
        <f>+'A) Base RI'!B212</f>
        <v>Agiez</v>
      </c>
      <c r="C210" s="302">
        <f>+'D) Ecrêtage'!C210</f>
        <v>9012.3275646255879</v>
      </c>
      <c r="D210" s="439">
        <v>21890</v>
      </c>
      <c r="E210" s="440">
        <v>13801</v>
      </c>
      <c r="F210" s="439">
        <v>35639</v>
      </c>
      <c r="G210" s="302">
        <f t="shared" si="27"/>
        <v>71330</v>
      </c>
      <c r="H210" s="283">
        <f t="shared" si="28"/>
        <v>72098.620517004703</v>
      </c>
      <c r="I210" s="10">
        <f t="shared" si="29"/>
        <v>0</v>
      </c>
      <c r="J210" s="447">
        <f t="shared" si="30"/>
        <v>0</v>
      </c>
      <c r="K210" s="10">
        <v>31570</v>
      </c>
      <c r="L210" s="397">
        <f t="shared" si="31"/>
        <v>9012.3275646255879</v>
      </c>
      <c r="M210" s="14">
        <f t="shared" si="32"/>
        <v>22557.672435374414</v>
      </c>
      <c r="N210" s="2">
        <f t="shared" si="33"/>
        <v>-16243.396313159297</v>
      </c>
      <c r="O210" s="130">
        <f t="shared" si="34"/>
        <v>-16243.396313159297</v>
      </c>
      <c r="P210" s="438">
        <f t="shared" si="35"/>
        <v>-1.8023530765699727</v>
      </c>
      <c r="Q210" s="126"/>
    </row>
    <row r="211" spans="1:17" x14ac:dyDescent="0.25">
      <c r="A211" s="49">
        <f>+'A) Base RI'!A213</f>
        <v>5743</v>
      </c>
      <c r="B211" s="291" t="str">
        <f>+'A) Base RI'!B213</f>
        <v>Arnex-sur-Orbe</v>
      </c>
      <c r="C211" s="302">
        <f>+'D) Ecrêtage'!C211</f>
        <v>18985.341168070638</v>
      </c>
      <c r="D211" s="439">
        <v>119383</v>
      </c>
      <c r="E211" s="440">
        <v>66578</v>
      </c>
      <c r="F211" s="439">
        <v>66191</v>
      </c>
      <c r="G211" s="302">
        <f t="shared" si="27"/>
        <v>252152</v>
      </c>
      <c r="H211" s="283">
        <f t="shared" si="28"/>
        <v>151882.7293445651</v>
      </c>
      <c r="I211" s="10">
        <f t="shared" si="29"/>
        <v>100269.2706554349</v>
      </c>
      <c r="J211" s="447">
        <f t="shared" si="30"/>
        <v>-72202.196656316039</v>
      </c>
      <c r="K211" s="10">
        <v>889</v>
      </c>
      <c r="L211" s="397">
        <f t="shared" si="31"/>
        <v>18985.341168070638</v>
      </c>
      <c r="M211" s="14">
        <f t="shared" si="32"/>
        <v>0</v>
      </c>
      <c r="N211" s="2">
        <f t="shared" si="33"/>
        <v>0</v>
      </c>
      <c r="O211" s="130">
        <f t="shared" si="34"/>
        <v>-72202.196656316039</v>
      </c>
      <c r="P211" s="438">
        <f t="shared" si="35"/>
        <v>-3.803049732798323</v>
      </c>
      <c r="Q211" s="126"/>
    </row>
    <row r="212" spans="1:17" x14ac:dyDescent="0.25">
      <c r="A212" s="49">
        <f>+'A) Base RI'!A214</f>
        <v>5744</v>
      </c>
      <c r="B212" s="291" t="str">
        <f>+'A) Base RI'!B214</f>
        <v>Ballaigues</v>
      </c>
      <c r="C212" s="302">
        <f>+'D) Ecrêtage'!C212</f>
        <v>59853.218669078378</v>
      </c>
      <c r="D212" s="439">
        <v>674235</v>
      </c>
      <c r="E212" s="440">
        <v>45370</v>
      </c>
      <c r="F212" s="439">
        <v>120197</v>
      </c>
      <c r="G212" s="302">
        <f t="shared" si="27"/>
        <v>839802</v>
      </c>
      <c r="H212" s="283">
        <f t="shared" si="28"/>
        <v>478825.74935262703</v>
      </c>
      <c r="I212" s="10">
        <f t="shared" si="29"/>
        <v>360976.25064737297</v>
      </c>
      <c r="J212" s="447">
        <f t="shared" si="30"/>
        <v>-259932.85946065217</v>
      </c>
      <c r="K212" s="10">
        <v>92854</v>
      </c>
      <c r="L212" s="397">
        <f t="shared" si="31"/>
        <v>59853.218669078378</v>
      </c>
      <c r="M212" s="14">
        <f t="shared" si="32"/>
        <v>33000.781330921622</v>
      </c>
      <c r="N212" s="2">
        <f t="shared" si="33"/>
        <v>-23763.3014371401</v>
      </c>
      <c r="O212" s="130">
        <f t="shared" si="34"/>
        <v>-283696.16089779226</v>
      </c>
      <c r="P212" s="438">
        <f t="shared" si="35"/>
        <v>-4.739864742551541</v>
      </c>
      <c r="Q212" s="126"/>
    </row>
    <row r="213" spans="1:17" x14ac:dyDescent="0.25">
      <c r="A213" s="49">
        <f>+'A) Base RI'!A215</f>
        <v>5745</v>
      </c>
      <c r="B213" s="291" t="str">
        <f>+'A) Base RI'!B215</f>
        <v>Baulmes</v>
      </c>
      <c r="C213" s="302">
        <f>+'D) Ecrêtage'!C213</f>
        <v>27688.42729631942</v>
      </c>
      <c r="D213" s="439">
        <v>223214</v>
      </c>
      <c r="E213" s="440">
        <v>108361</v>
      </c>
      <c r="F213" s="439">
        <v>78132</v>
      </c>
      <c r="G213" s="302">
        <f t="shared" si="27"/>
        <v>409707</v>
      </c>
      <c r="H213" s="283">
        <f t="shared" si="28"/>
        <v>221507.41837055536</v>
      </c>
      <c r="I213" s="10">
        <f t="shared" si="29"/>
        <v>188199.58162944464</v>
      </c>
      <c r="J213" s="447">
        <f t="shared" si="30"/>
        <v>-135519.31827788788</v>
      </c>
      <c r="K213" s="10">
        <v>225084</v>
      </c>
      <c r="L213" s="397">
        <f t="shared" si="31"/>
        <v>27688.42729631942</v>
      </c>
      <c r="M213" s="14">
        <f t="shared" si="32"/>
        <v>197395.57270368058</v>
      </c>
      <c r="N213" s="2">
        <f t="shared" si="33"/>
        <v>-142141.19506677345</v>
      </c>
      <c r="O213" s="130">
        <f t="shared" si="34"/>
        <v>-277660.51334466133</v>
      </c>
      <c r="P213" s="438">
        <f t="shared" si="35"/>
        <v>-10.028034831056306</v>
      </c>
      <c r="Q213" s="126"/>
    </row>
    <row r="214" spans="1:17" x14ac:dyDescent="0.25">
      <c r="A214" s="49">
        <f>+'A) Base RI'!A216</f>
        <v>5746</v>
      </c>
      <c r="B214" s="291" t="str">
        <f>+'A) Base RI'!B216</f>
        <v>Bavois</v>
      </c>
      <c r="C214" s="302">
        <f>+'D) Ecrêtage'!C214</f>
        <v>26210.064905994277</v>
      </c>
      <c r="D214" s="439">
        <v>242857</v>
      </c>
      <c r="E214" s="440">
        <v>99393</v>
      </c>
      <c r="F214" s="439">
        <v>116280</v>
      </c>
      <c r="G214" s="302">
        <f t="shared" si="27"/>
        <v>458530</v>
      </c>
      <c r="H214" s="283">
        <f t="shared" si="28"/>
        <v>209680.51924795422</v>
      </c>
      <c r="I214" s="10">
        <f t="shared" si="29"/>
        <v>248849.48075204578</v>
      </c>
      <c r="J214" s="447">
        <f t="shared" si="30"/>
        <v>-179192.279245999</v>
      </c>
      <c r="K214" s="10">
        <v>43553</v>
      </c>
      <c r="L214" s="397">
        <f t="shared" si="31"/>
        <v>26210.064905994277</v>
      </c>
      <c r="M214" s="14">
        <f t="shared" si="32"/>
        <v>17342.935094005723</v>
      </c>
      <c r="N214" s="2">
        <f t="shared" si="33"/>
        <v>-12488.352633561848</v>
      </c>
      <c r="O214" s="130">
        <f t="shared" si="34"/>
        <v>-191680.63187956085</v>
      </c>
      <c r="P214" s="438">
        <f t="shared" si="35"/>
        <v>-7.3132452196149744</v>
      </c>
      <c r="Q214" s="126"/>
    </row>
    <row r="215" spans="1:17" x14ac:dyDescent="0.25">
      <c r="A215" s="49">
        <f>+'A) Base RI'!A217</f>
        <v>5747</v>
      </c>
      <c r="B215" s="291" t="str">
        <f>+'A) Base RI'!B217</f>
        <v>Bofflens</v>
      </c>
      <c r="C215" s="302">
        <f>+'D) Ecrêtage'!C215</f>
        <v>5918.808029883834</v>
      </c>
      <c r="D215" s="439">
        <v>332343</v>
      </c>
      <c r="E215" s="440">
        <v>8419</v>
      </c>
      <c r="F215" s="439">
        <v>21040</v>
      </c>
      <c r="G215" s="302">
        <f t="shared" si="27"/>
        <v>361802</v>
      </c>
      <c r="H215" s="283">
        <f t="shared" si="28"/>
        <v>47350.464239070672</v>
      </c>
      <c r="I215" s="10">
        <f t="shared" si="29"/>
        <v>314451.53576092934</v>
      </c>
      <c r="J215" s="447">
        <f t="shared" si="30"/>
        <v>-226431.20345326443</v>
      </c>
      <c r="K215" s="10">
        <v>-31866</v>
      </c>
      <c r="L215" s="397">
        <f t="shared" si="31"/>
        <v>5918.808029883834</v>
      </c>
      <c r="M215" s="14">
        <f t="shared" si="32"/>
        <v>0</v>
      </c>
      <c r="N215" s="2">
        <f t="shared" si="33"/>
        <v>0</v>
      </c>
      <c r="O215" s="130">
        <f t="shared" si="34"/>
        <v>-226431.20345326443</v>
      </c>
      <c r="P215" s="438">
        <f t="shared" si="35"/>
        <v>-38.256216844679201</v>
      </c>
      <c r="Q215" s="126"/>
    </row>
    <row r="216" spans="1:17" x14ac:dyDescent="0.25">
      <c r="A216" s="49">
        <f>+'A) Base RI'!A218</f>
        <v>5748</v>
      </c>
      <c r="B216" s="291" t="str">
        <f>+'A) Base RI'!B218</f>
        <v>Bretonnières</v>
      </c>
      <c r="C216" s="302">
        <f>+'D) Ecrêtage'!C216</f>
        <v>7309.8392085479882</v>
      </c>
      <c r="D216" s="439">
        <v>58028</v>
      </c>
      <c r="E216" s="440">
        <v>27961</v>
      </c>
      <c r="F216" s="439">
        <v>32975</v>
      </c>
      <c r="G216" s="302">
        <f t="shared" si="27"/>
        <v>118964</v>
      </c>
      <c r="H216" s="283">
        <f t="shared" si="28"/>
        <v>58478.713668383905</v>
      </c>
      <c r="I216" s="10">
        <f t="shared" si="29"/>
        <v>60485.286331616095</v>
      </c>
      <c r="J216" s="447">
        <f t="shared" si="30"/>
        <v>-43554.426096667892</v>
      </c>
      <c r="K216" s="10">
        <v>17400</v>
      </c>
      <c r="L216" s="397">
        <f t="shared" si="31"/>
        <v>7309.8392085479882</v>
      </c>
      <c r="M216" s="14">
        <f t="shared" si="32"/>
        <v>10090.160791452012</v>
      </c>
      <c r="N216" s="2">
        <f t="shared" si="33"/>
        <v>-7265.7531963286401</v>
      </c>
      <c r="O216" s="130">
        <f t="shared" si="34"/>
        <v>-50820.17929299653</v>
      </c>
      <c r="P216" s="438">
        <f t="shared" si="35"/>
        <v>-6.9522978335239403</v>
      </c>
      <c r="Q216" s="126"/>
    </row>
    <row r="217" spans="1:17" x14ac:dyDescent="0.25">
      <c r="A217" s="49">
        <f>+'A) Base RI'!A219</f>
        <v>5749</v>
      </c>
      <c r="B217" s="291" t="str">
        <f>+'A) Base RI'!B219</f>
        <v>Chavornay</v>
      </c>
      <c r="C217" s="302">
        <f>+'D) Ecrêtage'!C217</f>
        <v>132437.33386463847</v>
      </c>
      <c r="D217" s="439">
        <v>636519</v>
      </c>
      <c r="E217" s="440">
        <v>527140</v>
      </c>
      <c r="F217" s="439">
        <v>644239</v>
      </c>
      <c r="G217" s="302">
        <f t="shared" si="27"/>
        <v>1807898</v>
      </c>
      <c r="H217" s="283">
        <f t="shared" si="28"/>
        <v>1059498.6709171077</v>
      </c>
      <c r="I217" s="10">
        <f t="shared" si="29"/>
        <v>748399.32908289228</v>
      </c>
      <c r="J217" s="447">
        <f t="shared" si="30"/>
        <v>-538909.62986643659</v>
      </c>
      <c r="K217" s="10">
        <v>217910</v>
      </c>
      <c r="L217" s="397">
        <f t="shared" si="31"/>
        <v>132437.33386463847</v>
      </c>
      <c r="M217" s="14">
        <f t="shared" si="32"/>
        <v>85472.666135361535</v>
      </c>
      <c r="N217" s="2">
        <f t="shared" si="33"/>
        <v>-61547.41336707343</v>
      </c>
      <c r="O217" s="130">
        <f t="shared" si="34"/>
        <v>-600457.04323350999</v>
      </c>
      <c r="P217" s="438">
        <f t="shared" si="35"/>
        <v>-4.533895584512635</v>
      </c>
      <c r="Q217" s="126"/>
    </row>
    <row r="218" spans="1:17" x14ac:dyDescent="0.25">
      <c r="A218" s="49">
        <f>+'A) Base RI'!A220</f>
        <v>5750</v>
      </c>
      <c r="B218" s="291" t="str">
        <f>+'A) Base RI'!B220</f>
        <v>Les Clées</v>
      </c>
      <c r="C218" s="302">
        <f>+'D) Ecrêtage'!C218</f>
        <v>5045.6080220470376</v>
      </c>
      <c r="D218" s="439">
        <v>71488</v>
      </c>
      <c r="E218" s="440">
        <v>0</v>
      </c>
      <c r="F218" s="439">
        <v>18154</v>
      </c>
      <c r="G218" s="302">
        <f t="shared" si="27"/>
        <v>89642</v>
      </c>
      <c r="H218" s="283">
        <f t="shared" si="28"/>
        <v>40364.864176376301</v>
      </c>
      <c r="I218" s="10">
        <f t="shared" si="29"/>
        <v>49277.135823623699</v>
      </c>
      <c r="J218" s="447">
        <f t="shared" si="30"/>
        <v>-35483.627517584064</v>
      </c>
      <c r="K218" s="10">
        <v>33649</v>
      </c>
      <c r="L218" s="397">
        <f t="shared" si="31"/>
        <v>5045.6080220470376</v>
      </c>
      <c r="M218" s="14">
        <f t="shared" si="32"/>
        <v>28603.391977952961</v>
      </c>
      <c r="N218" s="2">
        <f t="shared" si="33"/>
        <v>-20596.816144467593</v>
      </c>
      <c r="O218" s="130">
        <f t="shared" si="34"/>
        <v>-56080.443662051657</v>
      </c>
      <c r="P218" s="438">
        <f t="shared" si="35"/>
        <v>-11.114704792168821</v>
      </c>
      <c r="Q218" s="126"/>
    </row>
    <row r="219" spans="1:17" x14ac:dyDescent="0.25">
      <c r="A219" s="49">
        <f>+'A) Base RI'!A221</f>
        <v>5752</v>
      </c>
      <c r="B219" s="291" t="str">
        <f>+'A) Base RI'!B221</f>
        <v>Croy</v>
      </c>
      <c r="C219" s="302">
        <f>+'D) Ecrêtage'!C219</f>
        <v>9708.3693774468666</v>
      </c>
      <c r="D219" s="439">
        <v>113505</v>
      </c>
      <c r="E219" s="440">
        <v>42627</v>
      </c>
      <c r="F219" s="439">
        <v>36655</v>
      </c>
      <c r="G219" s="302">
        <f t="shared" si="27"/>
        <v>192787</v>
      </c>
      <c r="H219" s="283">
        <f t="shared" si="28"/>
        <v>77666.955019574933</v>
      </c>
      <c r="I219" s="10">
        <f t="shared" si="29"/>
        <v>115120.04498042507</v>
      </c>
      <c r="J219" s="447">
        <f t="shared" si="30"/>
        <v>-82895.986700887282</v>
      </c>
      <c r="K219" s="10">
        <v>-9821</v>
      </c>
      <c r="L219" s="397">
        <f t="shared" si="31"/>
        <v>9708.3693774468666</v>
      </c>
      <c r="M219" s="14">
        <f t="shared" si="32"/>
        <v>0</v>
      </c>
      <c r="N219" s="2">
        <f t="shared" si="33"/>
        <v>0</v>
      </c>
      <c r="O219" s="130">
        <f t="shared" si="34"/>
        <v>-82895.986700887282</v>
      </c>
      <c r="P219" s="438">
        <f t="shared" si="35"/>
        <v>-8.538610705672129</v>
      </c>
      <c r="Q219" s="126"/>
    </row>
    <row r="220" spans="1:17" x14ac:dyDescent="0.25">
      <c r="A220" s="49">
        <f>+'A) Base RI'!A222</f>
        <v>5754</v>
      </c>
      <c r="B220" s="291" t="str">
        <f>+'A) Base RI'!B222</f>
        <v>Juriens</v>
      </c>
      <c r="C220" s="302">
        <f>+'D) Ecrêtage'!C220</f>
        <v>9236.0554663405946</v>
      </c>
      <c r="D220" s="439">
        <v>60021</v>
      </c>
      <c r="E220" s="440">
        <v>12999</v>
      </c>
      <c r="F220" s="439">
        <v>30507</v>
      </c>
      <c r="G220" s="302">
        <f t="shared" si="27"/>
        <v>103527</v>
      </c>
      <c r="H220" s="283">
        <f t="shared" si="28"/>
        <v>73888.443730724757</v>
      </c>
      <c r="I220" s="10">
        <f t="shared" si="29"/>
        <v>29638.556269275243</v>
      </c>
      <c r="J220" s="447">
        <f t="shared" si="30"/>
        <v>-21342.220347022208</v>
      </c>
      <c r="K220" s="10">
        <v>25315</v>
      </c>
      <c r="L220" s="397">
        <f t="shared" si="31"/>
        <v>9236.0554663405946</v>
      </c>
      <c r="M220" s="14">
        <f t="shared" si="32"/>
        <v>16078.944533659405</v>
      </c>
      <c r="N220" s="2">
        <f t="shared" si="33"/>
        <v>-11578.174526019133</v>
      </c>
      <c r="O220" s="130">
        <f t="shared" si="34"/>
        <v>-32920.394873041339</v>
      </c>
      <c r="P220" s="438">
        <f t="shared" si="35"/>
        <v>-3.5643349039007761</v>
      </c>
      <c r="Q220" s="126"/>
    </row>
    <row r="221" spans="1:17" x14ac:dyDescent="0.25">
      <c r="A221" s="49">
        <f>+'A) Base RI'!A223</f>
        <v>5755</v>
      </c>
      <c r="B221" s="291" t="str">
        <f>+'A) Base RI'!B223</f>
        <v>Lignerolle</v>
      </c>
      <c r="C221" s="302">
        <f>+'D) Ecrêtage'!C221</f>
        <v>9814.7983020645443</v>
      </c>
      <c r="D221" s="439">
        <v>139406</v>
      </c>
      <c r="E221" s="440">
        <v>17810</v>
      </c>
      <c r="F221" s="439">
        <v>43677</v>
      </c>
      <c r="G221" s="302">
        <f t="shared" si="27"/>
        <v>200893</v>
      </c>
      <c r="H221" s="283">
        <f t="shared" si="28"/>
        <v>78518.386416516354</v>
      </c>
      <c r="I221" s="10">
        <f t="shared" si="29"/>
        <v>122374.61358348365</v>
      </c>
      <c r="J221" s="447">
        <f t="shared" si="30"/>
        <v>-88119.878183400826</v>
      </c>
      <c r="K221" s="10">
        <v>69514</v>
      </c>
      <c r="L221" s="397">
        <f t="shared" si="31"/>
        <v>9814.7983020645443</v>
      </c>
      <c r="M221" s="14">
        <f t="shared" si="32"/>
        <v>59699.201697935452</v>
      </c>
      <c r="N221" s="2">
        <f t="shared" si="33"/>
        <v>-42988.379919823165</v>
      </c>
      <c r="O221" s="130">
        <f t="shared" si="34"/>
        <v>-131108.25810322398</v>
      </c>
      <c r="P221" s="438">
        <f t="shared" si="35"/>
        <v>-13.358222356504804</v>
      </c>
      <c r="Q221" s="126"/>
    </row>
    <row r="222" spans="1:17" x14ac:dyDescent="0.25">
      <c r="A222" s="49">
        <f>+'A) Base RI'!A224</f>
        <v>5756</v>
      </c>
      <c r="B222" s="291" t="str">
        <f>+'A) Base RI'!B224</f>
        <v>Montcherand</v>
      </c>
      <c r="C222" s="302">
        <f>+'D) Ecrêtage'!C222</f>
        <v>16245.150277777775</v>
      </c>
      <c r="D222" s="439">
        <v>139227</v>
      </c>
      <c r="E222" s="440">
        <v>20638</v>
      </c>
      <c r="F222" s="439">
        <v>55328</v>
      </c>
      <c r="G222" s="302">
        <f t="shared" si="27"/>
        <v>215193</v>
      </c>
      <c r="H222" s="283">
        <f t="shared" si="28"/>
        <v>129961.2022222222</v>
      </c>
      <c r="I222" s="10">
        <f t="shared" si="29"/>
        <v>85231.7977777778</v>
      </c>
      <c r="J222" s="447">
        <f t="shared" si="30"/>
        <v>-61373.96815889686</v>
      </c>
      <c r="K222" s="10">
        <v>10209</v>
      </c>
      <c r="L222" s="397">
        <f t="shared" si="31"/>
        <v>16245.150277777775</v>
      </c>
      <c r="M222" s="14">
        <f t="shared" si="32"/>
        <v>0</v>
      </c>
      <c r="N222" s="2">
        <f t="shared" si="33"/>
        <v>0</v>
      </c>
      <c r="O222" s="130">
        <f t="shared" si="34"/>
        <v>-61373.96815889686</v>
      </c>
      <c r="P222" s="438">
        <f t="shared" si="35"/>
        <v>-3.7779870982696995</v>
      </c>
      <c r="Q222" s="126"/>
    </row>
    <row r="223" spans="1:17" x14ac:dyDescent="0.25">
      <c r="A223" s="49">
        <f>+'A) Base RI'!A225</f>
        <v>5757</v>
      </c>
      <c r="B223" s="291" t="str">
        <f>+'A) Base RI'!B225</f>
        <v>Orbe</v>
      </c>
      <c r="C223" s="302">
        <f>+'D) Ecrêtage'!C223</f>
        <v>201366.36924156587</v>
      </c>
      <c r="D223" s="439">
        <v>2118447</v>
      </c>
      <c r="E223" s="440">
        <v>892389</v>
      </c>
      <c r="F223" s="439">
        <v>713920</v>
      </c>
      <c r="G223" s="302">
        <f t="shared" si="27"/>
        <v>3724756</v>
      </c>
      <c r="H223" s="283">
        <f t="shared" si="28"/>
        <v>1610930.953932527</v>
      </c>
      <c r="I223" s="10">
        <f t="shared" si="29"/>
        <v>2113825.046067473</v>
      </c>
      <c r="J223" s="447">
        <f t="shared" si="30"/>
        <v>-1522129.4687350693</v>
      </c>
      <c r="K223" s="10">
        <v>78930</v>
      </c>
      <c r="L223" s="397">
        <f t="shared" si="31"/>
        <v>201366.36924156587</v>
      </c>
      <c r="M223" s="14">
        <f t="shared" si="32"/>
        <v>0</v>
      </c>
      <c r="N223" s="2">
        <f t="shared" si="33"/>
        <v>0</v>
      </c>
      <c r="O223" s="130">
        <f t="shared" si="34"/>
        <v>-1522129.4687350693</v>
      </c>
      <c r="P223" s="438">
        <f t="shared" si="35"/>
        <v>-7.559005381425294</v>
      </c>
      <c r="Q223" s="126"/>
    </row>
    <row r="224" spans="1:17" x14ac:dyDescent="0.25">
      <c r="A224" s="49">
        <f>+'A) Base RI'!A226</f>
        <v>5758</v>
      </c>
      <c r="B224" s="291" t="str">
        <f>+'A) Base RI'!B226</f>
        <v>La Praz</v>
      </c>
      <c r="C224" s="302">
        <f>+'D) Ecrêtage'!C224</f>
        <v>4518.3622106026551</v>
      </c>
      <c r="D224" s="439">
        <v>39591</v>
      </c>
      <c r="E224" s="440">
        <v>6964</v>
      </c>
      <c r="F224" s="439">
        <v>16033</v>
      </c>
      <c r="G224" s="302">
        <f t="shared" si="27"/>
        <v>62588</v>
      </c>
      <c r="H224" s="283">
        <f t="shared" si="28"/>
        <v>36146.897684821241</v>
      </c>
      <c r="I224" s="10">
        <f t="shared" si="29"/>
        <v>26441.102315178759</v>
      </c>
      <c r="J224" s="447">
        <f t="shared" si="30"/>
        <v>-19039.788129413613</v>
      </c>
      <c r="K224" s="10">
        <v>20655</v>
      </c>
      <c r="L224" s="397">
        <f t="shared" si="31"/>
        <v>4518.3622106026551</v>
      </c>
      <c r="M224" s="14">
        <f t="shared" si="32"/>
        <v>16136.637789397344</v>
      </c>
      <c r="N224" s="2">
        <f t="shared" si="33"/>
        <v>-11619.718458365549</v>
      </c>
      <c r="O224" s="130">
        <f t="shared" si="34"/>
        <v>-30659.506587779164</v>
      </c>
      <c r="P224" s="438">
        <f t="shared" si="35"/>
        <v>-6.7855353685090742</v>
      </c>
      <c r="Q224" s="126"/>
    </row>
    <row r="225" spans="1:17" x14ac:dyDescent="0.25">
      <c r="A225" s="49">
        <f>+'A) Base RI'!A227</f>
        <v>5759</v>
      </c>
      <c r="B225" s="291" t="str">
        <f>+'A) Base RI'!B227</f>
        <v>Premier</v>
      </c>
      <c r="C225" s="302">
        <f>+'D) Ecrêtage'!C225</f>
        <v>5274.1329854177848</v>
      </c>
      <c r="D225" s="439">
        <v>75640</v>
      </c>
      <c r="E225" s="440">
        <v>8989</v>
      </c>
      <c r="F225" s="439">
        <v>27044</v>
      </c>
      <c r="G225" s="302">
        <f t="shared" si="27"/>
        <v>111673</v>
      </c>
      <c r="H225" s="283">
        <f t="shared" si="28"/>
        <v>42193.063883342278</v>
      </c>
      <c r="I225" s="10">
        <f t="shared" si="29"/>
        <v>69479.936116657715</v>
      </c>
      <c r="J225" s="447">
        <f t="shared" si="30"/>
        <v>-50031.320447141203</v>
      </c>
      <c r="K225" s="10">
        <v>1108</v>
      </c>
      <c r="L225" s="397">
        <f t="shared" si="31"/>
        <v>5274.1329854177848</v>
      </c>
      <c r="M225" s="14">
        <f t="shared" si="32"/>
        <v>0</v>
      </c>
      <c r="N225" s="2">
        <f t="shared" si="33"/>
        <v>0</v>
      </c>
      <c r="O225" s="130">
        <f t="shared" si="34"/>
        <v>-50031.320447141203</v>
      </c>
      <c r="P225" s="438">
        <f t="shared" si="35"/>
        <v>-9.486169686177913</v>
      </c>
      <c r="Q225" s="126"/>
    </row>
    <row r="226" spans="1:17" x14ac:dyDescent="0.25">
      <c r="A226" s="49">
        <f>+'A) Base RI'!A228</f>
        <v>5760</v>
      </c>
      <c r="B226" s="291" t="str">
        <f>+'A) Base RI'!B228</f>
        <v>Rances</v>
      </c>
      <c r="C226" s="302">
        <f>+'D) Ecrêtage'!C226</f>
        <v>12374.249316544765</v>
      </c>
      <c r="D226" s="439">
        <v>89888</v>
      </c>
      <c r="E226" s="440">
        <v>30514</v>
      </c>
      <c r="F226" s="439">
        <v>46397</v>
      </c>
      <c r="G226" s="302">
        <f t="shared" si="27"/>
        <v>166799</v>
      </c>
      <c r="H226" s="283">
        <f t="shared" si="28"/>
        <v>98993.99453235812</v>
      </c>
      <c r="I226" s="10">
        <f t="shared" si="29"/>
        <v>67805.00546764188</v>
      </c>
      <c r="J226" s="447">
        <f t="shared" si="30"/>
        <v>-48825.231370044909</v>
      </c>
      <c r="K226" s="10">
        <v>104230</v>
      </c>
      <c r="L226" s="397">
        <f t="shared" si="31"/>
        <v>12374.249316544765</v>
      </c>
      <c r="M226" s="14">
        <f t="shared" si="32"/>
        <v>91855.750683455233</v>
      </c>
      <c r="N226" s="2">
        <f t="shared" si="33"/>
        <v>-66143.764001746895</v>
      </c>
      <c r="O226" s="130">
        <f t="shared" si="34"/>
        <v>-114968.9953717918</v>
      </c>
      <c r="P226" s="438">
        <f t="shared" si="35"/>
        <v>-9.2909874717066341</v>
      </c>
      <c r="Q226" s="126"/>
    </row>
    <row r="227" spans="1:17" x14ac:dyDescent="0.25">
      <c r="A227" s="49">
        <f>+'A) Base RI'!A229</f>
        <v>5761</v>
      </c>
      <c r="B227" s="291" t="str">
        <f>+'A) Base RI'!B229</f>
        <v>Romainmôtier-Envy</v>
      </c>
      <c r="C227" s="302">
        <f>+'D) Ecrêtage'!C227</f>
        <v>12292.452150942587</v>
      </c>
      <c r="D227" s="439">
        <v>178019</v>
      </c>
      <c r="E227" s="440">
        <v>45857</v>
      </c>
      <c r="F227" s="439">
        <v>54024</v>
      </c>
      <c r="G227" s="302">
        <f t="shared" si="27"/>
        <v>277900</v>
      </c>
      <c r="H227" s="283">
        <f t="shared" si="28"/>
        <v>98339.617207540694</v>
      </c>
      <c r="I227" s="10">
        <f t="shared" si="29"/>
        <v>179560.38279245931</v>
      </c>
      <c r="J227" s="447">
        <f t="shared" si="30"/>
        <v>-129298.37811044065</v>
      </c>
      <c r="K227" s="10">
        <v>14743</v>
      </c>
      <c r="L227" s="397">
        <f t="shared" si="31"/>
        <v>12292.452150942587</v>
      </c>
      <c r="M227" s="14">
        <f t="shared" si="32"/>
        <v>2450.5478490574133</v>
      </c>
      <c r="N227" s="2">
        <f t="shared" si="33"/>
        <v>-1764.5978329828931</v>
      </c>
      <c r="O227" s="130">
        <f t="shared" si="34"/>
        <v>-131062.97594342355</v>
      </c>
      <c r="P227" s="438">
        <f t="shared" si="35"/>
        <v>-10.662069238428852</v>
      </c>
      <c r="Q227" s="126"/>
    </row>
    <row r="228" spans="1:17" x14ac:dyDescent="0.25">
      <c r="A228" s="49">
        <f>+'A) Base RI'!A230</f>
        <v>5762</v>
      </c>
      <c r="B228" s="291" t="str">
        <f>+'A) Base RI'!B230</f>
        <v>Sergey</v>
      </c>
      <c r="C228" s="302">
        <f>+'D) Ecrêtage'!C228</f>
        <v>3995.7603289795202</v>
      </c>
      <c r="D228" s="439">
        <v>7579</v>
      </c>
      <c r="E228" s="440">
        <v>6162</v>
      </c>
      <c r="F228" s="439">
        <v>14965</v>
      </c>
      <c r="G228" s="302">
        <f t="shared" si="27"/>
        <v>28706</v>
      </c>
      <c r="H228" s="283">
        <f t="shared" si="28"/>
        <v>31966.082631836161</v>
      </c>
      <c r="I228" s="10">
        <f t="shared" si="29"/>
        <v>0</v>
      </c>
      <c r="J228" s="447">
        <f t="shared" si="30"/>
        <v>0</v>
      </c>
      <c r="K228" s="10">
        <v>6049</v>
      </c>
      <c r="L228" s="397">
        <f t="shared" si="31"/>
        <v>3995.7603289795202</v>
      </c>
      <c r="M228" s="14">
        <f t="shared" si="32"/>
        <v>2053.2396710204798</v>
      </c>
      <c r="N228" s="2">
        <f t="shared" si="33"/>
        <v>-1478.5029704565306</v>
      </c>
      <c r="O228" s="130">
        <f t="shared" si="34"/>
        <v>-1478.5029704565306</v>
      </c>
      <c r="P228" s="438">
        <f t="shared" si="35"/>
        <v>-0.37001793118911275</v>
      </c>
      <c r="Q228" s="126"/>
    </row>
    <row r="229" spans="1:17" x14ac:dyDescent="0.25">
      <c r="A229" s="49">
        <f>+'A) Base RI'!A231</f>
        <v>5763</v>
      </c>
      <c r="B229" s="291" t="str">
        <f>+'A) Base RI'!B231</f>
        <v>Valeyres-sous-Rances</v>
      </c>
      <c r="C229" s="302">
        <f>+'D) Ecrêtage'!C229</f>
        <v>21943.401480636676</v>
      </c>
      <c r="D229" s="439">
        <v>159631</v>
      </c>
      <c r="E229" s="440">
        <v>39377</v>
      </c>
      <c r="F229" s="439">
        <v>73125</v>
      </c>
      <c r="G229" s="302">
        <f t="shared" si="27"/>
        <v>272133</v>
      </c>
      <c r="H229" s="283">
        <f t="shared" si="28"/>
        <v>175547.21184509341</v>
      </c>
      <c r="I229" s="10">
        <f t="shared" si="29"/>
        <v>96585.788154906593</v>
      </c>
      <c r="J229" s="447">
        <f t="shared" si="30"/>
        <v>-69549.783547646162</v>
      </c>
      <c r="K229" s="10">
        <v>59001</v>
      </c>
      <c r="L229" s="397">
        <f t="shared" si="31"/>
        <v>21943.401480636676</v>
      </c>
      <c r="M229" s="14">
        <f t="shared" si="32"/>
        <v>37057.598519363324</v>
      </c>
      <c r="N229" s="2">
        <f t="shared" si="33"/>
        <v>-26684.546505782815</v>
      </c>
      <c r="O229" s="130">
        <f t="shared" si="34"/>
        <v>-96234.330053428974</v>
      </c>
      <c r="P229" s="438">
        <f t="shared" si="35"/>
        <v>-4.3855703108904152</v>
      </c>
      <c r="Q229" s="126"/>
    </row>
    <row r="230" spans="1:17" x14ac:dyDescent="0.25">
      <c r="A230" s="49">
        <f>+'A) Base RI'!A232</f>
        <v>5764</v>
      </c>
      <c r="B230" s="291" t="str">
        <f>+'A) Base RI'!B232</f>
        <v>Vallorbe</v>
      </c>
      <c r="C230" s="302">
        <f>+'D) Ecrêtage'!C230</f>
        <v>87589.078285934462</v>
      </c>
      <c r="D230" s="439">
        <v>1983832</v>
      </c>
      <c r="E230" s="440">
        <v>406434</v>
      </c>
      <c r="F230" s="439">
        <v>450371</v>
      </c>
      <c r="G230" s="302">
        <f t="shared" si="27"/>
        <v>2840637</v>
      </c>
      <c r="H230" s="283">
        <f t="shared" si="28"/>
        <v>700712.62628747569</v>
      </c>
      <c r="I230" s="10">
        <f t="shared" si="29"/>
        <v>2139924.3737125243</v>
      </c>
      <c r="J230" s="447">
        <f t="shared" si="30"/>
        <v>-1540923.1507366195</v>
      </c>
      <c r="K230" s="10">
        <v>954459</v>
      </c>
      <c r="L230" s="397">
        <f t="shared" si="31"/>
        <v>87589.078285934462</v>
      </c>
      <c r="M230" s="14">
        <f t="shared" si="32"/>
        <v>866869.9217140656</v>
      </c>
      <c r="N230" s="2">
        <f t="shared" si="33"/>
        <v>-624218.28895243583</v>
      </c>
      <c r="O230" s="130">
        <f t="shared" si="34"/>
        <v>-2165141.4396890551</v>
      </c>
      <c r="P230" s="438">
        <f t="shared" si="35"/>
        <v>-24.719308412185285</v>
      </c>
      <c r="Q230" s="126"/>
    </row>
    <row r="231" spans="1:17" x14ac:dyDescent="0.25">
      <c r="A231" s="49">
        <f>+'A) Base RI'!A233</f>
        <v>5765</v>
      </c>
      <c r="B231" s="291" t="str">
        <f>+'A) Base RI'!B233</f>
        <v>Vaulion</v>
      </c>
      <c r="C231" s="302">
        <f>+'D) Ecrêtage'!C231</f>
        <v>11954.157309155948</v>
      </c>
      <c r="D231" s="439">
        <v>199226</v>
      </c>
      <c r="E231" s="440">
        <v>20035</v>
      </c>
      <c r="F231" s="439">
        <v>53942</v>
      </c>
      <c r="G231" s="302">
        <f t="shared" si="27"/>
        <v>273203</v>
      </c>
      <c r="H231" s="283">
        <f t="shared" si="28"/>
        <v>95633.258473247581</v>
      </c>
      <c r="I231" s="10">
        <f t="shared" si="29"/>
        <v>177569.74152675242</v>
      </c>
      <c r="J231" s="447">
        <f t="shared" si="30"/>
        <v>-127864.95118712478</v>
      </c>
      <c r="K231" s="10">
        <v>6165</v>
      </c>
      <c r="L231" s="397">
        <f t="shared" si="31"/>
        <v>11954.157309155948</v>
      </c>
      <c r="M231" s="14">
        <f t="shared" si="32"/>
        <v>0</v>
      </c>
      <c r="N231" s="2">
        <f t="shared" si="33"/>
        <v>0</v>
      </c>
      <c r="O231" s="130">
        <f t="shared" si="34"/>
        <v>-127864.95118712478</v>
      </c>
      <c r="P231" s="438">
        <f t="shared" si="35"/>
        <v>-10.69627476703776</v>
      </c>
      <c r="Q231" s="126"/>
    </row>
    <row r="232" spans="1:17" x14ac:dyDescent="0.25">
      <c r="A232" s="49">
        <f>+'A) Base RI'!A234</f>
        <v>5766</v>
      </c>
      <c r="B232" s="291" t="str">
        <f>+'A) Base RI'!B234</f>
        <v>Vuiteboeuf</v>
      </c>
      <c r="C232" s="302">
        <f>+'D) Ecrêtage'!C232</f>
        <v>13945.258329251963</v>
      </c>
      <c r="D232" s="439">
        <v>128259</v>
      </c>
      <c r="E232" s="440">
        <v>61619</v>
      </c>
      <c r="F232" s="439">
        <v>49867</v>
      </c>
      <c r="G232" s="302">
        <f t="shared" si="27"/>
        <v>239745</v>
      </c>
      <c r="H232" s="283">
        <f t="shared" si="28"/>
        <v>111562.0666340157</v>
      </c>
      <c r="I232" s="10">
        <f t="shared" si="29"/>
        <v>128182.9333659843</v>
      </c>
      <c r="J232" s="447">
        <f t="shared" si="30"/>
        <v>-92302.350484610797</v>
      </c>
      <c r="K232" s="10">
        <v>15473</v>
      </c>
      <c r="L232" s="397">
        <f t="shared" si="31"/>
        <v>13945.258329251963</v>
      </c>
      <c r="M232" s="14">
        <f t="shared" si="32"/>
        <v>1527.741670748037</v>
      </c>
      <c r="N232" s="2">
        <f t="shared" si="33"/>
        <v>-1100.1007968877618</v>
      </c>
      <c r="O232" s="130">
        <f t="shared" si="34"/>
        <v>-93402.451281498565</v>
      </c>
      <c r="P232" s="438">
        <f t="shared" si="35"/>
        <v>-6.6977928322471429</v>
      </c>
      <c r="Q232" s="126"/>
    </row>
    <row r="233" spans="1:17" x14ac:dyDescent="0.25">
      <c r="A233" s="49">
        <f>+'A) Base RI'!A235</f>
        <v>5785</v>
      </c>
      <c r="B233" s="291" t="str">
        <f>+'A) Base RI'!B235</f>
        <v>Corcelles-le-Jorat</v>
      </c>
      <c r="C233" s="302">
        <f>+'D) Ecrêtage'!C233</f>
        <v>16950.059611084645</v>
      </c>
      <c r="D233" s="439">
        <v>165239</v>
      </c>
      <c r="E233" s="440">
        <v>13124</v>
      </c>
      <c r="F233" s="439">
        <v>59189</v>
      </c>
      <c r="G233" s="302">
        <f t="shared" si="27"/>
        <v>237552</v>
      </c>
      <c r="H233" s="283">
        <f t="shared" si="28"/>
        <v>135600.47688867716</v>
      </c>
      <c r="I233" s="10">
        <f t="shared" si="29"/>
        <v>101951.52311132284</v>
      </c>
      <c r="J233" s="447">
        <f t="shared" si="30"/>
        <v>-73413.558042028963</v>
      </c>
      <c r="K233" s="10">
        <v>-22815</v>
      </c>
      <c r="L233" s="397">
        <f t="shared" si="31"/>
        <v>16950.059611084645</v>
      </c>
      <c r="M233" s="14">
        <f t="shared" si="32"/>
        <v>0</v>
      </c>
      <c r="N233" s="2">
        <f t="shared" si="33"/>
        <v>0</v>
      </c>
      <c r="O233" s="130">
        <f t="shared" si="34"/>
        <v>-73413.558042028963</v>
      </c>
      <c r="P233" s="438">
        <f t="shared" si="35"/>
        <v>-4.3311681331208707</v>
      </c>
      <c r="Q233" s="126"/>
    </row>
    <row r="234" spans="1:17" x14ac:dyDescent="0.25">
      <c r="A234" s="49">
        <f>+'A) Base RI'!A236</f>
        <v>5788</v>
      </c>
      <c r="B234" s="291" t="str">
        <f>+'A) Base RI'!B236</f>
        <v>Essertes</v>
      </c>
      <c r="C234" s="302">
        <f>+'D) Ecrêtage'!C234</f>
        <v>12357.652912226366</v>
      </c>
      <c r="D234" s="439">
        <v>81788</v>
      </c>
      <c r="E234" s="440">
        <v>16545</v>
      </c>
      <c r="F234" s="439">
        <v>43473</v>
      </c>
      <c r="G234" s="302">
        <f t="shared" si="27"/>
        <v>141806</v>
      </c>
      <c r="H234" s="283">
        <f t="shared" si="28"/>
        <v>98861.223297810924</v>
      </c>
      <c r="I234" s="10">
        <f t="shared" si="29"/>
        <v>42944.776702189076</v>
      </c>
      <c r="J234" s="447">
        <f t="shared" si="30"/>
        <v>-30923.80340002969</v>
      </c>
      <c r="K234" s="10">
        <v>529</v>
      </c>
      <c r="L234" s="397">
        <f t="shared" si="31"/>
        <v>12357.652912226366</v>
      </c>
      <c r="M234" s="14">
        <f t="shared" si="32"/>
        <v>0</v>
      </c>
      <c r="N234" s="2">
        <f t="shared" si="33"/>
        <v>0</v>
      </c>
      <c r="O234" s="130">
        <f t="shared" si="34"/>
        <v>-30923.80340002969</v>
      </c>
      <c r="P234" s="438">
        <f t="shared" si="35"/>
        <v>-2.5024010319495558</v>
      </c>
      <c r="Q234" s="126"/>
    </row>
    <row r="235" spans="1:17" x14ac:dyDescent="0.25">
      <c r="A235" s="49">
        <f>+'A) Base RI'!A237</f>
        <v>5790</v>
      </c>
      <c r="B235" s="291" t="str">
        <f>+'A) Base RI'!B237</f>
        <v>Maracon</v>
      </c>
      <c r="C235" s="302">
        <f>+'D) Ecrêtage'!C235</f>
        <v>14432.201593410035</v>
      </c>
      <c r="D235" s="439">
        <v>165988</v>
      </c>
      <c r="E235" s="440">
        <v>14510</v>
      </c>
      <c r="F235" s="439">
        <v>65207</v>
      </c>
      <c r="G235" s="302">
        <f t="shared" si="27"/>
        <v>245705</v>
      </c>
      <c r="H235" s="283">
        <f t="shared" si="28"/>
        <v>115457.61274728028</v>
      </c>
      <c r="I235" s="10">
        <f t="shared" si="29"/>
        <v>130247.38725271972</v>
      </c>
      <c r="J235" s="447">
        <f t="shared" si="30"/>
        <v>-93788.928621098807</v>
      </c>
      <c r="K235" s="10">
        <v>-951</v>
      </c>
      <c r="L235" s="397">
        <f t="shared" si="31"/>
        <v>14432.201593410035</v>
      </c>
      <c r="M235" s="14">
        <f t="shared" si="32"/>
        <v>0</v>
      </c>
      <c r="N235" s="2">
        <f t="shared" si="33"/>
        <v>0</v>
      </c>
      <c r="O235" s="130">
        <f t="shared" si="34"/>
        <v>-93788.928621098807</v>
      </c>
      <c r="P235" s="438">
        <f t="shared" si="35"/>
        <v>-6.498587759744451</v>
      </c>
      <c r="Q235" s="126"/>
    </row>
    <row r="236" spans="1:17" x14ac:dyDescent="0.25">
      <c r="A236" s="49">
        <f>+'A) Base RI'!A238</f>
        <v>5792</v>
      </c>
      <c r="B236" s="291" t="str">
        <f>+'A) Base RI'!B238</f>
        <v>Montpreveyres</v>
      </c>
      <c r="C236" s="302">
        <f>+'D) Ecrêtage'!C236</f>
        <v>20198.938593400278</v>
      </c>
      <c r="D236" s="439">
        <v>214024</v>
      </c>
      <c r="E236" s="440">
        <v>28445</v>
      </c>
      <c r="F236" s="439">
        <v>90095</v>
      </c>
      <c r="G236" s="302">
        <f t="shared" si="27"/>
        <v>332564</v>
      </c>
      <c r="H236" s="283">
        <f t="shared" si="28"/>
        <v>161591.50874720223</v>
      </c>
      <c r="I236" s="10">
        <f t="shared" si="29"/>
        <v>170972.49125279777</v>
      </c>
      <c r="J236" s="447">
        <f t="shared" si="30"/>
        <v>-123114.38345528311</v>
      </c>
      <c r="K236" s="10">
        <v>-7362</v>
      </c>
      <c r="L236" s="397">
        <f t="shared" si="31"/>
        <v>20198.938593400278</v>
      </c>
      <c r="M236" s="14">
        <f t="shared" si="32"/>
        <v>0</v>
      </c>
      <c r="N236" s="2">
        <f t="shared" si="33"/>
        <v>0</v>
      </c>
      <c r="O236" s="130">
        <f t="shared" si="34"/>
        <v>-123114.38345528311</v>
      </c>
      <c r="P236" s="438">
        <f t="shared" si="35"/>
        <v>-6.0950917240527192</v>
      </c>
      <c r="Q236" s="126"/>
    </row>
    <row r="237" spans="1:17" x14ac:dyDescent="0.25">
      <c r="A237" s="49">
        <f>+'A) Base RI'!A239</f>
        <v>5798</v>
      </c>
      <c r="B237" s="291" t="str">
        <f>+'A) Base RI'!B239</f>
        <v>Ropraz</v>
      </c>
      <c r="C237" s="302">
        <f>+'D) Ecrêtage'!C237</f>
        <v>14359.812261053485</v>
      </c>
      <c r="D237" s="439">
        <v>109227</v>
      </c>
      <c r="E237" s="440">
        <v>14569</v>
      </c>
      <c r="F237" s="439">
        <v>65600</v>
      </c>
      <c r="G237" s="302">
        <f t="shared" si="27"/>
        <v>189396</v>
      </c>
      <c r="H237" s="283">
        <f t="shared" si="28"/>
        <v>114878.49808842788</v>
      </c>
      <c r="I237" s="10">
        <f t="shared" si="29"/>
        <v>74517.501911572122</v>
      </c>
      <c r="J237" s="447">
        <f t="shared" si="30"/>
        <v>-53658.785909051658</v>
      </c>
      <c r="K237" s="10">
        <v>4231</v>
      </c>
      <c r="L237" s="397">
        <f t="shared" si="31"/>
        <v>14359.812261053485</v>
      </c>
      <c r="M237" s="14">
        <f t="shared" si="32"/>
        <v>0</v>
      </c>
      <c r="N237" s="2">
        <f t="shared" si="33"/>
        <v>0</v>
      </c>
      <c r="O237" s="130">
        <f t="shared" si="34"/>
        <v>-53658.785909051658</v>
      </c>
      <c r="P237" s="438">
        <f t="shared" si="35"/>
        <v>-3.7367331085925399</v>
      </c>
      <c r="Q237" s="126"/>
    </row>
    <row r="238" spans="1:17" x14ac:dyDescent="0.25">
      <c r="A238" s="49">
        <f>+'A) Base RI'!A240</f>
        <v>5799</v>
      </c>
      <c r="B238" s="291" t="str">
        <f>+'A) Base RI'!B240</f>
        <v>Servion</v>
      </c>
      <c r="C238" s="302">
        <f>+'D) Ecrêtage'!C238</f>
        <v>70991.881594202918</v>
      </c>
      <c r="D238" s="439">
        <v>551123</v>
      </c>
      <c r="E238" s="440">
        <v>85911</v>
      </c>
      <c r="F238" s="439">
        <v>263743</v>
      </c>
      <c r="G238" s="302">
        <f t="shared" si="27"/>
        <v>900777</v>
      </c>
      <c r="H238" s="283">
        <f t="shared" si="28"/>
        <v>567935.05275362334</v>
      </c>
      <c r="I238" s="10">
        <f t="shared" si="29"/>
        <v>332841.94724637666</v>
      </c>
      <c r="J238" s="447">
        <f t="shared" si="30"/>
        <v>-239673.82602330172</v>
      </c>
      <c r="K238" s="10">
        <v>53779</v>
      </c>
      <c r="L238" s="397">
        <f t="shared" si="31"/>
        <v>70991.881594202918</v>
      </c>
      <c r="M238" s="14">
        <f t="shared" si="32"/>
        <v>0</v>
      </c>
      <c r="N238" s="2">
        <f t="shared" si="33"/>
        <v>0</v>
      </c>
      <c r="O238" s="130">
        <f t="shared" si="34"/>
        <v>-239673.82602330172</v>
      </c>
      <c r="P238" s="438">
        <f t="shared" si="35"/>
        <v>-3.3760737233773095</v>
      </c>
      <c r="Q238" s="126"/>
    </row>
    <row r="239" spans="1:17" x14ac:dyDescent="0.25">
      <c r="A239" s="49">
        <f>+'A) Base RI'!A241</f>
        <v>5803</v>
      </c>
      <c r="B239" s="291" t="str">
        <f>+'A) Base RI'!B241</f>
        <v>Vulliens</v>
      </c>
      <c r="C239" s="302">
        <f>+'D) Ecrêtage'!C239</f>
        <v>17439.644358974365</v>
      </c>
      <c r="D239" s="439">
        <v>162606</v>
      </c>
      <c r="E239" s="440">
        <v>17548</v>
      </c>
      <c r="F239" s="439">
        <v>81163</v>
      </c>
      <c r="G239" s="302">
        <f t="shared" si="27"/>
        <v>261317</v>
      </c>
      <c r="H239" s="283">
        <f t="shared" si="28"/>
        <v>139517.15487179492</v>
      </c>
      <c r="I239" s="10">
        <f t="shared" si="29"/>
        <v>121799.84512820508</v>
      </c>
      <c r="J239" s="447">
        <f t="shared" si="30"/>
        <v>-87705.997193057541</v>
      </c>
      <c r="K239" s="10">
        <v>35771</v>
      </c>
      <c r="L239" s="397">
        <f t="shared" si="31"/>
        <v>17439.644358974365</v>
      </c>
      <c r="M239" s="14">
        <f t="shared" si="32"/>
        <v>18331.355641025635</v>
      </c>
      <c r="N239" s="2">
        <f t="shared" si="33"/>
        <v>-13200.097460751402</v>
      </c>
      <c r="O239" s="130">
        <f t="shared" si="34"/>
        <v>-100906.09465380895</v>
      </c>
      <c r="P239" s="438">
        <f t="shared" si="35"/>
        <v>-5.7860179127955158</v>
      </c>
      <c r="Q239" s="126"/>
    </row>
    <row r="240" spans="1:17" x14ac:dyDescent="0.25">
      <c r="A240" s="49">
        <f>+'A) Base RI'!A242</f>
        <v>5804</v>
      </c>
      <c r="B240" s="291" t="str">
        <f>+'A) Base RI'!B242</f>
        <v>Jorat-Menthue</v>
      </c>
      <c r="C240" s="302">
        <f>+'D) Ecrêtage'!C240</f>
        <v>44226.697072071111</v>
      </c>
      <c r="D240" s="439">
        <v>1644559</v>
      </c>
      <c r="E240" s="440">
        <v>46775</v>
      </c>
      <c r="F240" s="439">
        <v>138870</v>
      </c>
      <c r="G240" s="302">
        <f t="shared" si="27"/>
        <v>1830204</v>
      </c>
      <c r="H240" s="283">
        <f t="shared" si="28"/>
        <v>353813.57657656888</v>
      </c>
      <c r="I240" s="10">
        <f t="shared" si="29"/>
        <v>1476390.4234234311</v>
      </c>
      <c r="J240" s="447">
        <f t="shared" si="30"/>
        <v>-1063123.6369499045</v>
      </c>
      <c r="K240" s="10">
        <v>169290</v>
      </c>
      <c r="L240" s="397">
        <f t="shared" si="31"/>
        <v>44226.697072071111</v>
      </c>
      <c r="M240" s="14">
        <f t="shared" si="32"/>
        <v>125063.30292792889</v>
      </c>
      <c r="N240" s="2">
        <f t="shared" si="33"/>
        <v>-90055.957657465042</v>
      </c>
      <c r="O240" s="130">
        <f t="shared" si="34"/>
        <v>-1153179.5946073695</v>
      </c>
      <c r="P240" s="438">
        <f t="shared" si="35"/>
        <v>-26.074287047214192</v>
      </c>
      <c r="Q240" s="126"/>
    </row>
    <row r="241" spans="1:17" x14ac:dyDescent="0.25">
      <c r="A241" s="49">
        <f>+'A) Base RI'!A243</f>
        <v>5805</v>
      </c>
      <c r="B241" s="291" t="str">
        <f>+'A) Base RI'!B243</f>
        <v>Oron</v>
      </c>
      <c r="C241" s="302">
        <f>+'D) Ecrêtage'!C241</f>
        <v>157769.23671351318</v>
      </c>
      <c r="D241" s="439">
        <v>1262240</v>
      </c>
      <c r="E241" s="440">
        <v>405591</v>
      </c>
      <c r="F241" s="439">
        <v>669786</v>
      </c>
      <c r="G241" s="302">
        <f t="shared" si="27"/>
        <v>2337617</v>
      </c>
      <c r="H241" s="283">
        <f t="shared" si="28"/>
        <v>1262153.8937081054</v>
      </c>
      <c r="I241" s="10">
        <f t="shared" si="29"/>
        <v>1075463.1062918946</v>
      </c>
      <c r="J241" s="447">
        <f t="shared" si="30"/>
        <v>-774422.69390727812</v>
      </c>
      <c r="K241" s="10">
        <v>26600</v>
      </c>
      <c r="L241" s="397">
        <f t="shared" si="31"/>
        <v>157769.23671351318</v>
      </c>
      <c r="M241" s="14">
        <f t="shared" si="32"/>
        <v>0</v>
      </c>
      <c r="N241" s="2">
        <f t="shared" si="33"/>
        <v>0</v>
      </c>
      <c r="O241" s="130">
        <f t="shared" si="34"/>
        <v>-774422.69390727812</v>
      </c>
      <c r="P241" s="438">
        <f t="shared" si="35"/>
        <v>-4.9085785672749447</v>
      </c>
      <c r="Q241" s="126"/>
    </row>
    <row r="242" spans="1:17" x14ac:dyDescent="0.25">
      <c r="A242" s="49">
        <f>+'A) Base RI'!A244</f>
        <v>5806</v>
      </c>
      <c r="B242" s="291" t="str">
        <f>+'A) Base RI'!B244</f>
        <v>Jorat-Mézières</v>
      </c>
      <c r="C242" s="302">
        <f>+'D) Ecrêtage'!C242</f>
        <v>91829.883122314393</v>
      </c>
      <c r="D242" s="439">
        <v>656966</v>
      </c>
      <c r="E242" s="440">
        <v>126920</v>
      </c>
      <c r="F242" s="439">
        <v>417060</v>
      </c>
      <c r="G242" s="302">
        <f t="shared" si="27"/>
        <v>1200946</v>
      </c>
      <c r="H242" s="283">
        <f t="shared" si="28"/>
        <v>734639.06497851515</v>
      </c>
      <c r="I242" s="10">
        <f t="shared" si="29"/>
        <v>466306.93502148485</v>
      </c>
      <c r="J242" s="447">
        <f t="shared" si="30"/>
        <v>-335779.694063231</v>
      </c>
      <c r="K242" s="10">
        <v>-32593</v>
      </c>
      <c r="L242" s="397">
        <f t="shared" si="31"/>
        <v>91829.883122314393</v>
      </c>
      <c r="M242" s="14">
        <f t="shared" si="32"/>
        <v>0</v>
      </c>
      <c r="N242" s="2">
        <f t="shared" si="33"/>
        <v>0</v>
      </c>
      <c r="O242" s="130">
        <f t="shared" si="34"/>
        <v>-335779.694063231</v>
      </c>
      <c r="P242" s="438">
        <f t="shared" si="35"/>
        <v>-3.6565405796714718</v>
      </c>
      <c r="Q242" s="126"/>
    </row>
    <row r="243" spans="1:17" x14ac:dyDescent="0.25">
      <c r="A243" s="49">
        <f>+'A) Base RI'!A245</f>
        <v>5812</v>
      </c>
      <c r="B243" s="291" t="str">
        <f>+'A) Base RI'!B245</f>
        <v>Champtauroz</v>
      </c>
      <c r="C243" s="302">
        <f>+'D) Ecrêtage'!C243</f>
        <v>3710.6575152359092</v>
      </c>
      <c r="D243" s="439">
        <v>27098</v>
      </c>
      <c r="E243" s="440">
        <v>4078</v>
      </c>
      <c r="F243" s="439">
        <v>16400</v>
      </c>
      <c r="G243" s="302">
        <f t="shared" si="27"/>
        <v>47576</v>
      </c>
      <c r="H243" s="283">
        <f t="shared" si="28"/>
        <v>29685.260121887273</v>
      </c>
      <c r="I243" s="10">
        <f t="shared" si="29"/>
        <v>17890.739878112727</v>
      </c>
      <c r="J243" s="447">
        <f t="shared" si="30"/>
        <v>-12882.81754282885</v>
      </c>
      <c r="K243" s="10">
        <v>609</v>
      </c>
      <c r="L243" s="397">
        <f t="shared" si="31"/>
        <v>3710.6575152359092</v>
      </c>
      <c r="M243" s="14">
        <f t="shared" si="32"/>
        <v>0</v>
      </c>
      <c r="N243" s="2">
        <f t="shared" si="33"/>
        <v>0</v>
      </c>
      <c r="O243" s="130">
        <f t="shared" si="34"/>
        <v>-12882.81754282885</v>
      </c>
      <c r="P243" s="438">
        <f t="shared" si="35"/>
        <v>-3.4718422516581433</v>
      </c>
      <c r="Q243" s="126"/>
    </row>
    <row r="244" spans="1:17" x14ac:dyDescent="0.25">
      <c r="A244" s="49">
        <f>+'A) Base RI'!A246</f>
        <v>5813</v>
      </c>
      <c r="B244" s="291" t="str">
        <f>+'A) Base RI'!B246</f>
        <v>Chevroux</v>
      </c>
      <c r="C244" s="302">
        <f>+'D) Ecrêtage'!C244</f>
        <v>14709.945528749027</v>
      </c>
      <c r="D244" s="439">
        <v>126832</v>
      </c>
      <c r="E244" s="440">
        <v>24068</v>
      </c>
      <c r="F244" s="439">
        <v>35010</v>
      </c>
      <c r="G244" s="302">
        <f t="shared" si="27"/>
        <v>185910</v>
      </c>
      <c r="H244" s="283">
        <f t="shared" si="28"/>
        <v>117679.56422999222</v>
      </c>
      <c r="I244" s="10">
        <f t="shared" si="29"/>
        <v>68230.435770007782</v>
      </c>
      <c r="J244" s="447">
        <f t="shared" si="30"/>
        <v>-49131.576496065965</v>
      </c>
      <c r="K244" s="10">
        <v>5888</v>
      </c>
      <c r="L244" s="397">
        <f t="shared" si="31"/>
        <v>14709.945528749027</v>
      </c>
      <c r="M244" s="14">
        <f t="shared" si="32"/>
        <v>0</v>
      </c>
      <c r="N244" s="2">
        <f t="shared" si="33"/>
        <v>0</v>
      </c>
      <c r="O244" s="130">
        <f t="shared" si="34"/>
        <v>-49131.576496065965</v>
      </c>
      <c r="P244" s="438">
        <f t="shared" si="35"/>
        <v>-3.3400243665106384</v>
      </c>
      <c r="Q244" s="126"/>
    </row>
    <row r="245" spans="1:17" x14ac:dyDescent="0.25">
      <c r="A245" s="49">
        <f>+'A) Base RI'!A247</f>
        <v>5816</v>
      </c>
      <c r="B245" s="291" t="str">
        <f>+'A) Base RI'!B247</f>
        <v>Corcelles-près-Payerne</v>
      </c>
      <c r="C245" s="302">
        <f>+'D) Ecrêtage'!C245</f>
        <v>60414.642640490056</v>
      </c>
      <c r="D245" s="439">
        <v>722709</v>
      </c>
      <c r="E245" s="440">
        <v>207172</v>
      </c>
      <c r="F245" s="439">
        <v>188264</v>
      </c>
      <c r="G245" s="302">
        <f t="shared" si="27"/>
        <v>1118145</v>
      </c>
      <c r="H245" s="283">
        <f t="shared" si="28"/>
        <v>483317.14112392045</v>
      </c>
      <c r="I245" s="10">
        <f t="shared" si="29"/>
        <v>634827.85887607955</v>
      </c>
      <c r="J245" s="447">
        <f t="shared" si="30"/>
        <v>-457128.74552552949</v>
      </c>
      <c r="K245" s="10">
        <v>3128</v>
      </c>
      <c r="L245" s="397">
        <f t="shared" si="31"/>
        <v>60414.642640490056</v>
      </c>
      <c r="M245" s="14">
        <f t="shared" si="32"/>
        <v>0</v>
      </c>
      <c r="N245" s="2">
        <f t="shared" si="33"/>
        <v>0</v>
      </c>
      <c r="O245" s="130">
        <f t="shared" si="34"/>
        <v>-457128.74552552949</v>
      </c>
      <c r="P245" s="438">
        <f t="shared" si="35"/>
        <v>-7.5665223784533415</v>
      </c>
      <c r="Q245" s="126"/>
    </row>
    <row r="246" spans="1:17" x14ac:dyDescent="0.25">
      <c r="A246" s="49">
        <f>+'A) Base RI'!A248</f>
        <v>5817</v>
      </c>
      <c r="B246" s="291" t="str">
        <f>+'A) Base RI'!B248</f>
        <v>Grandcour</v>
      </c>
      <c r="C246" s="302">
        <f>+'D) Ecrêtage'!C246</f>
        <v>21808.970149396955</v>
      </c>
      <c r="D246" s="439">
        <v>212345</v>
      </c>
      <c r="E246" s="440">
        <v>31055</v>
      </c>
      <c r="F246" s="439">
        <v>77492</v>
      </c>
      <c r="G246" s="302">
        <f t="shared" si="27"/>
        <v>320892</v>
      </c>
      <c r="H246" s="283">
        <f t="shared" si="28"/>
        <v>174471.76119517564</v>
      </c>
      <c r="I246" s="10">
        <f t="shared" si="29"/>
        <v>146420.23880482436</v>
      </c>
      <c r="J246" s="447">
        <f t="shared" si="30"/>
        <v>-105434.72399415182</v>
      </c>
      <c r="K246" s="10">
        <v>78458</v>
      </c>
      <c r="L246" s="397">
        <f t="shared" si="31"/>
        <v>21808.970149396955</v>
      </c>
      <c r="M246" s="14">
        <f t="shared" si="32"/>
        <v>56649.029850603045</v>
      </c>
      <c r="N246" s="2">
        <f t="shared" si="33"/>
        <v>-40792.003042669567</v>
      </c>
      <c r="O246" s="130">
        <f t="shared" si="34"/>
        <v>-146226.72703682139</v>
      </c>
      <c r="P246" s="438">
        <f t="shared" si="35"/>
        <v>-6.7048891366777692</v>
      </c>
      <c r="Q246" s="126"/>
    </row>
    <row r="247" spans="1:17" x14ac:dyDescent="0.25">
      <c r="A247" s="49">
        <f>+'A) Base RI'!A249</f>
        <v>5819</v>
      </c>
      <c r="B247" s="291" t="str">
        <f>+'A) Base RI'!B249</f>
        <v>Henniez</v>
      </c>
      <c r="C247" s="302">
        <f>+'D) Ecrêtage'!C247</f>
        <v>11876.79478923147</v>
      </c>
      <c r="D247" s="439">
        <v>128118</v>
      </c>
      <c r="E247" s="440">
        <v>13613</v>
      </c>
      <c r="F247" s="439">
        <v>59277</v>
      </c>
      <c r="G247" s="302">
        <f t="shared" si="27"/>
        <v>201008</v>
      </c>
      <c r="H247" s="283">
        <f t="shared" si="28"/>
        <v>95014.358313851757</v>
      </c>
      <c r="I247" s="10">
        <f t="shared" si="29"/>
        <v>105993.64168614824</v>
      </c>
      <c r="J247" s="447">
        <f t="shared" si="30"/>
        <v>-76324.218888965843</v>
      </c>
      <c r="K247" s="10">
        <v>0</v>
      </c>
      <c r="L247" s="397">
        <f t="shared" si="31"/>
        <v>11876.79478923147</v>
      </c>
      <c r="M247" s="14">
        <f t="shared" si="32"/>
        <v>0</v>
      </c>
      <c r="N247" s="2">
        <f t="shared" si="33"/>
        <v>0</v>
      </c>
      <c r="O247" s="130">
        <f t="shared" si="34"/>
        <v>-76324.218888965843</v>
      </c>
      <c r="P247" s="438">
        <f t="shared" si="35"/>
        <v>-6.4263313666215724</v>
      </c>
      <c r="Q247" s="126"/>
    </row>
    <row r="248" spans="1:17" x14ac:dyDescent="0.25">
      <c r="A248" s="49">
        <f>+'A) Base RI'!A250</f>
        <v>5821</v>
      </c>
      <c r="B248" s="291" t="str">
        <f>+'A) Base RI'!B250</f>
        <v>Missy</v>
      </c>
      <c r="C248" s="302">
        <f>+'D) Ecrêtage'!C248</f>
        <v>8348.6455555555567</v>
      </c>
      <c r="D248" s="439">
        <v>50017</v>
      </c>
      <c r="E248" s="440">
        <v>12302</v>
      </c>
      <c r="F248" s="439">
        <v>29292</v>
      </c>
      <c r="G248" s="302">
        <f t="shared" si="27"/>
        <v>91611</v>
      </c>
      <c r="H248" s="283">
        <f t="shared" si="28"/>
        <v>66789.164444444454</v>
      </c>
      <c r="I248" s="10">
        <f t="shared" si="29"/>
        <v>24821.835555555546</v>
      </c>
      <c r="J248" s="447">
        <f t="shared" si="30"/>
        <v>-17873.781672469133</v>
      </c>
      <c r="K248" s="10">
        <v>0</v>
      </c>
      <c r="L248" s="397">
        <f t="shared" si="31"/>
        <v>8348.6455555555567</v>
      </c>
      <c r="M248" s="14">
        <f t="shared" si="32"/>
        <v>0</v>
      </c>
      <c r="N248" s="2">
        <f t="shared" si="33"/>
        <v>0</v>
      </c>
      <c r="O248" s="130">
        <f t="shared" si="34"/>
        <v>-17873.781672469133</v>
      </c>
      <c r="P248" s="438">
        <f t="shared" si="35"/>
        <v>-2.1409199316858207</v>
      </c>
      <c r="Q248" s="126"/>
    </row>
    <row r="249" spans="1:17" x14ac:dyDescent="0.25">
      <c r="A249" s="49">
        <f>+'A) Base RI'!A251</f>
        <v>5822</v>
      </c>
      <c r="B249" s="291" t="str">
        <f>+'A) Base RI'!B251</f>
        <v>Payerne</v>
      </c>
      <c r="C249" s="302">
        <f>+'D) Ecrêtage'!C249</f>
        <v>243639.04906619081</v>
      </c>
      <c r="D249" s="439">
        <v>2245438</v>
      </c>
      <c r="E249" s="440">
        <v>1214963</v>
      </c>
      <c r="F249" s="439">
        <v>781296</v>
      </c>
      <c r="G249" s="302">
        <f t="shared" si="27"/>
        <v>4241697</v>
      </c>
      <c r="H249" s="283">
        <f t="shared" si="28"/>
        <v>1949112.3925295265</v>
      </c>
      <c r="I249" s="10">
        <f t="shared" si="29"/>
        <v>2292584.6074704733</v>
      </c>
      <c r="J249" s="447">
        <f t="shared" si="30"/>
        <v>-1650851.1889814371</v>
      </c>
      <c r="K249" s="10">
        <v>111970</v>
      </c>
      <c r="L249" s="397">
        <f t="shared" si="31"/>
        <v>243639.04906619081</v>
      </c>
      <c r="M249" s="14">
        <f t="shared" si="32"/>
        <v>0</v>
      </c>
      <c r="N249" s="2">
        <f t="shared" si="33"/>
        <v>0</v>
      </c>
      <c r="O249" s="130">
        <f t="shared" si="34"/>
        <v>-1650851.1889814371</v>
      </c>
      <c r="P249" s="438">
        <f t="shared" si="35"/>
        <v>-6.7758070609319319</v>
      </c>
      <c r="Q249" s="126"/>
    </row>
    <row r="250" spans="1:17" x14ac:dyDescent="0.25">
      <c r="A250" s="49">
        <f>+'A) Base RI'!A252</f>
        <v>5827</v>
      </c>
      <c r="B250" s="291" t="str">
        <f>+'A) Base RI'!B252</f>
        <v>Trey</v>
      </c>
      <c r="C250" s="302">
        <f>+'D) Ecrêtage'!C250</f>
        <v>6759.3804152474768</v>
      </c>
      <c r="D250" s="439">
        <v>80899</v>
      </c>
      <c r="E250" s="440">
        <v>8925</v>
      </c>
      <c r="F250" s="439">
        <v>31146</v>
      </c>
      <c r="G250" s="302">
        <f t="shared" si="27"/>
        <v>120970</v>
      </c>
      <c r="H250" s="283">
        <f t="shared" si="28"/>
        <v>54075.043321979814</v>
      </c>
      <c r="I250" s="10">
        <f t="shared" si="29"/>
        <v>66894.956678020186</v>
      </c>
      <c r="J250" s="447">
        <f t="shared" si="30"/>
        <v>-48169.920712596271</v>
      </c>
      <c r="K250" s="10">
        <v>11998</v>
      </c>
      <c r="L250" s="397">
        <f t="shared" si="31"/>
        <v>6759.3804152474768</v>
      </c>
      <c r="M250" s="14">
        <f t="shared" si="32"/>
        <v>5238.6195847525232</v>
      </c>
      <c r="N250" s="2">
        <f t="shared" si="33"/>
        <v>-3772.2408769254234</v>
      </c>
      <c r="O250" s="130">
        <f t="shared" si="34"/>
        <v>-51942.161589521696</v>
      </c>
      <c r="P250" s="438">
        <f t="shared" si="35"/>
        <v>-7.6844560297794651</v>
      </c>
      <c r="Q250" s="126"/>
    </row>
    <row r="251" spans="1:17" x14ac:dyDescent="0.25">
      <c r="A251" s="49">
        <f>+'A) Base RI'!A253</f>
        <v>5828</v>
      </c>
      <c r="B251" s="291" t="str">
        <f>+'A) Base RI'!B253</f>
        <v>Treytorrens (Payerne)</v>
      </c>
      <c r="C251" s="302">
        <f>+'D) Ecrêtage'!C251</f>
        <v>2423.0145634920641</v>
      </c>
      <c r="D251" s="439">
        <v>38691</v>
      </c>
      <c r="E251" s="440">
        <v>3978</v>
      </c>
      <c r="F251" s="439">
        <v>18567</v>
      </c>
      <c r="G251" s="302">
        <f t="shared" si="27"/>
        <v>61236</v>
      </c>
      <c r="H251" s="283">
        <f t="shared" si="28"/>
        <v>19384.116507936513</v>
      </c>
      <c r="I251" s="10">
        <f t="shared" si="29"/>
        <v>41851.883492063484</v>
      </c>
      <c r="J251" s="447">
        <f t="shared" si="30"/>
        <v>-30136.829584761759</v>
      </c>
      <c r="K251" s="10">
        <v>3510</v>
      </c>
      <c r="L251" s="397">
        <f t="shared" si="31"/>
        <v>2423.0145634920641</v>
      </c>
      <c r="M251" s="14">
        <f t="shared" si="32"/>
        <v>1086.9854365079359</v>
      </c>
      <c r="N251" s="2">
        <f t="shared" si="33"/>
        <v>-782.7197279513025</v>
      </c>
      <c r="O251" s="130">
        <f t="shared" si="34"/>
        <v>-30919.549312713061</v>
      </c>
      <c r="P251" s="438">
        <f t="shared" si="35"/>
        <v>-12.760777330265654</v>
      </c>
      <c r="Q251" s="126"/>
    </row>
    <row r="252" spans="1:17" x14ac:dyDescent="0.25">
      <c r="A252" s="49">
        <f>+'A) Base RI'!A254</f>
        <v>5830</v>
      </c>
      <c r="B252" s="291" t="str">
        <f>+'A) Base RI'!B254</f>
        <v>Villarzel</v>
      </c>
      <c r="C252" s="302">
        <f>+'D) Ecrêtage'!C252</f>
        <v>13663.209789449775</v>
      </c>
      <c r="D252" s="439">
        <v>132294</v>
      </c>
      <c r="E252" s="440">
        <v>22363</v>
      </c>
      <c r="F252" s="439">
        <v>72797</v>
      </c>
      <c r="G252" s="302">
        <f t="shared" si="27"/>
        <v>227454</v>
      </c>
      <c r="H252" s="283">
        <f t="shared" si="28"/>
        <v>109305.6783155982</v>
      </c>
      <c r="I252" s="10">
        <f t="shared" si="29"/>
        <v>118148.3216844018</v>
      </c>
      <c r="J252" s="447">
        <f t="shared" si="30"/>
        <v>-85076.597257651287</v>
      </c>
      <c r="K252" s="10">
        <v>3079</v>
      </c>
      <c r="L252" s="397">
        <f t="shared" si="31"/>
        <v>13663.209789449775</v>
      </c>
      <c r="M252" s="14">
        <f t="shared" si="32"/>
        <v>0</v>
      </c>
      <c r="N252" s="2">
        <f t="shared" si="33"/>
        <v>0</v>
      </c>
      <c r="O252" s="130">
        <f t="shared" si="34"/>
        <v>-85076.597257651287</v>
      </c>
      <c r="P252" s="438">
        <f t="shared" si="35"/>
        <v>-6.2266918658706603</v>
      </c>
      <c r="Q252" s="126"/>
    </row>
    <row r="253" spans="1:17" x14ac:dyDescent="0.25">
      <c r="A253" s="49">
        <f>+'A) Base RI'!A255</f>
        <v>5831</v>
      </c>
      <c r="B253" s="291" t="str">
        <f>+'A) Base RI'!B255</f>
        <v>Valbroye</v>
      </c>
      <c r="C253" s="302">
        <f>+'D) Ecrêtage'!C253</f>
        <v>90456.809812842344</v>
      </c>
      <c r="D253" s="439">
        <v>1189728</v>
      </c>
      <c r="E253" s="440">
        <v>265254</v>
      </c>
      <c r="F253" s="439">
        <v>472029</v>
      </c>
      <c r="G253" s="302">
        <f t="shared" si="27"/>
        <v>1927011</v>
      </c>
      <c r="H253" s="283">
        <f t="shared" si="28"/>
        <v>723654.47850273876</v>
      </c>
      <c r="I253" s="10">
        <f t="shared" si="29"/>
        <v>1203356.5214972612</v>
      </c>
      <c r="J253" s="447">
        <f t="shared" si="30"/>
        <v>-866516.56728786847</v>
      </c>
      <c r="K253" s="10">
        <v>58297</v>
      </c>
      <c r="L253" s="397">
        <f t="shared" si="31"/>
        <v>90456.809812842344</v>
      </c>
      <c r="M253" s="14">
        <f t="shared" si="32"/>
        <v>0</v>
      </c>
      <c r="N253" s="2">
        <f t="shared" si="33"/>
        <v>0</v>
      </c>
      <c r="O253" s="130">
        <f t="shared" si="34"/>
        <v>-866516.56728786847</v>
      </c>
      <c r="P253" s="438">
        <f t="shared" si="35"/>
        <v>-9.5793403402210995</v>
      </c>
      <c r="Q253" s="126"/>
    </row>
    <row r="254" spans="1:17" x14ac:dyDescent="0.25">
      <c r="A254" s="49">
        <f>+'A) Base RI'!A256</f>
        <v>5841</v>
      </c>
      <c r="B254" s="291" t="str">
        <f>+'A) Base RI'!B256</f>
        <v>Château-d'Oex</v>
      </c>
      <c r="C254" s="302">
        <f>+'D) Ecrêtage'!C254</f>
        <v>118378.66757105118</v>
      </c>
      <c r="D254" s="439">
        <v>3095527</v>
      </c>
      <c r="E254" s="440">
        <v>261961</v>
      </c>
      <c r="F254" s="439">
        <v>441257</v>
      </c>
      <c r="G254" s="302">
        <f t="shared" si="27"/>
        <v>3798745</v>
      </c>
      <c r="H254" s="283">
        <f t="shared" si="28"/>
        <v>947029.34056840942</v>
      </c>
      <c r="I254" s="10">
        <f t="shared" si="29"/>
        <v>2851715.6594315907</v>
      </c>
      <c r="J254" s="447">
        <f t="shared" si="30"/>
        <v>-2053471.9511198048</v>
      </c>
      <c r="K254" s="10">
        <v>45546</v>
      </c>
      <c r="L254" s="397">
        <f t="shared" si="31"/>
        <v>118378.66757105118</v>
      </c>
      <c r="M254" s="14">
        <f t="shared" si="32"/>
        <v>0</v>
      </c>
      <c r="N254" s="2">
        <f t="shared" si="33"/>
        <v>0</v>
      </c>
      <c r="O254" s="130">
        <f t="shared" si="34"/>
        <v>-2053471.9511198048</v>
      </c>
      <c r="P254" s="438">
        <f t="shared" si="35"/>
        <v>-17.346638488622165</v>
      </c>
      <c r="Q254" s="126"/>
    </row>
    <row r="255" spans="1:17" x14ac:dyDescent="0.25">
      <c r="A255" s="49">
        <f>+'A) Base RI'!A257</f>
        <v>5842</v>
      </c>
      <c r="B255" s="291" t="str">
        <f>+'A) Base RI'!B257</f>
        <v>Rossinière</v>
      </c>
      <c r="C255" s="302">
        <f>+'D) Ecrêtage'!C255</f>
        <v>13768.598420203307</v>
      </c>
      <c r="D255" s="439">
        <v>337067</v>
      </c>
      <c r="E255" s="440">
        <v>41490</v>
      </c>
      <c r="F255" s="439">
        <v>107000</v>
      </c>
      <c r="G255" s="302">
        <f t="shared" si="27"/>
        <v>485557</v>
      </c>
      <c r="H255" s="283">
        <f t="shared" si="28"/>
        <v>110148.78736162646</v>
      </c>
      <c r="I255" s="10">
        <f t="shared" si="29"/>
        <v>375408.21263837354</v>
      </c>
      <c r="J255" s="447">
        <f t="shared" si="30"/>
        <v>-270325.06986568734</v>
      </c>
      <c r="K255" s="10">
        <v>0</v>
      </c>
      <c r="L255" s="397">
        <f t="shared" si="31"/>
        <v>13768.598420203307</v>
      </c>
      <c r="M255" s="14">
        <f t="shared" si="32"/>
        <v>0</v>
      </c>
      <c r="N255" s="2">
        <f t="shared" si="33"/>
        <v>0</v>
      </c>
      <c r="O255" s="130">
        <f t="shared" si="34"/>
        <v>-270325.06986568734</v>
      </c>
      <c r="P255" s="438">
        <f t="shared" si="35"/>
        <v>-19.633448635485422</v>
      </c>
      <c r="Q255" s="126"/>
    </row>
    <row r="256" spans="1:17" x14ac:dyDescent="0.25">
      <c r="A256" s="49">
        <f>+'A) Base RI'!A258</f>
        <v>5843</v>
      </c>
      <c r="B256" s="291" t="str">
        <f>+'A) Base RI'!B258</f>
        <v>Rougemont</v>
      </c>
      <c r="C256" s="302">
        <f>+'D) Ecrêtage'!C256</f>
        <v>85900.087382527112</v>
      </c>
      <c r="D256" s="439">
        <v>953303</v>
      </c>
      <c r="E256" s="440">
        <v>83471</v>
      </c>
      <c r="F256" s="439">
        <v>101402</v>
      </c>
      <c r="G256" s="302">
        <f t="shared" si="27"/>
        <v>1138176</v>
      </c>
      <c r="H256" s="283">
        <f t="shared" si="28"/>
        <v>687200.6990602169</v>
      </c>
      <c r="I256" s="10">
        <f t="shared" si="29"/>
        <v>450975.3009397831</v>
      </c>
      <c r="J256" s="447">
        <f t="shared" si="30"/>
        <v>-324739.64508517744</v>
      </c>
      <c r="K256" s="10">
        <v>0</v>
      </c>
      <c r="L256" s="397">
        <f t="shared" si="31"/>
        <v>85900.087382527112</v>
      </c>
      <c r="M256" s="14">
        <f t="shared" si="32"/>
        <v>0</v>
      </c>
      <c r="N256" s="2">
        <f t="shared" si="33"/>
        <v>0</v>
      </c>
      <c r="O256" s="130">
        <f t="shared" si="34"/>
        <v>-324739.64508517744</v>
      </c>
      <c r="P256" s="438">
        <f t="shared" si="35"/>
        <v>-3.780434397453623</v>
      </c>
      <c r="Q256" s="126"/>
    </row>
    <row r="257" spans="1:17" x14ac:dyDescent="0.25">
      <c r="A257" s="49">
        <f>+'A) Base RI'!A259</f>
        <v>5851</v>
      </c>
      <c r="B257" s="291" t="str">
        <f>+'A) Base RI'!B259</f>
        <v>Allaman</v>
      </c>
      <c r="C257" s="302">
        <f>+'D) Ecrêtage'!C257</f>
        <v>23250.654215447554</v>
      </c>
      <c r="D257" s="439">
        <v>93515</v>
      </c>
      <c r="E257" s="440">
        <v>28590</v>
      </c>
      <c r="F257" s="439">
        <v>42349</v>
      </c>
      <c r="G257" s="302">
        <f t="shared" si="27"/>
        <v>164454</v>
      </c>
      <c r="H257" s="283">
        <f t="shared" si="28"/>
        <v>186005.23372358043</v>
      </c>
      <c r="I257" s="10">
        <f t="shared" si="29"/>
        <v>0</v>
      </c>
      <c r="J257" s="447">
        <f t="shared" si="30"/>
        <v>0</v>
      </c>
      <c r="K257" s="10">
        <v>0</v>
      </c>
      <c r="L257" s="397">
        <f t="shared" si="31"/>
        <v>23250.654215447554</v>
      </c>
      <c r="M257" s="14">
        <f t="shared" si="32"/>
        <v>0</v>
      </c>
      <c r="N257" s="2">
        <f t="shared" si="33"/>
        <v>0</v>
      </c>
      <c r="O257" s="130">
        <f t="shared" si="34"/>
        <v>0</v>
      </c>
      <c r="P257" s="438">
        <f t="shared" si="35"/>
        <v>0</v>
      </c>
      <c r="Q257" s="126"/>
    </row>
    <row r="258" spans="1:17" x14ac:dyDescent="0.25">
      <c r="A258" s="49">
        <f>+'A) Base RI'!A260</f>
        <v>5852</v>
      </c>
      <c r="B258" s="291" t="str">
        <f>+'A) Base RI'!B260</f>
        <v>Bursinel</v>
      </c>
      <c r="C258" s="302">
        <f>+'D) Ecrêtage'!C258</f>
        <v>39678.838013791166</v>
      </c>
      <c r="D258" s="439">
        <v>223974</v>
      </c>
      <c r="E258" s="440">
        <v>26008</v>
      </c>
      <c r="F258" s="439">
        <v>44320</v>
      </c>
      <c r="G258" s="302">
        <f t="shared" si="27"/>
        <v>294302</v>
      </c>
      <c r="H258" s="283">
        <f t="shared" si="28"/>
        <v>317430.70411032933</v>
      </c>
      <c r="I258" s="10">
        <f t="shared" si="29"/>
        <v>0</v>
      </c>
      <c r="J258" s="447">
        <f t="shared" si="30"/>
        <v>0</v>
      </c>
      <c r="K258" s="10">
        <v>4977</v>
      </c>
      <c r="L258" s="397">
        <f t="shared" si="31"/>
        <v>39678.838013791166</v>
      </c>
      <c r="M258" s="14">
        <f t="shared" si="32"/>
        <v>0</v>
      </c>
      <c r="N258" s="2">
        <f t="shared" si="33"/>
        <v>0</v>
      </c>
      <c r="O258" s="130">
        <f t="shared" si="34"/>
        <v>0</v>
      </c>
      <c r="P258" s="438">
        <f t="shared" si="35"/>
        <v>0</v>
      </c>
      <c r="Q258" s="126"/>
    </row>
    <row r="259" spans="1:17" x14ac:dyDescent="0.25">
      <c r="A259" s="49">
        <f>+'A) Base RI'!A261</f>
        <v>5853</v>
      </c>
      <c r="B259" s="291" t="str">
        <f>+'A) Base RI'!B261</f>
        <v>Bursins</v>
      </c>
      <c r="C259" s="302">
        <f>+'D) Ecrêtage'!C259</f>
        <v>36264.072017403523</v>
      </c>
      <c r="D259" s="439">
        <v>202199</v>
      </c>
      <c r="E259" s="440">
        <v>55372</v>
      </c>
      <c r="F259" s="439">
        <v>64581</v>
      </c>
      <c r="G259" s="302">
        <f t="shared" si="27"/>
        <v>322152</v>
      </c>
      <c r="H259" s="283">
        <f t="shared" si="28"/>
        <v>290112.57613922819</v>
      </c>
      <c r="I259" s="10">
        <f t="shared" si="29"/>
        <v>32039.423860771814</v>
      </c>
      <c r="J259" s="447">
        <f t="shared" si="30"/>
        <v>-23071.044271379891</v>
      </c>
      <c r="K259" s="10">
        <v>39679</v>
      </c>
      <c r="L259" s="397">
        <f t="shared" si="31"/>
        <v>36264.072017403523</v>
      </c>
      <c r="M259" s="14">
        <f t="shared" si="32"/>
        <v>3414.9279825964768</v>
      </c>
      <c r="N259" s="2">
        <f t="shared" si="33"/>
        <v>-2459.0315672473962</v>
      </c>
      <c r="O259" s="130">
        <f t="shared" si="34"/>
        <v>-25530.075838627286</v>
      </c>
      <c r="P259" s="438">
        <f t="shared" si="35"/>
        <v>-0.70400466407564832</v>
      </c>
      <c r="Q259" s="126"/>
    </row>
    <row r="260" spans="1:17" x14ac:dyDescent="0.25">
      <c r="A260" s="49">
        <f>+'A) Base RI'!A262</f>
        <v>5854</v>
      </c>
      <c r="B260" s="291" t="str">
        <f>+'A) Base RI'!B262</f>
        <v>Burtigny</v>
      </c>
      <c r="C260" s="302">
        <f>+'D) Ecrêtage'!C260</f>
        <v>11037.411333333333</v>
      </c>
      <c r="D260" s="439">
        <v>108045</v>
      </c>
      <c r="E260" s="440">
        <v>10581</v>
      </c>
      <c r="F260" s="439">
        <v>40090</v>
      </c>
      <c r="G260" s="302">
        <f t="shared" si="27"/>
        <v>158716</v>
      </c>
      <c r="H260" s="283">
        <f t="shared" si="28"/>
        <v>88299.290666666668</v>
      </c>
      <c r="I260" s="10">
        <f t="shared" si="29"/>
        <v>70416.709333333332</v>
      </c>
      <c r="J260" s="447">
        <f t="shared" si="30"/>
        <v>-50705.874910045502</v>
      </c>
      <c r="K260" s="10">
        <v>11891</v>
      </c>
      <c r="L260" s="397">
        <f t="shared" si="31"/>
        <v>11037.411333333333</v>
      </c>
      <c r="M260" s="14">
        <f t="shared" si="32"/>
        <v>853.58866666666654</v>
      </c>
      <c r="N260" s="2">
        <f t="shared" si="33"/>
        <v>-614.65468304898525</v>
      </c>
      <c r="O260" s="130">
        <f t="shared" si="34"/>
        <v>-51320.529593094485</v>
      </c>
      <c r="P260" s="438">
        <f t="shared" si="35"/>
        <v>-4.6496889572380846</v>
      </c>
      <c r="Q260" s="126"/>
    </row>
    <row r="261" spans="1:17" x14ac:dyDescent="0.25">
      <c r="A261" s="49">
        <f>+'A) Base RI'!A263</f>
        <v>5855</v>
      </c>
      <c r="B261" s="291" t="str">
        <f>+'A) Base RI'!B263</f>
        <v>Dully</v>
      </c>
      <c r="C261" s="302">
        <f>+'D) Ecrêtage'!C261</f>
        <v>79587.82351399264</v>
      </c>
      <c r="D261" s="439">
        <v>245355</v>
      </c>
      <c r="E261" s="440">
        <v>30329</v>
      </c>
      <c r="F261" s="439">
        <v>43930</v>
      </c>
      <c r="G261" s="302">
        <f t="shared" ref="G261:G312" si="36">SUM(D261:F261)</f>
        <v>319614</v>
      </c>
      <c r="H261" s="283">
        <f t="shared" ref="H261:H312" si="37">+C261*$I$4</f>
        <v>636702.58811194112</v>
      </c>
      <c r="I261" s="10">
        <f t="shared" ref="I261:I312" si="38">IF(G261&gt;H261,G261-H261,0)</f>
        <v>0</v>
      </c>
      <c r="J261" s="447">
        <f t="shared" ref="J261:J312" si="39">-I261*J$4</f>
        <v>0</v>
      </c>
      <c r="K261" s="10">
        <v>1535</v>
      </c>
      <c r="L261" s="397">
        <f t="shared" ref="L261:L312" si="40">C261*M$4</f>
        <v>79587.82351399264</v>
      </c>
      <c r="M261" s="14">
        <f t="shared" ref="M261:M312" si="41">IF(K261&gt;L261,K261-L261,0)</f>
        <v>0</v>
      </c>
      <c r="N261" s="2">
        <f t="shared" ref="N261:N312" si="42">-M261*N$4</f>
        <v>0</v>
      </c>
      <c r="O261" s="130">
        <f t="shared" ref="O261:O312" si="43">N261+J261</f>
        <v>0</v>
      </c>
      <c r="P261" s="438">
        <f t="shared" ref="P261:P312" si="44">+O261/C261</f>
        <v>0</v>
      </c>
      <c r="Q261" s="126"/>
    </row>
    <row r="262" spans="1:17" x14ac:dyDescent="0.25">
      <c r="A262" s="49">
        <f>+'A) Base RI'!A264</f>
        <v>5856</v>
      </c>
      <c r="B262" s="291" t="str">
        <f>+'A) Base RI'!B264</f>
        <v>Essertines-sur-Rolle</v>
      </c>
      <c r="C262" s="302">
        <f>+'D) Ecrêtage'!C262</f>
        <v>36512.686266191689</v>
      </c>
      <c r="D262" s="439">
        <v>178476</v>
      </c>
      <c r="E262" s="440">
        <v>22427</v>
      </c>
      <c r="F262" s="439">
        <v>53544</v>
      </c>
      <c r="G262" s="302">
        <f t="shared" si="36"/>
        <v>254447</v>
      </c>
      <c r="H262" s="283">
        <f t="shared" si="37"/>
        <v>292101.49012953351</v>
      </c>
      <c r="I262" s="10">
        <f t="shared" si="38"/>
        <v>0</v>
      </c>
      <c r="J262" s="447">
        <f t="shared" si="39"/>
        <v>0</v>
      </c>
      <c r="K262" s="10">
        <v>-18491</v>
      </c>
      <c r="L262" s="397">
        <f t="shared" si="40"/>
        <v>36512.686266191689</v>
      </c>
      <c r="M262" s="14">
        <f t="shared" si="41"/>
        <v>0</v>
      </c>
      <c r="N262" s="2">
        <f t="shared" si="42"/>
        <v>0</v>
      </c>
      <c r="O262" s="130">
        <f t="shared" si="43"/>
        <v>0</v>
      </c>
      <c r="P262" s="438">
        <f t="shared" si="44"/>
        <v>0</v>
      </c>
      <c r="Q262" s="126"/>
    </row>
    <row r="263" spans="1:17" x14ac:dyDescent="0.25">
      <c r="A263" s="49">
        <f>+'A) Base RI'!A265</f>
        <v>5857</v>
      </c>
      <c r="B263" s="291" t="str">
        <f>+'A) Base RI'!B265</f>
        <v>Gilly</v>
      </c>
      <c r="C263" s="302">
        <f>+'D) Ecrêtage'!C263</f>
        <v>85445.15246923732</v>
      </c>
      <c r="D263" s="439">
        <v>178995</v>
      </c>
      <c r="E263" s="440">
        <v>64079</v>
      </c>
      <c r="F263" s="439">
        <v>105573</v>
      </c>
      <c r="G263" s="302">
        <f t="shared" si="36"/>
        <v>348647</v>
      </c>
      <c r="H263" s="283">
        <f t="shared" si="37"/>
        <v>683561.21975389856</v>
      </c>
      <c r="I263" s="10">
        <f t="shared" si="38"/>
        <v>0</v>
      </c>
      <c r="J263" s="447">
        <f t="shared" si="39"/>
        <v>0</v>
      </c>
      <c r="K263" s="10">
        <v>17281</v>
      </c>
      <c r="L263" s="397">
        <f t="shared" si="40"/>
        <v>85445.15246923732</v>
      </c>
      <c r="M263" s="14">
        <f t="shared" si="41"/>
        <v>0</v>
      </c>
      <c r="N263" s="2">
        <f t="shared" si="42"/>
        <v>0</v>
      </c>
      <c r="O263" s="130">
        <f t="shared" si="43"/>
        <v>0</v>
      </c>
      <c r="P263" s="438">
        <f t="shared" si="44"/>
        <v>0</v>
      </c>
      <c r="Q263" s="126"/>
    </row>
    <row r="264" spans="1:17" x14ac:dyDescent="0.25">
      <c r="A264" s="49">
        <f>+'A) Base RI'!A266</f>
        <v>5858</v>
      </c>
      <c r="B264" s="291" t="str">
        <f>+'A) Base RI'!B266</f>
        <v>Luins</v>
      </c>
      <c r="C264" s="302">
        <f>+'D) Ecrêtage'!C264</f>
        <v>46686.611465586961</v>
      </c>
      <c r="D264" s="439">
        <v>65652</v>
      </c>
      <c r="E264" s="440">
        <v>41290</v>
      </c>
      <c r="F264" s="439">
        <v>52251</v>
      </c>
      <c r="G264" s="302">
        <f t="shared" si="36"/>
        <v>159193</v>
      </c>
      <c r="H264" s="283">
        <f t="shared" si="37"/>
        <v>373492.89172469568</v>
      </c>
      <c r="I264" s="10">
        <f t="shared" si="38"/>
        <v>0</v>
      </c>
      <c r="J264" s="447">
        <f t="shared" si="39"/>
        <v>0</v>
      </c>
      <c r="K264" s="10">
        <v>4734</v>
      </c>
      <c r="L264" s="397">
        <f t="shared" si="40"/>
        <v>46686.611465586961</v>
      </c>
      <c r="M264" s="14">
        <f t="shared" si="41"/>
        <v>0</v>
      </c>
      <c r="N264" s="2">
        <f t="shared" si="42"/>
        <v>0</v>
      </c>
      <c r="O264" s="130">
        <f t="shared" si="43"/>
        <v>0</v>
      </c>
      <c r="P264" s="438">
        <f t="shared" si="44"/>
        <v>0</v>
      </c>
      <c r="Q264" s="126"/>
    </row>
    <row r="265" spans="1:17" x14ac:dyDescent="0.25">
      <c r="A265" s="49">
        <f>+'A) Base RI'!A267</f>
        <v>5859</v>
      </c>
      <c r="B265" s="291" t="str">
        <f>+'A) Base RI'!B267</f>
        <v>Mont-sur-Rolle</v>
      </c>
      <c r="C265" s="302">
        <f>+'D) Ecrêtage'!C265</f>
        <v>136353.72580116385</v>
      </c>
      <c r="D265" s="439">
        <v>379269</v>
      </c>
      <c r="E265" s="440">
        <v>169347</v>
      </c>
      <c r="F265" s="439">
        <v>233523</v>
      </c>
      <c r="G265" s="302">
        <f t="shared" si="36"/>
        <v>782139</v>
      </c>
      <c r="H265" s="283">
        <f t="shared" si="37"/>
        <v>1090829.8064093108</v>
      </c>
      <c r="I265" s="10">
        <f t="shared" si="38"/>
        <v>0</v>
      </c>
      <c r="J265" s="447">
        <f t="shared" si="39"/>
        <v>0</v>
      </c>
      <c r="K265" s="10">
        <v>3037</v>
      </c>
      <c r="L265" s="397">
        <f t="shared" si="40"/>
        <v>136353.72580116385</v>
      </c>
      <c r="M265" s="14">
        <f t="shared" si="41"/>
        <v>0</v>
      </c>
      <c r="N265" s="2">
        <f t="shared" si="42"/>
        <v>0</v>
      </c>
      <c r="O265" s="130">
        <f t="shared" si="43"/>
        <v>0</v>
      </c>
      <c r="P265" s="438">
        <f t="shared" si="44"/>
        <v>0</v>
      </c>
      <c r="Q265" s="126"/>
    </row>
    <row r="266" spans="1:17" x14ac:dyDescent="0.25">
      <c r="A266" s="49">
        <f>+'A) Base RI'!A268</f>
        <v>5860</v>
      </c>
      <c r="B266" s="291" t="str">
        <f>+'A) Base RI'!B268</f>
        <v>Perroy</v>
      </c>
      <c r="C266" s="302">
        <f>+'D) Ecrêtage'!C266</f>
        <v>102639.35399012771</v>
      </c>
      <c r="D266" s="439">
        <v>3353809</v>
      </c>
      <c r="E266" s="440">
        <v>60948</v>
      </c>
      <c r="F266" s="439">
        <v>123540</v>
      </c>
      <c r="G266" s="302">
        <f t="shared" si="36"/>
        <v>3538297</v>
      </c>
      <c r="H266" s="283">
        <f t="shared" si="37"/>
        <v>821114.83192102169</v>
      </c>
      <c r="I266" s="10">
        <f t="shared" si="38"/>
        <v>2717182.1680789785</v>
      </c>
      <c r="J266" s="447">
        <f t="shared" si="39"/>
        <v>-1956596.6718242972</v>
      </c>
      <c r="K266" s="10">
        <v>18641</v>
      </c>
      <c r="L266" s="397">
        <f t="shared" si="40"/>
        <v>102639.35399012771</v>
      </c>
      <c r="M266" s="14">
        <f t="shared" si="41"/>
        <v>0</v>
      </c>
      <c r="N266" s="2">
        <f t="shared" si="42"/>
        <v>0</v>
      </c>
      <c r="O266" s="130">
        <f t="shared" si="43"/>
        <v>-1956596.6718242972</v>
      </c>
      <c r="P266" s="438">
        <f t="shared" si="44"/>
        <v>-19.062831124331616</v>
      </c>
      <c r="Q266" s="126"/>
    </row>
    <row r="267" spans="1:17" x14ac:dyDescent="0.25">
      <c r="A267" s="49">
        <f>+'A) Base RI'!A269</f>
        <v>5861</v>
      </c>
      <c r="B267" s="291" t="str">
        <f>+'A) Base RI'!B269</f>
        <v>Rolle</v>
      </c>
      <c r="C267" s="302">
        <f>+'D) Ecrêtage'!C267</f>
        <v>542281.32528677804</v>
      </c>
      <c r="D267" s="439">
        <v>2502927</v>
      </c>
      <c r="E267" s="440">
        <v>267503</v>
      </c>
      <c r="F267" s="439">
        <v>498088</v>
      </c>
      <c r="G267" s="302">
        <f t="shared" si="36"/>
        <v>3268518</v>
      </c>
      <c r="H267" s="283">
        <f t="shared" si="37"/>
        <v>4338250.6022942243</v>
      </c>
      <c r="I267" s="10">
        <f t="shared" si="38"/>
        <v>0</v>
      </c>
      <c r="J267" s="447">
        <f t="shared" si="39"/>
        <v>0</v>
      </c>
      <c r="K267" s="10">
        <v>120055</v>
      </c>
      <c r="L267" s="397">
        <f t="shared" si="40"/>
        <v>542281.32528677804</v>
      </c>
      <c r="M267" s="14">
        <f t="shared" si="41"/>
        <v>0</v>
      </c>
      <c r="N267" s="2">
        <f t="shared" si="42"/>
        <v>0</v>
      </c>
      <c r="O267" s="130">
        <f t="shared" si="43"/>
        <v>0</v>
      </c>
      <c r="P267" s="438">
        <f t="shared" si="44"/>
        <v>0</v>
      </c>
      <c r="Q267" s="126"/>
    </row>
    <row r="268" spans="1:17" x14ac:dyDescent="0.25">
      <c r="A268" s="49">
        <f>+'A) Base RI'!A270</f>
        <v>5862</v>
      </c>
      <c r="B268" s="291" t="str">
        <f>+'A) Base RI'!B270</f>
        <v>Tartegnin</v>
      </c>
      <c r="C268" s="302">
        <f>+'D) Ecrêtage'!C268</f>
        <v>10952.855675530331</v>
      </c>
      <c r="D268" s="439">
        <v>13837</v>
      </c>
      <c r="E268" s="440">
        <v>11459</v>
      </c>
      <c r="F268" s="439">
        <v>19455</v>
      </c>
      <c r="G268" s="302">
        <f t="shared" si="36"/>
        <v>44751</v>
      </c>
      <c r="H268" s="283">
        <f t="shared" si="37"/>
        <v>87622.845404242646</v>
      </c>
      <c r="I268" s="10">
        <f t="shared" si="38"/>
        <v>0</v>
      </c>
      <c r="J268" s="447">
        <f t="shared" si="39"/>
        <v>0</v>
      </c>
      <c r="K268" s="10">
        <v>4748</v>
      </c>
      <c r="L268" s="397">
        <f t="shared" si="40"/>
        <v>10952.855675530331</v>
      </c>
      <c r="M268" s="14">
        <f t="shared" si="41"/>
        <v>0</v>
      </c>
      <c r="N268" s="2">
        <f t="shared" si="42"/>
        <v>0</v>
      </c>
      <c r="O268" s="130">
        <f t="shared" si="43"/>
        <v>0</v>
      </c>
      <c r="P268" s="438">
        <f t="shared" si="44"/>
        <v>0</v>
      </c>
      <c r="Q268" s="126"/>
    </row>
    <row r="269" spans="1:17" x14ac:dyDescent="0.25">
      <c r="A269" s="49">
        <f>+'A) Base RI'!A271</f>
        <v>5863</v>
      </c>
      <c r="B269" s="291" t="str">
        <f>+'A) Base RI'!B271</f>
        <v>Vinzel</v>
      </c>
      <c r="C269" s="302">
        <f>+'D) Ecrêtage'!C269</f>
        <v>17853.344314731814</v>
      </c>
      <c r="D269" s="439">
        <v>20318</v>
      </c>
      <c r="E269" s="440">
        <v>20496</v>
      </c>
      <c r="F269" s="439">
        <v>25671</v>
      </c>
      <c r="G269" s="302">
        <f t="shared" si="36"/>
        <v>66485</v>
      </c>
      <c r="H269" s="283">
        <f t="shared" si="37"/>
        <v>142826.75451785451</v>
      </c>
      <c r="I269" s="10">
        <f t="shared" si="38"/>
        <v>0</v>
      </c>
      <c r="J269" s="447">
        <f t="shared" si="39"/>
        <v>0</v>
      </c>
      <c r="K269" s="10">
        <v>4916</v>
      </c>
      <c r="L269" s="397">
        <f t="shared" si="40"/>
        <v>17853.344314731814</v>
      </c>
      <c r="M269" s="14">
        <f t="shared" si="41"/>
        <v>0</v>
      </c>
      <c r="N269" s="2">
        <f t="shared" si="42"/>
        <v>0</v>
      </c>
      <c r="O269" s="130">
        <f t="shared" si="43"/>
        <v>0</v>
      </c>
      <c r="P269" s="438">
        <f t="shared" si="44"/>
        <v>0</v>
      </c>
      <c r="Q269" s="126"/>
    </row>
    <row r="270" spans="1:17" x14ac:dyDescent="0.25">
      <c r="A270" s="49">
        <f>+'A) Base RI'!A272</f>
        <v>5871</v>
      </c>
      <c r="B270" s="291" t="str">
        <f>+'A) Base RI'!B272</f>
        <v>L'Abbaye</v>
      </c>
      <c r="C270" s="302">
        <f>+'D) Ecrêtage'!C270</f>
        <v>46407.687824597124</v>
      </c>
      <c r="D270" s="439">
        <v>525346</v>
      </c>
      <c r="E270" s="440">
        <v>158204</v>
      </c>
      <c r="F270" s="439">
        <v>220085</v>
      </c>
      <c r="G270" s="302">
        <f t="shared" si="36"/>
        <v>903635</v>
      </c>
      <c r="H270" s="283">
        <f t="shared" si="37"/>
        <v>371261.50259677699</v>
      </c>
      <c r="I270" s="10">
        <f t="shared" si="38"/>
        <v>532373.49740322307</v>
      </c>
      <c r="J270" s="447">
        <f t="shared" si="39"/>
        <v>-383353.102130446</v>
      </c>
      <c r="K270" s="10">
        <v>8918</v>
      </c>
      <c r="L270" s="397">
        <f t="shared" si="40"/>
        <v>46407.687824597124</v>
      </c>
      <c r="M270" s="14">
        <f t="shared" si="41"/>
        <v>0</v>
      </c>
      <c r="N270" s="2">
        <f t="shared" si="42"/>
        <v>0</v>
      </c>
      <c r="O270" s="130">
        <f t="shared" si="43"/>
        <v>-383353.102130446</v>
      </c>
      <c r="P270" s="438">
        <f t="shared" si="44"/>
        <v>-8.2605516478082368</v>
      </c>
      <c r="Q270" s="126"/>
    </row>
    <row r="271" spans="1:17" x14ac:dyDescent="0.25">
      <c r="A271" s="49">
        <f>+'A) Base RI'!A273</f>
        <v>5872</v>
      </c>
      <c r="B271" s="291" t="str">
        <f>+'A) Base RI'!B273</f>
        <v>Le Chenit</v>
      </c>
      <c r="C271" s="302">
        <f>+'D) Ecrêtage'!C271</f>
        <v>253970.36617173007</v>
      </c>
      <c r="D271" s="439">
        <v>2529811</v>
      </c>
      <c r="E271" s="440">
        <v>491881</v>
      </c>
      <c r="F271" s="439">
        <v>694697</v>
      </c>
      <c r="G271" s="302">
        <f t="shared" si="36"/>
        <v>3716389</v>
      </c>
      <c r="H271" s="283">
        <f t="shared" si="37"/>
        <v>2031762.9293738406</v>
      </c>
      <c r="I271" s="10">
        <f t="shared" si="38"/>
        <v>1684626.0706261594</v>
      </c>
      <c r="J271" s="447">
        <f t="shared" si="39"/>
        <v>-1213070.5853210872</v>
      </c>
      <c r="K271" s="10">
        <v>284085</v>
      </c>
      <c r="L271" s="397">
        <f t="shared" si="40"/>
        <v>253970.36617173007</v>
      </c>
      <c r="M271" s="14">
        <f t="shared" si="41"/>
        <v>30114.633828269929</v>
      </c>
      <c r="N271" s="2">
        <f t="shared" si="42"/>
        <v>-21685.035701252873</v>
      </c>
      <c r="O271" s="130">
        <f t="shared" si="43"/>
        <v>-1234755.6210223401</v>
      </c>
      <c r="P271" s="438">
        <f t="shared" si="44"/>
        <v>-4.8618098230697564</v>
      </c>
      <c r="Q271" s="126"/>
    </row>
    <row r="272" spans="1:17" x14ac:dyDescent="0.25">
      <c r="A272" s="49">
        <f>+'A) Base RI'!A274</f>
        <v>5873</v>
      </c>
      <c r="B272" s="291" t="str">
        <f>+'A) Base RI'!B274</f>
        <v>Le Lieu</v>
      </c>
      <c r="C272" s="302">
        <f>+'D) Ecrêtage'!C272</f>
        <v>28515.54687424951</v>
      </c>
      <c r="D272" s="439">
        <v>824885</v>
      </c>
      <c r="E272" s="440">
        <v>92323</v>
      </c>
      <c r="F272" s="439">
        <v>118423</v>
      </c>
      <c r="G272" s="302">
        <f t="shared" si="36"/>
        <v>1035631</v>
      </c>
      <c r="H272" s="283">
        <f t="shared" si="37"/>
        <v>228124.37499399608</v>
      </c>
      <c r="I272" s="10">
        <f t="shared" si="38"/>
        <v>807506.62500600389</v>
      </c>
      <c r="J272" s="447">
        <f t="shared" si="39"/>
        <v>-581471.78850354289</v>
      </c>
      <c r="K272" s="10">
        <v>147419</v>
      </c>
      <c r="L272" s="397">
        <f t="shared" si="40"/>
        <v>28515.54687424951</v>
      </c>
      <c r="M272" s="14">
        <f t="shared" si="41"/>
        <v>118903.45312575049</v>
      </c>
      <c r="N272" s="2">
        <f t="shared" si="42"/>
        <v>-85620.354567076472</v>
      </c>
      <c r="O272" s="130">
        <f t="shared" si="43"/>
        <v>-667092.14307061932</v>
      </c>
      <c r="P272" s="438">
        <f t="shared" si="44"/>
        <v>-23.393980343860274</v>
      </c>
      <c r="Q272" s="126"/>
    </row>
    <row r="273" spans="1:17" x14ac:dyDescent="0.25">
      <c r="A273" s="49">
        <f>+'A) Base RI'!A275</f>
        <v>5881</v>
      </c>
      <c r="B273" s="291" t="str">
        <f>+'A) Base RI'!B275</f>
        <v>Blonay</v>
      </c>
      <c r="C273" s="302">
        <f>+'D) Ecrêtage'!C273</f>
        <v>355094.49330320884</v>
      </c>
      <c r="D273" s="439">
        <v>1977992</v>
      </c>
      <c r="E273" s="440">
        <v>1006012</v>
      </c>
      <c r="F273" s="439">
        <v>440246</v>
      </c>
      <c r="G273" s="302">
        <f t="shared" si="36"/>
        <v>3424250</v>
      </c>
      <c r="H273" s="283">
        <f t="shared" si="37"/>
        <v>2840755.9464256708</v>
      </c>
      <c r="I273" s="10">
        <f t="shared" si="38"/>
        <v>583494.05357432924</v>
      </c>
      <c r="J273" s="447">
        <f t="shared" si="39"/>
        <v>-420164.14529171784</v>
      </c>
      <c r="K273" s="10">
        <v>562127</v>
      </c>
      <c r="L273" s="397">
        <f t="shared" si="40"/>
        <v>355094.49330320884</v>
      </c>
      <c r="M273" s="14">
        <f t="shared" si="41"/>
        <v>207032.50669679116</v>
      </c>
      <c r="N273" s="2">
        <f t="shared" si="42"/>
        <v>-149080.58735302615</v>
      </c>
      <c r="O273" s="130">
        <f t="shared" si="43"/>
        <v>-569244.73264474398</v>
      </c>
      <c r="P273" s="438">
        <f t="shared" si="44"/>
        <v>-1.6030795841113652</v>
      </c>
      <c r="Q273" s="126"/>
    </row>
    <row r="274" spans="1:17" x14ac:dyDescent="0.25">
      <c r="A274" s="49">
        <f>+'A) Base RI'!A276</f>
        <v>5882</v>
      </c>
      <c r="B274" s="291" t="str">
        <f>+'A) Base RI'!B276</f>
        <v>Chardonne</v>
      </c>
      <c r="C274" s="302">
        <f>+'D) Ecrêtage'!C274</f>
        <v>184065.71182844636</v>
      </c>
      <c r="D274" s="439">
        <v>1564358</v>
      </c>
      <c r="E274" s="440">
        <v>278333</v>
      </c>
      <c r="F274" s="439">
        <v>162910</v>
      </c>
      <c r="G274" s="302">
        <f t="shared" si="36"/>
        <v>2005601</v>
      </c>
      <c r="H274" s="283">
        <f t="shared" si="37"/>
        <v>1472525.6946275709</v>
      </c>
      <c r="I274" s="10">
        <f t="shared" si="38"/>
        <v>533075.30537242908</v>
      </c>
      <c r="J274" s="447">
        <f t="shared" si="39"/>
        <v>-383858.46211438079</v>
      </c>
      <c r="K274" s="10">
        <v>35502</v>
      </c>
      <c r="L274" s="397">
        <f t="shared" si="40"/>
        <v>184065.71182844636</v>
      </c>
      <c r="M274" s="14">
        <f t="shared" si="41"/>
        <v>0</v>
      </c>
      <c r="N274" s="2">
        <f t="shared" si="42"/>
        <v>0</v>
      </c>
      <c r="O274" s="130">
        <f t="shared" si="43"/>
        <v>-383858.46211438079</v>
      </c>
      <c r="P274" s="438">
        <f t="shared" si="44"/>
        <v>-2.0854425210500152</v>
      </c>
      <c r="Q274" s="126"/>
    </row>
    <row r="275" spans="1:17" x14ac:dyDescent="0.25">
      <c r="A275" s="49">
        <f>+'A) Base RI'!A277</f>
        <v>5883</v>
      </c>
      <c r="B275" s="291" t="str">
        <f>+'A) Base RI'!B277</f>
        <v>Corseaux</v>
      </c>
      <c r="C275" s="302">
        <f>+'D) Ecrêtage'!C275</f>
        <v>164452.64554996623</v>
      </c>
      <c r="D275" s="439">
        <v>370751</v>
      </c>
      <c r="E275" s="440">
        <v>571037</v>
      </c>
      <c r="F275" s="439">
        <v>113619</v>
      </c>
      <c r="G275" s="302">
        <f t="shared" si="36"/>
        <v>1055407</v>
      </c>
      <c r="H275" s="283">
        <f t="shared" si="37"/>
        <v>1315621.1643997298</v>
      </c>
      <c r="I275" s="10">
        <f t="shared" si="38"/>
        <v>0</v>
      </c>
      <c r="J275" s="447">
        <f t="shared" si="39"/>
        <v>0</v>
      </c>
      <c r="K275" s="10">
        <v>1666</v>
      </c>
      <c r="L275" s="397">
        <f t="shared" si="40"/>
        <v>164452.64554996623</v>
      </c>
      <c r="M275" s="14">
        <f t="shared" si="41"/>
        <v>0</v>
      </c>
      <c r="N275" s="2">
        <f t="shared" si="42"/>
        <v>0</v>
      </c>
      <c r="O275" s="130">
        <f t="shared" si="43"/>
        <v>0</v>
      </c>
      <c r="P275" s="438">
        <f t="shared" si="44"/>
        <v>0</v>
      </c>
      <c r="Q275" s="126"/>
    </row>
    <row r="276" spans="1:17" x14ac:dyDescent="0.25">
      <c r="A276" s="49">
        <f>+'A) Base RI'!A278</f>
        <v>5884</v>
      </c>
      <c r="B276" s="291" t="str">
        <f>+'A) Base RI'!B278</f>
        <v>Corsier-sur-Vevey</v>
      </c>
      <c r="C276" s="302">
        <f>+'D) Ecrêtage'!C276</f>
        <v>125116.33219250187</v>
      </c>
      <c r="D276" s="439">
        <v>1702905</v>
      </c>
      <c r="E276" s="440">
        <v>1019410</v>
      </c>
      <c r="F276" s="439">
        <v>205523</v>
      </c>
      <c r="G276" s="302">
        <f t="shared" si="36"/>
        <v>2927838</v>
      </c>
      <c r="H276" s="283">
        <f t="shared" si="37"/>
        <v>1000930.6575400149</v>
      </c>
      <c r="I276" s="10">
        <f t="shared" si="38"/>
        <v>1926907.3424599851</v>
      </c>
      <c r="J276" s="447">
        <f t="shared" si="39"/>
        <v>-1387533.2090216421</v>
      </c>
      <c r="K276" s="10">
        <v>37103</v>
      </c>
      <c r="L276" s="397">
        <f t="shared" si="40"/>
        <v>125116.33219250187</v>
      </c>
      <c r="M276" s="14">
        <f t="shared" si="41"/>
        <v>0</v>
      </c>
      <c r="N276" s="2">
        <f t="shared" si="42"/>
        <v>0</v>
      </c>
      <c r="O276" s="130">
        <f t="shared" si="43"/>
        <v>-1387533.2090216421</v>
      </c>
      <c r="P276" s="438">
        <f t="shared" si="44"/>
        <v>-11.089944731490426</v>
      </c>
      <c r="Q276" s="126"/>
    </row>
    <row r="277" spans="1:17" x14ac:dyDescent="0.25">
      <c r="A277" s="49">
        <f>+'A) Base RI'!A279</f>
        <v>5885</v>
      </c>
      <c r="B277" s="291" t="str">
        <f>+'A) Base RI'!B279</f>
        <v>Jongny</v>
      </c>
      <c r="C277" s="302">
        <f>+'D) Ecrêtage'!C277</f>
        <v>78645.92697183101</v>
      </c>
      <c r="D277" s="439">
        <v>576657</v>
      </c>
      <c r="E277" s="440">
        <v>121556</v>
      </c>
      <c r="F277" s="439">
        <v>91356</v>
      </c>
      <c r="G277" s="302">
        <f t="shared" si="36"/>
        <v>789569</v>
      </c>
      <c r="H277" s="283">
        <f t="shared" si="37"/>
        <v>629167.41577464808</v>
      </c>
      <c r="I277" s="10">
        <f t="shared" si="38"/>
        <v>160401.58422535192</v>
      </c>
      <c r="J277" s="447">
        <f t="shared" si="39"/>
        <v>-115502.45306981054</v>
      </c>
      <c r="K277" s="10">
        <v>9004</v>
      </c>
      <c r="L277" s="397">
        <f t="shared" si="40"/>
        <v>78645.92697183101</v>
      </c>
      <c r="M277" s="14">
        <f t="shared" si="41"/>
        <v>0</v>
      </c>
      <c r="N277" s="2">
        <f t="shared" si="42"/>
        <v>0</v>
      </c>
      <c r="O277" s="130">
        <f t="shared" si="43"/>
        <v>-115502.45306981054</v>
      </c>
      <c r="P277" s="438">
        <f t="shared" si="44"/>
        <v>-1.4686387142614596</v>
      </c>
      <c r="Q277" s="126"/>
    </row>
    <row r="278" spans="1:17" x14ac:dyDescent="0.25">
      <c r="A278" s="49">
        <f>+'A) Base RI'!A280</f>
        <v>5886</v>
      </c>
      <c r="B278" s="291" t="str">
        <f>+'A) Base RI'!B280</f>
        <v>Montreux</v>
      </c>
      <c r="C278" s="302">
        <f>+'D) Ecrêtage'!C278</f>
        <v>1133766.4796882921</v>
      </c>
      <c r="D278" s="439">
        <v>9152159</v>
      </c>
      <c r="E278" s="440">
        <v>6411738</v>
      </c>
      <c r="F278" s="439">
        <v>233859</v>
      </c>
      <c r="G278" s="302">
        <f t="shared" si="36"/>
        <v>15797756</v>
      </c>
      <c r="H278" s="283">
        <f t="shared" si="37"/>
        <v>9070131.8375063371</v>
      </c>
      <c r="I278" s="10">
        <f t="shared" si="38"/>
        <v>6727624.1624936629</v>
      </c>
      <c r="J278" s="447">
        <f t="shared" si="39"/>
        <v>-4844447.7518878002</v>
      </c>
      <c r="K278" s="10">
        <v>1622474</v>
      </c>
      <c r="L278" s="397">
        <f t="shared" si="40"/>
        <v>1133766.4796882921</v>
      </c>
      <c r="M278" s="14">
        <f t="shared" si="41"/>
        <v>488707.52031170786</v>
      </c>
      <c r="N278" s="2">
        <f t="shared" si="42"/>
        <v>-351909.9745945335</v>
      </c>
      <c r="O278" s="130">
        <f t="shared" si="43"/>
        <v>-5196357.7264823336</v>
      </c>
      <c r="P278" s="438">
        <f t="shared" si="44"/>
        <v>-4.5832698528104086</v>
      </c>
      <c r="Q278" s="126"/>
    </row>
    <row r="279" spans="1:17" x14ac:dyDescent="0.25">
      <c r="A279" s="49">
        <f>+'A) Base RI'!A281</f>
        <v>5888</v>
      </c>
      <c r="B279" s="291" t="str">
        <f>+'A) Base RI'!B281</f>
        <v>Saint-Légier-La Chiésaz</v>
      </c>
      <c r="C279" s="302">
        <f>+'D) Ecrêtage'!C279</f>
        <v>337320.4595902646</v>
      </c>
      <c r="D279" s="439">
        <v>1563612</v>
      </c>
      <c r="E279" s="440">
        <v>817825</v>
      </c>
      <c r="F279" s="439">
        <v>346708</v>
      </c>
      <c r="G279" s="302">
        <f t="shared" si="36"/>
        <v>2728145</v>
      </c>
      <c r="H279" s="283">
        <f t="shared" si="37"/>
        <v>2698563.6767221168</v>
      </c>
      <c r="I279" s="10">
        <f t="shared" si="38"/>
        <v>29581.323277883232</v>
      </c>
      <c r="J279" s="447">
        <f t="shared" si="39"/>
        <v>-21301.00784320421</v>
      </c>
      <c r="K279" s="10">
        <v>596765</v>
      </c>
      <c r="L279" s="397">
        <f t="shared" si="40"/>
        <v>337320.4595902646</v>
      </c>
      <c r="M279" s="14">
        <f t="shared" si="41"/>
        <v>259444.5404097354</v>
      </c>
      <c r="N279" s="2">
        <f t="shared" si="42"/>
        <v>-186821.60152977929</v>
      </c>
      <c r="O279" s="130">
        <f t="shared" si="43"/>
        <v>-208122.60937298351</v>
      </c>
      <c r="P279" s="438">
        <f t="shared" si="44"/>
        <v>-0.61698780330663983</v>
      </c>
      <c r="Q279" s="126"/>
    </row>
    <row r="280" spans="1:17" x14ac:dyDescent="0.25">
      <c r="A280" s="49">
        <f>+'A) Base RI'!A282</f>
        <v>5889</v>
      </c>
      <c r="B280" s="291" t="str">
        <f>+'A) Base RI'!B282</f>
        <v>La Tour-de-Peilz</v>
      </c>
      <c r="C280" s="302">
        <f>+'D) Ecrêtage'!C280</f>
        <v>691108.44187203015</v>
      </c>
      <c r="D280" s="439">
        <v>2326382</v>
      </c>
      <c r="E280" s="440">
        <v>2508737</v>
      </c>
      <c r="F280" s="439">
        <v>6166</v>
      </c>
      <c r="G280" s="302">
        <f t="shared" si="36"/>
        <v>4841285</v>
      </c>
      <c r="H280" s="283">
        <f t="shared" si="37"/>
        <v>5528867.5349762412</v>
      </c>
      <c r="I280" s="10">
        <f t="shared" si="38"/>
        <v>0</v>
      </c>
      <c r="J280" s="447">
        <f t="shared" si="39"/>
        <v>0</v>
      </c>
      <c r="K280" s="10">
        <v>46469</v>
      </c>
      <c r="L280" s="397">
        <f t="shared" si="40"/>
        <v>691108.44187203015</v>
      </c>
      <c r="M280" s="14">
        <f t="shared" si="41"/>
        <v>0</v>
      </c>
      <c r="N280" s="2">
        <f t="shared" si="42"/>
        <v>0</v>
      </c>
      <c r="O280" s="130">
        <f t="shared" si="43"/>
        <v>0</v>
      </c>
      <c r="P280" s="438">
        <f t="shared" si="44"/>
        <v>0</v>
      </c>
      <c r="Q280" s="126"/>
    </row>
    <row r="281" spans="1:17" x14ac:dyDescent="0.25">
      <c r="A281" s="49">
        <f>+'A) Base RI'!A283</f>
        <v>5890</v>
      </c>
      <c r="B281" s="291" t="str">
        <f>+'A) Base RI'!B283</f>
        <v>Vevey</v>
      </c>
      <c r="C281" s="302">
        <f>+'D) Ecrêtage'!C281</f>
        <v>964973.50807811751</v>
      </c>
      <c r="D281" s="439">
        <v>6577883</v>
      </c>
      <c r="E281" s="440">
        <v>4555153</v>
      </c>
      <c r="F281" s="439">
        <v>349821</v>
      </c>
      <c r="G281" s="302">
        <f t="shared" si="36"/>
        <v>11482857</v>
      </c>
      <c r="H281" s="283">
        <f t="shared" si="37"/>
        <v>7719788.06462494</v>
      </c>
      <c r="I281" s="10">
        <f t="shared" si="38"/>
        <v>3763068.93537506</v>
      </c>
      <c r="J281" s="447">
        <f t="shared" si="39"/>
        <v>-2709721.9469851288</v>
      </c>
      <c r="K281" s="10">
        <v>100000</v>
      </c>
      <c r="L281" s="397">
        <f t="shared" si="40"/>
        <v>964973.50807811751</v>
      </c>
      <c r="M281" s="14">
        <f t="shared" si="41"/>
        <v>0</v>
      </c>
      <c r="N281" s="2">
        <f t="shared" si="42"/>
        <v>0</v>
      </c>
      <c r="O281" s="130">
        <f t="shared" si="43"/>
        <v>-2709721.9469851288</v>
      </c>
      <c r="P281" s="438">
        <f t="shared" si="44"/>
        <v>-2.8080791071476425</v>
      </c>
      <c r="Q281" s="126"/>
    </row>
    <row r="282" spans="1:17" x14ac:dyDescent="0.25">
      <c r="A282" s="49">
        <f>+'A) Base RI'!A284</f>
        <v>5891</v>
      </c>
      <c r="B282" s="291" t="str">
        <f>+'A) Base RI'!B284</f>
        <v>Veytaux</v>
      </c>
      <c r="C282" s="302">
        <f>+'D) Ecrêtage'!C282</f>
        <v>37035.518505817468</v>
      </c>
      <c r="D282" s="439">
        <v>906421</v>
      </c>
      <c r="E282" s="440">
        <v>254089</v>
      </c>
      <c r="F282" s="439">
        <v>30000</v>
      </c>
      <c r="G282" s="302">
        <f t="shared" si="36"/>
        <v>1190510</v>
      </c>
      <c r="H282" s="283">
        <f t="shared" si="37"/>
        <v>296284.14804653975</v>
      </c>
      <c r="I282" s="10">
        <f t="shared" si="38"/>
        <v>894225.85195346025</v>
      </c>
      <c r="J282" s="447">
        <f t="shared" si="39"/>
        <v>-643916.8291128471</v>
      </c>
      <c r="K282" s="10">
        <v>328198</v>
      </c>
      <c r="L282" s="397">
        <f t="shared" si="40"/>
        <v>37035.518505817468</v>
      </c>
      <c r="M282" s="14">
        <f t="shared" si="41"/>
        <v>291162.48149418255</v>
      </c>
      <c r="N282" s="2">
        <f t="shared" si="42"/>
        <v>-209661.15152094667</v>
      </c>
      <c r="O282" s="130">
        <f t="shared" si="43"/>
        <v>-853577.98063379375</v>
      </c>
      <c r="P282" s="438">
        <f t="shared" si="44"/>
        <v>-23.047550434583908</v>
      </c>
      <c r="Q282" s="126"/>
    </row>
    <row r="283" spans="1:17" x14ac:dyDescent="0.25">
      <c r="A283" s="49">
        <f>+'A) Base RI'!A285</f>
        <v>5902</v>
      </c>
      <c r="B283" s="291" t="str">
        <f>+'A) Base RI'!B285</f>
        <v>Belmont-sur-Yverdon</v>
      </c>
      <c r="C283" s="302">
        <f>+'D) Ecrêtage'!C283</f>
        <v>10774.45016912473</v>
      </c>
      <c r="D283" s="439">
        <v>13650</v>
      </c>
      <c r="E283" s="440">
        <v>16207</v>
      </c>
      <c r="F283" s="439">
        <v>46232</v>
      </c>
      <c r="G283" s="302">
        <f t="shared" si="36"/>
        <v>76089</v>
      </c>
      <c r="H283" s="283">
        <f t="shared" si="37"/>
        <v>86195.601352997837</v>
      </c>
      <c r="I283" s="10">
        <f t="shared" si="38"/>
        <v>0</v>
      </c>
      <c r="J283" s="447">
        <f t="shared" si="39"/>
        <v>0</v>
      </c>
      <c r="K283" s="10">
        <v>23256</v>
      </c>
      <c r="L283" s="397">
        <f t="shared" si="40"/>
        <v>10774.45016912473</v>
      </c>
      <c r="M283" s="14">
        <f t="shared" si="41"/>
        <v>12481.54983087527</v>
      </c>
      <c r="N283" s="2">
        <f t="shared" si="42"/>
        <v>-8987.7517765271277</v>
      </c>
      <c r="O283" s="130">
        <f t="shared" si="43"/>
        <v>-8987.7517765271277</v>
      </c>
      <c r="P283" s="438">
        <f t="shared" si="44"/>
        <v>-0.83417266175516169</v>
      </c>
      <c r="Q283" s="126"/>
    </row>
    <row r="284" spans="1:17" x14ac:dyDescent="0.25">
      <c r="A284" s="49">
        <f>+'A) Base RI'!A286</f>
        <v>5903</v>
      </c>
      <c r="B284" s="291" t="str">
        <f>+'A) Base RI'!B286</f>
        <v>Bioley-Magnoux</v>
      </c>
      <c r="C284" s="302">
        <f>+'D) Ecrêtage'!C284</f>
        <v>6472.6316948302874</v>
      </c>
      <c r="D284" s="439">
        <v>249742</v>
      </c>
      <c r="E284" s="440">
        <v>9496</v>
      </c>
      <c r="F284" s="439">
        <v>19964</v>
      </c>
      <c r="G284" s="302">
        <f t="shared" si="36"/>
        <v>279202</v>
      </c>
      <c r="H284" s="283">
        <f t="shared" si="37"/>
        <v>51781.053558642299</v>
      </c>
      <c r="I284" s="10">
        <f t="shared" si="38"/>
        <v>227420.94644135769</v>
      </c>
      <c r="J284" s="447">
        <f t="shared" si="39"/>
        <v>-163761.95609471502</v>
      </c>
      <c r="K284" s="10">
        <v>60312</v>
      </c>
      <c r="L284" s="397">
        <f t="shared" si="40"/>
        <v>6472.6316948302874</v>
      </c>
      <c r="M284" s="14">
        <f t="shared" si="41"/>
        <v>53839.368305169715</v>
      </c>
      <c r="N284" s="2">
        <f t="shared" si="42"/>
        <v>-38768.813543882978</v>
      </c>
      <c r="O284" s="130">
        <f t="shared" si="43"/>
        <v>-202530.76963859799</v>
      </c>
      <c r="P284" s="438">
        <f t="shared" si="44"/>
        <v>-31.290328136600142</v>
      </c>
      <c r="Q284" s="126"/>
    </row>
    <row r="285" spans="1:17" x14ac:dyDescent="0.25">
      <c r="A285" s="49">
        <f>+'A) Base RI'!A287</f>
        <v>5904</v>
      </c>
      <c r="B285" s="291" t="str">
        <f>+'A) Base RI'!B287</f>
        <v>Chamblon</v>
      </c>
      <c r="C285" s="302">
        <f>+'D) Ecrêtage'!C285</f>
        <v>21968.958276290676</v>
      </c>
      <c r="D285" s="439">
        <v>54539</v>
      </c>
      <c r="E285" s="440">
        <v>22875</v>
      </c>
      <c r="F285" s="439">
        <v>15744</v>
      </c>
      <c r="G285" s="302">
        <f t="shared" si="36"/>
        <v>93158</v>
      </c>
      <c r="H285" s="283">
        <f t="shared" si="37"/>
        <v>175751.66621032541</v>
      </c>
      <c r="I285" s="10">
        <f t="shared" si="38"/>
        <v>0</v>
      </c>
      <c r="J285" s="447">
        <f t="shared" si="39"/>
        <v>0</v>
      </c>
      <c r="K285" s="10">
        <v>602</v>
      </c>
      <c r="L285" s="397">
        <f t="shared" si="40"/>
        <v>21968.958276290676</v>
      </c>
      <c r="M285" s="14">
        <f t="shared" si="41"/>
        <v>0</v>
      </c>
      <c r="N285" s="2">
        <f t="shared" si="42"/>
        <v>0</v>
      </c>
      <c r="O285" s="130">
        <f t="shared" si="43"/>
        <v>0</v>
      </c>
      <c r="P285" s="438">
        <f t="shared" si="44"/>
        <v>0</v>
      </c>
      <c r="Q285" s="126"/>
    </row>
    <row r="286" spans="1:17" x14ac:dyDescent="0.25">
      <c r="A286" s="49">
        <f>+'A) Base RI'!A288</f>
        <v>5905</v>
      </c>
      <c r="B286" s="291" t="str">
        <f>+'A) Base RI'!B288</f>
        <v>Champvent</v>
      </c>
      <c r="C286" s="302">
        <f>+'D) Ecrêtage'!C286</f>
        <v>23321.773448973479</v>
      </c>
      <c r="D286" s="439">
        <v>63542</v>
      </c>
      <c r="E286" s="440">
        <v>72276</v>
      </c>
      <c r="F286" s="439">
        <v>26150.45</v>
      </c>
      <c r="G286" s="302">
        <f t="shared" si="36"/>
        <v>161968.45000000001</v>
      </c>
      <c r="H286" s="283">
        <f t="shared" si="37"/>
        <v>186574.18759178784</v>
      </c>
      <c r="I286" s="10">
        <f t="shared" si="38"/>
        <v>0</v>
      </c>
      <c r="J286" s="447">
        <f t="shared" si="39"/>
        <v>0</v>
      </c>
      <c r="K286" s="10">
        <v>64655</v>
      </c>
      <c r="L286" s="397">
        <f t="shared" si="40"/>
        <v>23321.773448973479</v>
      </c>
      <c r="M286" s="14">
        <f t="shared" si="41"/>
        <v>41333.226551026521</v>
      </c>
      <c r="N286" s="2">
        <f t="shared" si="42"/>
        <v>-29763.353541611898</v>
      </c>
      <c r="O286" s="130">
        <f t="shared" si="43"/>
        <v>-29763.353541611898</v>
      </c>
      <c r="P286" s="438">
        <f t="shared" si="44"/>
        <v>-1.2762045565159175</v>
      </c>
      <c r="Q286" s="126"/>
    </row>
    <row r="287" spans="1:17" x14ac:dyDescent="0.25">
      <c r="A287" s="49">
        <f>+'A) Base RI'!A289</f>
        <v>5907</v>
      </c>
      <c r="B287" s="291" t="str">
        <f>+'A) Base RI'!B289</f>
        <v>Chavannes-le-Chêne</v>
      </c>
      <c r="C287" s="302">
        <f>+'D) Ecrêtage'!C287</f>
        <v>9479.6278585348446</v>
      </c>
      <c r="D287" s="439">
        <v>144362</v>
      </c>
      <c r="E287" s="440">
        <v>12999</v>
      </c>
      <c r="F287" s="439">
        <v>27400</v>
      </c>
      <c r="G287" s="302">
        <f t="shared" si="36"/>
        <v>184761</v>
      </c>
      <c r="H287" s="283">
        <f t="shared" si="37"/>
        <v>75837.022868278757</v>
      </c>
      <c r="I287" s="10">
        <f t="shared" si="38"/>
        <v>108923.97713172124</v>
      </c>
      <c r="J287" s="447">
        <f t="shared" si="39"/>
        <v>-78434.303611106661</v>
      </c>
      <c r="K287" s="10">
        <v>7130</v>
      </c>
      <c r="L287" s="397">
        <f t="shared" si="40"/>
        <v>9479.6278585348446</v>
      </c>
      <c r="M287" s="14">
        <f t="shared" si="41"/>
        <v>0</v>
      </c>
      <c r="N287" s="2">
        <f t="shared" si="42"/>
        <v>0</v>
      </c>
      <c r="O287" s="130">
        <f t="shared" si="43"/>
        <v>-78434.303611106661</v>
      </c>
      <c r="P287" s="438">
        <f t="shared" si="44"/>
        <v>-8.2739855173206482</v>
      </c>
      <c r="Q287" s="126"/>
    </row>
    <row r="288" spans="1:17" x14ac:dyDescent="0.25">
      <c r="A288" s="49">
        <f>+'A) Base RI'!A290</f>
        <v>5908</v>
      </c>
      <c r="B288" s="291" t="str">
        <f>+'A) Base RI'!B290</f>
        <v>Chêne-Pâquier</v>
      </c>
      <c r="C288" s="302">
        <f>+'D) Ecrêtage'!C288</f>
        <v>3375.521749976027</v>
      </c>
      <c r="D288" s="439">
        <v>31229</v>
      </c>
      <c r="E288" s="440">
        <v>5950</v>
      </c>
      <c r="F288" s="439">
        <v>12340</v>
      </c>
      <c r="G288" s="302">
        <f t="shared" si="36"/>
        <v>49519</v>
      </c>
      <c r="H288" s="283">
        <f t="shared" si="37"/>
        <v>27004.173999808216</v>
      </c>
      <c r="I288" s="10">
        <f t="shared" si="38"/>
        <v>22514.826000191784</v>
      </c>
      <c r="J288" s="447">
        <f t="shared" si="39"/>
        <v>-16212.543323815142</v>
      </c>
      <c r="K288" s="10">
        <v>13067</v>
      </c>
      <c r="L288" s="397">
        <f t="shared" si="40"/>
        <v>3375.521749976027</v>
      </c>
      <c r="M288" s="14">
        <f t="shared" si="41"/>
        <v>9691.4782500239726</v>
      </c>
      <c r="N288" s="2">
        <f t="shared" si="42"/>
        <v>-6978.6686780962655</v>
      </c>
      <c r="O288" s="130">
        <f t="shared" si="43"/>
        <v>-23191.212001911408</v>
      </c>
      <c r="P288" s="438">
        <f t="shared" si="44"/>
        <v>-6.8704081086356839</v>
      </c>
      <c r="Q288" s="126"/>
    </row>
    <row r="289" spans="1:17" x14ac:dyDescent="0.25">
      <c r="A289" s="49">
        <f>+'A) Base RI'!A291</f>
        <v>5909</v>
      </c>
      <c r="B289" s="291" t="str">
        <f>+'A) Base RI'!B291</f>
        <v>Cheseaux-Noréaz</v>
      </c>
      <c r="C289" s="302">
        <f>+'D) Ecrêtage'!C289</f>
        <v>32341.35221867514</v>
      </c>
      <c r="D289" s="439">
        <v>207970</v>
      </c>
      <c r="E289" s="440">
        <v>161472</v>
      </c>
      <c r="F289" s="439">
        <v>36190</v>
      </c>
      <c r="G289" s="302">
        <f t="shared" si="36"/>
        <v>405632</v>
      </c>
      <c r="H289" s="283">
        <f t="shared" si="37"/>
        <v>258730.81774940112</v>
      </c>
      <c r="I289" s="10">
        <f t="shared" si="38"/>
        <v>146901.18225059888</v>
      </c>
      <c r="J289" s="447">
        <f t="shared" si="39"/>
        <v>-105781.04319070515</v>
      </c>
      <c r="K289" s="10">
        <v>-1110</v>
      </c>
      <c r="L289" s="397">
        <f t="shared" si="40"/>
        <v>32341.35221867514</v>
      </c>
      <c r="M289" s="14">
        <f t="shared" si="41"/>
        <v>0</v>
      </c>
      <c r="N289" s="2">
        <f t="shared" si="42"/>
        <v>0</v>
      </c>
      <c r="O289" s="130">
        <f t="shared" si="43"/>
        <v>-105781.04319070515</v>
      </c>
      <c r="P289" s="438">
        <f t="shared" si="44"/>
        <v>-3.270767482926181</v>
      </c>
      <c r="Q289" s="126"/>
    </row>
    <row r="290" spans="1:17" x14ac:dyDescent="0.25">
      <c r="A290" s="49">
        <f>+'A) Base RI'!A292</f>
        <v>5910</v>
      </c>
      <c r="B290" s="291" t="str">
        <f>+'A) Base RI'!B292</f>
        <v>Cronay</v>
      </c>
      <c r="C290" s="302">
        <f>+'D) Ecrêtage'!C290</f>
        <v>10197.986044276999</v>
      </c>
      <c r="D290" s="439">
        <v>18777</v>
      </c>
      <c r="E290" s="440">
        <v>24373</v>
      </c>
      <c r="F290" s="439">
        <v>34615</v>
      </c>
      <c r="G290" s="302">
        <f t="shared" si="36"/>
        <v>77765</v>
      </c>
      <c r="H290" s="283">
        <f t="shared" si="37"/>
        <v>81583.888354215989</v>
      </c>
      <c r="I290" s="10">
        <f t="shared" si="38"/>
        <v>0</v>
      </c>
      <c r="J290" s="447">
        <f t="shared" si="39"/>
        <v>0</v>
      </c>
      <c r="K290" s="10">
        <v>11505</v>
      </c>
      <c r="L290" s="397">
        <f t="shared" si="40"/>
        <v>10197.986044276999</v>
      </c>
      <c r="M290" s="14">
        <f t="shared" si="41"/>
        <v>1307.0139557230013</v>
      </c>
      <c r="N290" s="2">
        <f t="shared" si="42"/>
        <v>-941.1585229132869</v>
      </c>
      <c r="O290" s="130">
        <f t="shared" si="43"/>
        <v>-941.1585229132869</v>
      </c>
      <c r="P290" s="438">
        <f t="shared" si="44"/>
        <v>-9.2288665509741019E-2</v>
      </c>
      <c r="Q290" s="126"/>
    </row>
    <row r="291" spans="1:17" x14ac:dyDescent="0.25">
      <c r="A291" s="49">
        <f>+'A) Base RI'!A293</f>
        <v>5911</v>
      </c>
      <c r="B291" s="291" t="str">
        <f>+'A) Base RI'!B293</f>
        <v>Cuarny</v>
      </c>
      <c r="C291" s="302">
        <f>+'D) Ecrêtage'!C291</f>
        <v>7835.2176584022027</v>
      </c>
      <c r="D291" s="439">
        <v>13102</v>
      </c>
      <c r="E291" s="440">
        <v>10256</v>
      </c>
      <c r="F291" s="439">
        <v>18247</v>
      </c>
      <c r="G291" s="302">
        <f t="shared" si="36"/>
        <v>41605</v>
      </c>
      <c r="H291" s="283">
        <f t="shared" si="37"/>
        <v>62681.741267217621</v>
      </c>
      <c r="I291" s="10">
        <f t="shared" si="38"/>
        <v>0</v>
      </c>
      <c r="J291" s="447">
        <f t="shared" si="39"/>
        <v>0</v>
      </c>
      <c r="K291" s="10">
        <v>27337</v>
      </c>
      <c r="L291" s="397">
        <f t="shared" si="40"/>
        <v>7835.2176584022027</v>
      </c>
      <c r="M291" s="14">
        <f t="shared" si="41"/>
        <v>19501.782341597798</v>
      </c>
      <c r="N291" s="2">
        <f t="shared" si="42"/>
        <v>-14042.901823983637</v>
      </c>
      <c r="O291" s="130">
        <f t="shared" si="43"/>
        <v>-14042.901823983637</v>
      </c>
      <c r="P291" s="438">
        <f t="shared" si="44"/>
        <v>-1.7922797344276122</v>
      </c>
      <c r="Q291" s="126"/>
    </row>
    <row r="292" spans="1:17" x14ac:dyDescent="0.25">
      <c r="A292" s="49">
        <f>+'A) Base RI'!A294</f>
        <v>5912</v>
      </c>
      <c r="B292" s="291" t="str">
        <f>+'A) Base RI'!B294</f>
        <v>Démoret</v>
      </c>
      <c r="C292" s="302">
        <f>+'D) Ecrêtage'!C292</f>
        <v>3963.3385142217253</v>
      </c>
      <c r="D292" s="439">
        <v>11232</v>
      </c>
      <c r="E292" s="440">
        <v>5951</v>
      </c>
      <c r="F292" s="439">
        <v>10618</v>
      </c>
      <c r="G292" s="302">
        <f t="shared" si="36"/>
        <v>27801</v>
      </c>
      <c r="H292" s="283">
        <f t="shared" si="37"/>
        <v>31706.708113773802</v>
      </c>
      <c r="I292" s="10">
        <f t="shared" si="38"/>
        <v>0</v>
      </c>
      <c r="J292" s="447">
        <f t="shared" si="39"/>
        <v>0</v>
      </c>
      <c r="K292" s="10">
        <v>27059</v>
      </c>
      <c r="L292" s="397">
        <f t="shared" si="40"/>
        <v>3963.3385142217253</v>
      </c>
      <c r="M292" s="14">
        <f t="shared" si="41"/>
        <v>23095.661485778273</v>
      </c>
      <c r="N292" s="2">
        <f t="shared" si="42"/>
        <v>-16630.793079509454</v>
      </c>
      <c r="O292" s="130">
        <f t="shared" si="43"/>
        <v>-16630.793079509454</v>
      </c>
      <c r="P292" s="438">
        <f t="shared" si="44"/>
        <v>-4.1961576130408371</v>
      </c>
      <c r="Q292" s="126"/>
    </row>
    <row r="293" spans="1:17" x14ac:dyDescent="0.25">
      <c r="A293" s="49">
        <f>+'A) Base RI'!A295</f>
        <v>5913</v>
      </c>
      <c r="B293" s="291" t="str">
        <f>+'A) Base RI'!B295</f>
        <v>Donneloye</v>
      </c>
      <c r="C293" s="302">
        <f>+'D) Ecrêtage'!C293</f>
        <v>21560.051293940251</v>
      </c>
      <c r="D293" s="439">
        <v>98961</v>
      </c>
      <c r="E293" s="440">
        <v>51215</v>
      </c>
      <c r="F293" s="439">
        <v>70836</v>
      </c>
      <c r="G293" s="302">
        <f t="shared" si="36"/>
        <v>221012</v>
      </c>
      <c r="H293" s="283">
        <f t="shared" si="37"/>
        <v>172480.410351522</v>
      </c>
      <c r="I293" s="10">
        <f t="shared" si="38"/>
        <v>48531.589648477995</v>
      </c>
      <c r="J293" s="447">
        <f t="shared" si="39"/>
        <v>-34946.772395348104</v>
      </c>
      <c r="K293" s="10">
        <v>47763</v>
      </c>
      <c r="L293" s="397">
        <f t="shared" si="40"/>
        <v>21560.051293940251</v>
      </c>
      <c r="M293" s="14">
        <f t="shared" si="41"/>
        <v>26202.948706059749</v>
      </c>
      <c r="N293" s="2">
        <f t="shared" si="42"/>
        <v>-18868.297765440468</v>
      </c>
      <c r="O293" s="130">
        <f t="shared" si="43"/>
        <v>-53815.070160788571</v>
      </c>
      <c r="P293" s="438">
        <f t="shared" si="44"/>
        <v>-2.4960548296985747</v>
      </c>
      <c r="Q293" s="126"/>
    </row>
    <row r="294" spans="1:17" x14ac:dyDescent="0.25">
      <c r="A294" s="49">
        <f>+'A) Base RI'!A296</f>
        <v>5914</v>
      </c>
      <c r="B294" s="291" t="str">
        <f>+'A) Base RI'!B296</f>
        <v>Ependes</v>
      </c>
      <c r="C294" s="302">
        <f>+'D) Ecrêtage'!C294</f>
        <v>10120.059426352072</v>
      </c>
      <c r="D294" s="439">
        <v>54044</v>
      </c>
      <c r="E294" s="440">
        <v>37985</v>
      </c>
      <c r="F294" s="439">
        <v>45889</v>
      </c>
      <c r="G294" s="302">
        <f t="shared" si="36"/>
        <v>137918</v>
      </c>
      <c r="H294" s="283">
        <f t="shared" si="37"/>
        <v>80960.47541081658</v>
      </c>
      <c r="I294" s="10">
        <f t="shared" si="38"/>
        <v>56957.52458918342</v>
      </c>
      <c r="J294" s="447">
        <f t="shared" si="39"/>
        <v>-41014.144857772233</v>
      </c>
      <c r="K294" s="10">
        <v>16155</v>
      </c>
      <c r="L294" s="397">
        <f t="shared" si="40"/>
        <v>10120.059426352072</v>
      </c>
      <c r="M294" s="14">
        <f t="shared" si="41"/>
        <v>6034.9405736479275</v>
      </c>
      <c r="N294" s="2">
        <f t="shared" si="42"/>
        <v>-4345.6580790845728</v>
      </c>
      <c r="O294" s="130">
        <f t="shared" si="43"/>
        <v>-45359.80293685681</v>
      </c>
      <c r="P294" s="438">
        <f t="shared" si="44"/>
        <v>-4.4821676460458724</v>
      </c>
      <c r="Q294" s="126"/>
    </row>
    <row r="295" spans="1:17" x14ac:dyDescent="0.25">
      <c r="A295" s="49">
        <f>+'A) Base RI'!A297</f>
        <v>5919</v>
      </c>
      <c r="B295" s="291" t="str">
        <f>+'A) Base RI'!B297</f>
        <v>Mathod</v>
      </c>
      <c r="C295" s="302">
        <f>+'D) Ecrêtage'!C295</f>
        <v>17424.35283843397</v>
      </c>
      <c r="D295" s="439">
        <v>200587</v>
      </c>
      <c r="E295" s="440">
        <v>38681</v>
      </c>
      <c r="F295" s="439">
        <v>22594</v>
      </c>
      <c r="G295" s="302">
        <f t="shared" si="36"/>
        <v>261862</v>
      </c>
      <c r="H295" s="283">
        <f t="shared" si="37"/>
        <v>139394.82270747176</v>
      </c>
      <c r="I295" s="10">
        <f t="shared" si="38"/>
        <v>122467.17729252824</v>
      </c>
      <c r="J295" s="447">
        <f t="shared" si="39"/>
        <v>-88186.531736179153</v>
      </c>
      <c r="K295" s="10">
        <v>10920</v>
      </c>
      <c r="L295" s="397">
        <f t="shared" si="40"/>
        <v>17424.35283843397</v>
      </c>
      <c r="M295" s="14">
        <f t="shared" si="41"/>
        <v>0</v>
      </c>
      <c r="N295" s="2">
        <f t="shared" si="42"/>
        <v>0</v>
      </c>
      <c r="O295" s="130">
        <f t="shared" si="43"/>
        <v>-88186.531736179153</v>
      </c>
      <c r="P295" s="438">
        <f t="shared" si="44"/>
        <v>-5.0611080109477973</v>
      </c>
      <c r="Q295" s="126"/>
    </row>
    <row r="296" spans="1:17" x14ac:dyDescent="0.25">
      <c r="A296" s="49">
        <f>+'A) Base RI'!A298</f>
        <v>5921</v>
      </c>
      <c r="B296" s="291" t="str">
        <f>+'A) Base RI'!B298</f>
        <v>Molondin</v>
      </c>
      <c r="C296" s="302">
        <f>+'D) Ecrêtage'!C296</f>
        <v>5647.9358760030909</v>
      </c>
      <c r="D296" s="439">
        <v>16156</v>
      </c>
      <c r="E296" s="440">
        <v>9918</v>
      </c>
      <c r="F296" s="439">
        <v>17938</v>
      </c>
      <c r="G296" s="302">
        <f t="shared" si="36"/>
        <v>44012</v>
      </c>
      <c r="H296" s="283">
        <f t="shared" si="37"/>
        <v>45183.487008024727</v>
      </c>
      <c r="I296" s="10">
        <f t="shared" si="38"/>
        <v>0</v>
      </c>
      <c r="J296" s="447">
        <f t="shared" si="39"/>
        <v>0</v>
      </c>
      <c r="K296" s="10">
        <v>55404</v>
      </c>
      <c r="L296" s="397">
        <f t="shared" si="40"/>
        <v>5647.9358760030909</v>
      </c>
      <c r="M296" s="14">
        <f t="shared" si="41"/>
        <v>49756.064123996912</v>
      </c>
      <c r="N296" s="2">
        <f t="shared" si="42"/>
        <v>-35828.495642202739</v>
      </c>
      <c r="O296" s="130">
        <f t="shared" si="43"/>
        <v>-35828.495642202739</v>
      </c>
      <c r="P296" s="438">
        <f t="shared" si="44"/>
        <v>-6.3436441965339219</v>
      </c>
      <c r="Q296" s="126"/>
    </row>
    <row r="297" spans="1:17" x14ac:dyDescent="0.25">
      <c r="A297" s="49">
        <f>+'A) Base RI'!A299</f>
        <v>5922</v>
      </c>
      <c r="B297" s="291" t="str">
        <f>+'A) Base RI'!B299</f>
        <v>Montagny-près-Yverdon</v>
      </c>
      <c r="C297" s="302">
        <f>+'D) Ecrêtage'!C297</f>
        <v>35984.463355398897</v>
      </c>
      <c r="D297" s="439">
        <v>147492</v>
      </c>
      <c r="E297" s="440">
        <v>324967</v>
      </c>
      <c r="F297" s="439">
        <v>99148</v>
      </c>
      <c r="G297" s="302">
        <f t="shared" si="36"/>
        <v>571607</v>
      </c>
      <c r="H297" s="283">
        <f t="shared" si="37"/>
        <v>287875.70684319118</v>
      </c>
      <c r="I297" s="10">
        <f t="shared" si="38"/>
        <v>283731.29315680882</v>
      </c>
      <c r="J297" s="447">
        <f t="shared" si="39"/>
        <v>-204310.07917128361</v>
      </c>
      <c r="K297" s="10">
        <v>1159</v>
      </c>
      <c r="L297" s="397">
        <f t="shared" si="40"/>
        <v>35984.463355398897</v>
      </c>
      <c r="M297" s="14">
        <f t="shared" si="41"/>
        <v>0</v>
      </c>
      <c r="N297" s="2">
        <f t="shared" si="42"/>
        <v>0</v>
      </c>
      <c r="O297" s="130">
        <f t="shared" si="43"/>
        <v>-204310.07917128361</v>
      </c>
      <c r="P297" s="438">
        <f t="shared" si="44"/>
        <v>-5.6777303347120816</v>
      </c>
      <c r="Q297" s="126"/>
    </row>
    <row r="298" spans="1:17" x14ac:dyDescent="0.25">
      <c r="A298" s="49">
        <f>+'A) Base RI'!A300</f>
        <v>5923</v>
      </c>
      <c r="B298" s="291" t="str">
        <f>+'A) Base RI'!B300</f>
        <v>Oppens</v>
      </c>
      <c r="C298" s="302">
        <f>+'D) Ecrêtage'!C298</f>
        <v>5389.7298551743424</v>
      </c>
      <c r="D298" s="439">
        <v>40008</v>
      </c>
      <c r="E298" s="440">
        <v>8272</v>
      </c>
      <c r="F298" s="439">
        <v>17162</v>
      </c>
      <c r="G298" s="302">
        <f t="shared" si="36"/>
        <v>65442</v>
      </c>
      <c r="H298" s="283">
        <f t="shared" si="37"/>
        <v>43117.83884139474</v>
      </c>
      <c r="I298" s="10">
        <f t="shared" si="38"/>
        <v>22324.16115860526</v>
      </c>
      <c r="J298" s="447">
        <f t="shared" si="39"/>
        <v>-16075.248813765475</v>
      </c>
      <c r="K298" s="10">
        <v>24423</v>
      </c>
      <c r="L298" s="397">
        <f t="shared" si="40"/>
        <v>5389.7298551743424</v>
      </c>
      <c r="M298" s="14">
        <f t="shared" si="41"/>
        <v>19033.270144825656</v>
      </c>
      <c r="N298" s="2">
        <f t="shared" si="42"/>
        <v>-13705.534158435636</v>
      </c>
      <c r="O298" s="130">
        <f t="shared" si="43"/>
        <v>-29780.782972201108</v>
      </c>
      <c r="P298" s="438">
        <f t="shared" si="44"/>
        <v>-5.5254685805097337</v>
      </c>
      <c r="Q298" s="126"/>
    </row>
    <row r="299" spans="1:17" x14ac:dyDescent="0.25">
      <c r="A299" s="49">
        <f>+'A) Base RI'!A301</f>
        <v>5924</v>
      </c>
      <c r="B299" s="291" t="str">
        <f>+'A) Base RI'!B301</f>
        <v>Orges</v>
      </c>
      <c r="C299" s="302">
        <f>+'D) Ecrêtage'!C299</f>
        <v>11865.812404035813</v>
      </c>
      <c r="D299" s="439">
        <v>17803</v>
      </c>
      <c r="E299" s="440">
        <v>14012</v>
      </c>
      <c r="F299" s="439">
        <v>23318</v>
      </c>
      <c r="G299" s="302">
        <f t="shared" si="36"/>
        <v>55133</v>
      </c>
      <c r="H299" s="283">
        <f t="shared" si="37"/>
        <v>94926.4992322865</v>
      </c>
      <c r="I299" s="10">
        <f t="shared" si="38"/>
        <v>0</v>
      </c>
      <c r="J299" s="447">
        <f t="shared" si="39"/>
        <v>0</v>
      </c>
      <c r="K299" s="10">
        <v>6057</v>
      </c>
      <c r="L299" s="397">
        <f t="shared" si="40"/>
        <v>11865.812404035813</v>
      </c>
      <c r="M299" s="14">
        <f t="shared" si="41"/>
        <v>0</v>
      </c>
      <c r="N299" s="2">
        <f t="shared" si="42"/>
        <v>0</v>
      </c>
      <c r="O299" s="130">
        <f t="shared" si="43"/>
        <v>0</v>
      </c>
      <c r="P299" s="438">
        <f t="shared" si="44"/>
        <v>0</v>
      </c>
      <c r="Q299" s="126"/>
    </row>
    <row r="300" spans="1:17" x14ac:dyDescent="0.25">
      <c r="A300" s="49">
        <f>+'A) Base RI'!A302</f>
        <v>5925</v>
      </c>
      <c r="B300" s="291" t="str">
        <f>+'A) Base RI'!B302</f>
        <v>Orzens</v>
      </c>
      <c r="C300" s="302">
        <f>+'D) Ecrêtage'!C300</f>
        <v>5342.7421425482316</v>
      </c>
      <c r="D300" s="439">
        <v>64771</v>
      </c>
      <c r="E300" s="440">
        <v>8272</v>
      </c>
      <c r="F300" s="439">
        <v>17162</v>
      </c>
      <c r="G300" s="302">
        <f t="shared" si="36"/>
        <v>90205</v>
      </c>
      <c r="H300" s="283">
        <f t="shared" si="37"/>
        <v>42741.937140385853</v>
      </c>
      <c r="I300" s="10">
        <f t="shared" si="38"/>
        <v>47463.062859614147</v>
      </c>
      <c r="J300" s="447">
        <f t="shared" si="39"/>
        <v>-34177.344425664276</v>
      </c>
      <c r="K300" s="10">
        <v>15928</v>
      </c>
      <c r="L300" s="397">
        <f t="shared" si="40"/>
        <v>5342.7421425482316</v>
      </c>
      <c r="M300" s="14">
        <f t="shared" si="41"/>
        <v>10585.257857451768</v>
      </c>
      <c r="N300" s="2">
        <f t="shared" si="42"/>
        <v>-7622.2641741148527</v>
      </c>
      <c r="O300" s="130">
        <f t="shared" si="43"/>
        <v>-41799.608599779131</v>
      </c>
      <c r="P300" s="438">
        <f t="shared" si="44"/>
        <v>-7.8236245516881189</v>
      </c>
      <c r="Q300" s="126"/>
    </row>
    <row r="301" spans="1:17" x14ac:dyDescent="0.25">
      <c r="A301" s="49">
        <f>+'A) Base RI'!A303</f>
        <v>5926</v>
      </c>
      <c r="B301" s="291" t="str">
        <f>+'A) Base RI'!B303</f>
        <v>Pomy</v>
      </c>
      <c r="C301" s="302">
        <f>+'D) Ecrêtage'!C301</f>
        <v>27482.214843455455</v>
      </c>
      <c r="D301" s="439">
        <v>116727</v>
      </c>
      <c r="E301" s="440">
        <v>49379</v>
      </c>
      <c r="F301" s="439">
        <v>75798</v>
      </c>
      <c r="G301" s="302">
        <f t="shared" si="36"/>
        <v>241904</v>
      </c>
      <c r="H301" s="283">
        <f t="shared" si="37"/>
        <v>219857.71874764364</v>
      </c>
      <c r="I301" s="10">
        <f t="shared" si="38"/>
        <v>22046.281252356363</v>
      </c>
      <c r="J301" s="447">
        <f t="shared" si="39"/>
        <v>-15875.152218800025</v>
      </c>
      <c r="K301" s="10">
        <v>52311</v>
      </c>
      <c r="L301" s="397">
        <f t="shared" si="40"/>
        <v>27482.214843455455</v>
      </c>
      <c r="M301" s="14">
        <f t="shared" si="41"/>
        <v>24828.785156544545</v>
      </c>
      <c r="N301" s="2">
        <f t="shared" si="42"/>
        <v>-17878.785961958929</v>
      </c>
      <c r="O301" s="130">
        <f t="shared" si="43"/>
        <v>-33753.938180758953</v>
      </c>
      <c r="P301" s="438">
        <f t="shared" si="44"/>
        <v>-1.2282102579078349</v>
      </c>
      <c r="Q301" s="126"/>
    </row>
    <row r="302" spans="1:17" x14ac:dyDescent="0.25">
      <c r="A302" s="49">
        <f>+'A) Base RI'!A304</f>
        <v>5928</v>
      </c>
      <c r="B302" s="291" t="str">
        <f>+'A) Base RI'!B304</f>
        <v>Rovray</v>
      </c>
      <c r="C302" s="302">
        <f>+'D) Ecrêtage'!C302</f>
        <v>6003.0944827326612</v>
      </c>
      <c r="D302" s="439">
        <v>25523</v>
      </c>
      <c r="E302" s="440">
        <v>7597</v>
      </c>
      <c r="F302" s="439">
        <v>18131</v>
      </c>
      <c r="G302" s="302">
        <f t="shared" si="36"/>
        <v>51251</v>
      </c>
      <c r="H302" s="283">
        <f t="shared" si="37"/>
        <v>48024.755861861289</v>
      </c>
      <c r="I302" s="10">
        <f t="shared" si="38"/>
        <v>3226.2441381387107</v>
      </c>
      <c r="J302" s="447">
        <f t="shared" si="39"/>
        <v>-2323.1635395420308</v>
      </c>
      <c r="K302" s="10">
        <v>1896</v>
      </c>
      <c r="L302" s="397">
        <f t="shared" si="40"/>
        <v>6003.0944827326612</v>
      </c>
      <c r="M302" s="14">
        <f t="shared" si="41"/>
        <v>0</v>
      </c>
      <c r="N302" s="2">
        <f t="shared" si="42"/>
        <v>0</v>
      </c>
      <c r="O302" s="130">
        <f t="shared" si="43"/>
        <v>-2323.1635395420308</v>
      </c>
      <c r="P302" s="438">
        <f t="shared" si="44"/>
        <v>-0.38699433204398048</v>
      </c>
      <c r="Q302" s="126"/>
    </row>
    <row r="303" spans="1:17" x14ac:dyDescent="0.25">
      <c r="A303" s="49">
        <f>+'A) Base RI'!A305</f>
        <v>5929</v>
      </c>
      <c r="B303" s="291" t="str">
        <f>+'A) Base RI'!B305</f>
        <v>Suchy</v>
      </c>
      <c r="C303" s="302">
        <f>+'D) Ecrêtage'!C303</f>
        <v>17215.501466609803</v>
      </c>
      <c r="D303" s="439">
        <v>40895</v>
      </c>
      <c r="E303" s="440">
        <v>25281</v>
      </c>
      <c r="F303" s="439">
        <v>87203</v>
      </c>
      <c r="G303" s="302">
        <f t="shared" si="36"/>
        <v>153379</v>
      </c>
      <c r="H303" s="283">
        <f t="shared" si="37"/>
        <v>137724.01173287843</v>
      </c>
      <c r="I303" s="10">
        <f t="shared" si="38"/>
        <v>15654.988267121575</v>
      </c>
      <c r="J303" s="447">
        <f t="shared" si="39"/>
        <v>-11272.890828130952</v>
      </c>
      <c r="K303" s="10">
        <v>37695</v>
      </c>
      <c r="L303" s="397">
        <f t="shared" si="40"/>
        <v>17215.501466609803</v>
      </c>
      <c r="M303" s="14">
        <f t="shared" si="41"/>
        <v>20479.498533390197</v>
      </c>
      <c r="N303" s="2">
        <f t="shared" si="42"/>
        <v>-14746.938627008221</v>
      </c>
      <c r="O303" s="130">
        <f t="shared" si="43"/>
        <v>-26019.829455139174</v>
      </c>
      <c r="P303" s="438">
        <f t="shared" si="44"/>
        <v>-1.5114186191791008</v>
      </c>
      <c r="Q303" s="126"/>
    </row>
    <row r="304" spans="1:17" x14ac:dyDescent="0.25">
      <c r="A304" s="49">
        <f>+'A) Base RI'!A306</f>
        <v>5930</v>
      </c>
      <c r="B304" s="291" t="str">
        <f>+'A) Base RI'!B306</f>
        <v>Suscévaz</v>
      </c>
      <c r="C304" s="302">
        <f>+'D) Ecrêtage'!C304</f>
        <v>5858.9969932954782</v>
      </c>
      <c r="D304" s="439">
        <v>70236</v>
      </c>
      <c r="E304" s="440">
        <v>13485</v>
      </c>
      <c r="F304" s="439">
        <v>8699</v>
      </c>
      <c r="G304" s="302">
        <f t="shared" si="36"/>
        <v>92420</v>
      </c>
      <c r="H304" s="283">
        <f t="shared" si="37"/>
        <v>46871.975946363826</v>
      </c>
      <c r="I304" s="10">
        <f t="shared" si="38"/>
        <v>45548.024053636174</v>
      </c>
      <c r="J304" s="447">
        <f t="shared" si="39"/>
        <v>-32798.357547931329</v>
      </c>
      <c r="K304" s="10">
        <v>1283</v>
      </c>
      <c r="L304" s="397">
        <f t="shared" si="40"/>
        <v>5858.9969932954782</v>
      </c>
      <c r="M304" s="14">
        <f t="shared" si="41"/>
        <v>0</v>
      </c>
      <c r="N304" s="2">
        <f t="shared" si="42"/>
        <v>0</v>
      </c>
      <c r="O304" s="130">
        <f t="shared" si="43"/>
        <v>-32798.357547931329</v>
      </c>
      <c r="P304" s="438">
        <f t="shared" si="44"/>
        <v>-5.5979474960411979</v>
      </c>
      <c r="Q304" s="126"/>
    </row>
    <row r="305" spans="1:17" x14ac:dyDescent="0.25">
      <c r="A305" s="49">
        <f>+'A) Base RI'!A307</f>
        <v>5931</v>
      </c>
      <c r="B305" s="291" t="str">
        <f>+'A) Base RI'!B307</f>
        <v>Treycovagnes</v>
      </c>
      <c r="C305" s="302">
        <f>+'D) Ecrêtage'!C305</f>
        <v>12172.811234031555</v>
      </c>
      <c r="D305" s="439">
        <v>59426</v>
      </c>
      <c r="E305" s="440">
        <v>30388</v>
      </c>
      <c r="F305" s="439">
        <v>16844</v>
      </c>
      <c r="G305" s="302">
        <f t="shared" si="36"/>
        <v>106658</v>
      </c>
      <c r="H305" s="283">
        <f t="shared" si="37"/>
        <v>97382.489872252438</v>
      </c>
      <c r="I305" s="10">
        <f t="shared" si="38"/>
        <v>9275.5101277475624</v>
      </c>
      <c r="J305" s="447">
        <f t="shared" si="39"/>
        <v>-6679.1371070472642</v>
      </c>
      <c r="K305" s="10">
        <v>917</v>
      </c>
      <c r="L305" s="397">
        <f t="shared" si="40"/>
        <v>12172.811234031555</v>
      </c>
      <c r="M305" s="14">
        <f t="shared" si="41"/>
        <v>0</v>
      </c>
      <c r="N305" s="2">
        <f t="shared" si="42"/>
        <v>0</v>
      </c>
      <c r="O305" s="130">
        <f t="shared" si="43"/>
        <v>-6679.1371070472642</v>
      </c>
      <c r="P305" s="438">
        <f t="shared" si="44"/>
        <v>-0.54869306511337212</v>
      </c>
      <c r="Q305" s="126"/>
    </row>
    <row r="306" spans="1:17" x14ac:dyDescent="0.25">
      <c r="A306" s="49">
        <f>+'A) Base RI'!A308</f>
        <v>5932</v>
      </c>
      <c r="B306" s="291" t="str">
        <f>+'A) Base RI'!B308</f>
        <v>Ursins</v>
      </c>
      <c r="C306" s="302">
        <f>+'D) Ecrêtage'!C306</f>
        <v>8276.7755150217381</v>
      </c>
      <c r="D306" s="439">
        <v>25250</v>
      </c>
      <c r="E306" s="440">
        <v>9707</v>
      </c>
      <c r="F306" s="439">
        <v>7219</v>
      </c>
      <c r="G306" s="302">
        <f t="shared" si="36"/>
        <v>42176</v>
      </c>
      <c r="H306" s="283">
        <f t="shared" si="37"/>
        <v>66214.204120173905</v>
      </c>
      <c r="I306" s="10">
        <f t="shared" si="38"/>
        <v>0</v>
      </c>
      <c r="J306" s="447">
        <f t="shared" si="39"/>
        <v>0</v>
      </c>
      <c r="K306" s="10">
        <v>23477</v>
      </c>
      <c r="L306" s="397">
        <f t="shared" si="40"/>
        <v>8276.7755150217381</v>
      </c>
      <c r="M306" s="14">
        <f t="shared" si="41"/>
        <v>15200.224484978262</v>
      </c>
      <c r="N306" s="2">
        <f t="shared" si="42"/>
        <v>-10945.423162156643</v>
      </c>
      <c r="O306" s="130">
        <f t="shared" si="43"/>
        <v>-10945.423162156643</v>
      </c>
      <c r="P306" s="438">
        <f t="shared" si="44"/>
        <v>-1.322426003011862</v>
      </c>
      <c r="Q306" s="126"/>
    </row>
    <row r="307" spans="1:17" x14ac:dyDescent="0.25">
      <c r="A307" s="49">
        <f>+'A) Base RI'!A309</f>
        <v>5933</v>
      </c>
      <c r="B307" s="291" t="str">
        <f>+'A) Base RI'!B309</f>
        <v>Valeyres-sous-Montagny</v>
      </c>
      <c r="C307" s="302">
        <f>+'D) Ecrêtage'!C307</f>
        <v>22088.929559782136</v>
      </c>
      <c r="D307" s="439">
        <v>179829</v>
      </c>
      <c r="E307" s="440">
        <v>74703</v>
      </c>
      <c r="F307" s="439">
        <v>79154</v>
      </c>
      <c r="G307" s="302">
        <f t="shared" si="36"/>
        <v>333686</v>
      </c>
      <c r="H307" s="283">
        <f t="shared" si="37"/>
        <v>176711.43647825709</v>
      </c>
      <c r="I307" s="10">
        <f t="shared" si="38"/>
        <v>156974.56352174291</v>
      </c>
      <c r="J307" s="447">
        <f t="shared" si="39"/>
        <v>-113034.71373980642</v>
      </c>
      <c r="K307" s="10">
        <v>1611</v>
      </c>
      <c r="L307" s="397">
        <f t="shared" si="40"/>
        <v>22088.929559782136</v>
      </c>
      <c r="M307" s="14">
        <f t="shared" si="41"/>
        <v>0</v>
      </c>
      <c r="N307" s="2">
        <f t="shared" si="42"/>
        <v>0</v>
      </c>
      <c r="O307" s="130">
        <f t="shared" si="43"/>
        <v>-113034.71373980642</v>
      </c>
      <c r="P307" s="438">
        <f t="shared" si="44"/>
        <v>-5.1172562904818859</v>
      </c>
      <c r="Q307" s="126"/>
    </row>
    <row r="308" spans="1:17" x14ac:dyDescent="0.25">
      <c r="A308" s="49">
        <f>+'A) Base RI'!A310</f>
        <v>5934</v>
      </c>
      <c r="B308" s="291" t="str">
        <f>+'A) Base RI'!B310</f>
        <v>Valeyres-sous-Ursins</v>
      </c>
      <c r="C308" s="302">
        <f>+'D) Ecrêtage'!C308</f>
        <v>7547.3165822784813</v>
      </c>
      <c r="D308" s="439">
        <v>227082</v>
      </c>
      <c r="E308" s="440">
        <v>9792</v>
      </c>
      <c r="F308" s="439">
        <v>8642</v>
      </c>
      <c r="G308" s="302">
        <f t="shared" si="36"/>
        <v>245516</v>
      </c>
      <c r="H308" s="283">
        <f t="shared" si="37"/>
        <v>60378.53265822785</v>
      </c>
      <c r="I308" s="10">
        <f t="shared" si="38"/>
        <v>185137.46734177216</v>
      </c>
      <c r="J308" s="447">
        <f t="shared" si="39"/>
        <v>-133314.34185253418</v>
      </c>
      <c r="K308" s="10">
        <v>24990</v>
      </c>
      <c r="L308" s="397">
        <f t="shared" si="40"/>
        <v>7547.3165822784813</v>
      </c>
      <c r="M308" s="14">
        <f t="shared" si="41"/>
        <v>17442.683417721521</v>
      </c>
      <c r="N308" s="2">
        <f t="shared" si="42"/>
        <v>-12560.179705185965</v>
      </c>
      <c r="O308" s="130">
        <f t="shared" si="43"/>
        <v>-145874.52155772015</v>
      </c>
      <c r="P308" s="438">
        <f t="shared" si="44"/>
        <v>-19.327998231880404</v>
      </c>
      <c r="Q308" s="126"/>
    </row>
    <row r="309" spans="1:17" x14ac:dyDescent="0.25">
      <c r="A309" s="49">
        <f>+'A) Base RI'!A311</f>
        <v>5935</v>
      </c>
      <c r="B309" s="291" t="str">
        <f>+'A) Base RI'!B311</f>
        <v>Villars-Epeney</v>
      </c>
      <c r="C309" s="302">
        <f>+'D) Ecrêtage'!C309</f>
        <v>4852.8368333333328</v>
      </c>
      <c r="D309" s="439">
        <v>10330</v>
      </c>
      <c r="E309" s="440">
        <v>4221</v>
      </c>
      <c r="F309" s="439">
        <v>8560</v>
      </c>
      <c r="G309" s="302">
        <f t="shared" si="36"/>
        <v>23111</v>
      </c>
      <c r="H309" s="283">
        <f t="shared" si="37"/>
        <v>38822.694666666663</v>
      </c>
      <c r="I309" s="10">
        <f t="shared" si="38"/>
        <v>0</v>
      </c>
      <c r="J309" s="447">
        <f t="shared" si="39"/>
        <v>0</v>
      </c>
      <c r="K309" s="10">
        <v>7751</v>
      </c>
      <c r="L309" s="397">
        <f t="shared" si="40"/>
        <v>4852.8368333333328</v>
      </c>
      <c r="M309" s="14">
        <f t="shared" si="41"/>
        <v>2898.1631666666672</v>
      </c>
      <c r="N309" s="2">
        <f t="shared" si="42"/>
        <v>-2086.9180112104082</v>
      </c>
      <c r="O309" s="130">
        <f t="shared" si="43"/>
        <v>-2086.9180112104082</v>
      </c>
      <c r="P309" s="438">
        <f t="shared" si="44"/>
        <v>-0.43004083650118086</v>
      </c>
      <c r="Q309" s="126"/>
    </row>
    <row r="310" spans="1:17" x14ac:dyDescent="0.25">
      <c r="A310" s="49">
        <f>+'A) Base RI'!A312</f>
        <v>5937</v>
      </c>
      <c r="B310" s="291" t="str">
        <f>+'A) Base RI'!B312</f>
        <v>Vugelles-La Mothe</v>
      </c>
      <c r="C310" s="302">
        <f>+'D) Ecrêtage'!C310</f>
        <v>3013.5893429156713</v>
      </c>
      <c r="D310" s="439">
        <v>36488</v>
      </c>
      <c r="E310" s="440">
        <v>5571</v>
      </c>
      <c r="F310" s="439">
        <v>19800</v>
      </c>
      <c r="G310" s="302">
        <f t="shared" si="36"/>
        <v>61859</v>
      </c>
      <c r="H310" s="283">
        <f t="shared" si="37"/>
        <v>24108.71474332537</v>
      </c>
      <c r="I310" s="10">
        <f t="shared" si="38"/>
        <v>37750.28525667463</v>
      </c>
      <c r="J310" s="447">
        <f t="shared" si="39"/>
        <v>-27183.338445742556</v>
      </c>
      <c r="K310" s="10">
        <v>5988</v>
      </c>
      <c r="L310" s="397">
        <f t="shared" si="40"/>
        <v>3013.5893429156713</v>
      </c>
      <c r="M310" s="14">
        <f t="shared" si="41"/>
        <v>2974.4106570843287</v>
      </c>
      <c r="N310" s="2">
        <f t="shared" si="42"/>
        <v>-2141.8225324231412</v>
      </c>
      <c r="O310" s="130">
        <f t="shared" si="43"/>
        <v>-29325.160978165699</v>
      </c>
      <c r="P310" s="438">
        <f t="shared" si="44"/>
        <v>-9.7309744763675656</v>
      </c>
      <c r="Q310" s="126"/>
    </row>
    <row r="311" spans="1:17" x14ac:dyDescent="0.25">
      <c r="A311" s="49">
        <f>+'A) Base RI'!A313</f>
        <v>5938</v>
      </c>
      <c r="B311" s="291" t="str">
        <f>+'A) Base RI'!B313</f>
        <v>Yverdon-les-Bains</v>
      </c>
      <c r="C311" s="302">
        <f>+'D) Ecrêtage'!C311</f>
        <v>781659.36856013921</v>
      </c>
      <c r="D311" s="439">
        <v>11672381</v>
      </c>
      <c r="E311" s="440">
        <v>7435500</v>
      </c>
      <c r="F311" s="439">
        <v>670635</v>
      </c>
      <c r="G311" s="302">
        <f t="shared" si="36"/>
        <v>19778516</v>
      </c>
      <c r="H311" s="283">
        <f t="shared" si="37"/>
        <v>6253274.9484811136</v>
      </c>
      <c r="I311" s="10">
        <f t="shared" si="38"/>
        <v>13525241.051518887</v>
      </c>
      <c r="J311" s="447">
        <f t="shared" si="39"/>
        <v>-9739296.0758801866</v>
      </c>
      <c r="K311" s="10">
        <v>223365</v>
      </c>
      <c r="L311" s="397">
        <f t="shared" si="40"/>
        <v>781659.36856013921</v>
      </c>
      <c r="M311" s="14">
        <f t="shared" si="41"/>
        <v>0</v>
      </c>
      <c r="N311" s="2">
        <f t="shared" si="42"/>
        <v>0</v>
      </c>
      <c r="O311" s="130">
        <f t="shared" si="43"/>
        <v>-9739296.0758801866</v>
      </c>
      <c r="P311" s="438">
        <f t="shared" si="44"/>
        <v>-12.459770160268816</v>
      </c>
      <c r="Q311" s="126"/>
    </row>
    <row r="312" spans="1:17" x14ac:dyDescent="0.25">
      <c r="A312" s="49">
        <f>+'A) Base RI'!A314</f>
        <v>5939</v>
      </c>
      <c r="B312" s="291" t="str">
        <f>+'A) Base RI'!B314</f>
        <v>Yvonand</v>
      </c>
      <c r="C312" s="302">
        <f>+'D) Ecrêtage'!C312</f>
        <v>95019.586686348848</v>
      </c>
      <c r="D312" s="439">
        <v>533775</v>
      </c>
      <c r="E312" s="440">
        <v>361486</v>
      </c>
      <c r="F312" s="439">
        <v>312559</v>
      </c>
      <c r="G312" s="302">
        <f t="shared" si="36"/>
        <v>1207820</v>
      </c>
      <c r="H312" s="283">
        <f t="shared" si="37"/>
        <v>760156.69349079079</v>
      </c>
      <c r="I312" s="10">
        <f t="shared" si="38"/>
        <v>447663.30650920921</v>
      </c>
      <c r="J312" s="447">
        <f t="shared" si="39"/>
        <v>-322354.73421829107</v>
      </c>
      <c r="K312" s="10">
        <v>106529</v>
      </c>
      <c r="L312" s="399">
        <f t="shared" si="40"/>
        <v>95019.586686348848</v>
      </c>
      <c r="M312" s="70">
        <f t="shared" si="41"/>
        <v>11509.413313651152</v>
      </c>
      <c r="N312" s="131">
        <f t="shared" si="42"/>
        <v>-8287.7328022732509</v>
      </c>
      <c r="O312" s="132">
        <f t="shared" si="43"/>
        <v>-330642.46702056431</v>
      </c>
      <c r="P312" s="438">
        <f t="shared" si="44"/>
        <v>-3.4797295857746202</v>
      </c>
      <c r="Q312" s="126"/>
    </row>
    <row r="313" spans="1:17" x14ac:dyDescent="0.25">
      <c r="A313" s="78"/>
      <c r="B313" s="297">
        <f>COUNTA(B5:B312)</f>
        <v>308</v>
      </c>
      <c r="C313" s="11">
        <f t="shared" ref="C313:N313" si="45">SUM(C5:C312)</f>
        <v>37080520.101833388</v>
      </c>
      <c r="D313" s="298">
        <f t="shared" si="45"/>
        <v>274113665</v>
      </c>
      <c r="E313" s="11">
        <f t="shared" si="45"/>
        <v>174353417</v>
      </c>
      <c r="F313" s="298">
        <f t="shared" si="45"/>
        <v>42885372.450000003</v>
      </c>
      <c r="G313" s="11">
        <f t="shared" si="45"/>
        <v>491352454.44999999</v>
      </c>
      <c r="H313" s="298">
        <f t="shared" si="45"/>
        <v>296644160.81466711</v>
      </c>
      <c r="I313" s="11">
        <f t="shared" si="45"/>
        <v>225367049.79639143</v>
      </c>
      <c r="J313" s="300">
        <f t="shared" si="45"/>
        <v>-162282980.04849234</v>
      </c>
      <c r="K313" s="11">
        <f t="shared" si="45"/>
        <v>19325239</v>
      </c>
      <c r="L313" s="18">
        <f t="shared" si="45"/>
        <v>37080520.101833388</v>
      </c>
      <c r="M313" s="11">
        <f t="shared" si="45"/>
        <v>6359489.733261887</v>
      </c>
      <c r="N313" s="131">
        <f t="shared" si="45"/>
        <v>-4579360.4097578973</v>
      </c>
      <c r="O313" s="37">
        <f>SUM(O5:O312)</f>
        <v>-166862340.45825019</v>
      </c>
      <c r="P313" s="19">
        <f>O313/'D) Ecrêtage'!C313</f>
        <v>-4.4999999999999982</v>
      </c>
    </row>
    <row r="319" spans="1:17" x14ac:dyDescent="0.25">
      <c r="G319" s="400"/>
    </row>
  </sheetData>
  <mergeCells count="10">
    <mergeCell ref="D3:D4"/>
    <mergeCell ref="C3:C4"/>
    <mergeCell ref="B3:B4"/>
    <mergeCell ref="A3:A4"/>
    <mergeCell ref="L3:L4"/>
    <mergeCell ref="K3:K4"/>
    <mergeCell ref="H3:H4"/>
    <mergeCell ref="G3:G4"/>
    <mergeCell ref="F3:F4"/>
    <mergeCell ref="E3:E4"/>
  </mergeCells>
  <phoneticPr fontId="0" type="noConversion"/>
  <printOptions horizontalCentered="1"/>
  <pageMargins left="0" right="0" top="0" bottom="0" header="0.51181102362204722" footer="0.51181102362204722"/>
  <pageSetup paperSize="9" scale="64" orientation="landscape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3">
    <tabColor rgb="FF00B050"/>
  </sheetPr>
  <dimension ref="A1:Z319"/>
  <sheetViews>
    <sheetView workbookViewId="0">
      <pane ySplit="4" topLeftCell="A5" activePane="bottomLeft" state="frozen"/>
      <selection pane="bottomLeft"/>
    </sheetView>
  </sheetViews>
  <sheetFormatPr baseColWidth="10" defaultColWidth="10.75" defaultRowHeight="15" x14ac:dyDescent="0.25"/>
  <cols>
    <col min="1" max="1" width="7.25" style="13" customWidth="1"/>
    <col min="2" max="2" width="19.875" style="13" customWidth="1"/>
    <col min="3" max="3" width="10" style="13" customWidth="1"/>
    <col min="4" max="4" width="13.75" style="13" customWidth="1"/>
    <col min="5" max="5" width="11.125" style="13" customWidth="1"/>
    <col min="6" max="6" width="10" style="13" customWidth="1"/>
    <col min="7" max="7" width="10.75" style="13" customWidth="1"/>
    <col min="8" max="8" width="15.125" style="411" customWidth="1"/>
    <col min="9" max="9" width="10" style="139" customWidth="1"/>
    <col min="10" max="10" width="11.75" style="13" customWidth="1"/>
    <col min="11" max="11" width="10" style="15" customWidth="1"/>
    <col min="12" max="12" width="12.125" style="15" customWidth="1"/>
    <col min="13" max="15" width="12.125" style="13" customWidth="1"/>
    <col min="16" max="18" width="8.125" style="13" customWidth="1"/>
    <col min="19" max="16384" width="10.75" style="13"/>
  </cols>
  <sheetData>
    <row r="1" spans="1:26" s="43" customFormat="1" ht="21" x14ac:dyDescent="0.25">
      <c r="A1" s="51" t="s">
        <v>210</v>
      </c>
      <c r="B1" s="42"/>
      <c r="C1" s="68"/>
      <c r="D1" s="68"/>
      <c r="E1" s="68"/>
      <c r="F1" s="68"/>
      <c r="G1" s="68"/>
      <c r="H1" s="415"/>
      <c r="I1" s="138"/>
      <c r="J1" s="68"/>
      <c r="K1" s="133"/>
      <c r="L1" s="134"/>
      <c r="M1" s="56"/>
      <c r="O1" s="13"/>
      <c r="P1" s="13"/>
      <c r="Q1" s="13"/>
      <c r="R1" s="13"/>
      <c r="S1" s="13"/>
      <c r="Z1" s="13"/>
    </row>
    <row r="3" spans="1:26" ht="30" customHeight="1" x14ac:dyDescent="0.25">
      <c r="A3" s="492" t="s">
        <v>46</v>
      </c>
      <c r="B3" s="492" t="s">
        <v>95</v>
      </c>
      <c r="C3" s="492" t="s">
        <v>369</v>
      </c>
      <c r="D3" s="492" t="s">
        <v>566</v>
      </c>
      <c r="E3" s="492" t="s">
        <v>327</v>
      </c>
      <c r="F3" s="492" t="s">
        <v>367</v>
      </c>
      <c r="G3" s="509" t="s">
        <v>357</v>
      </c>
      <c r="H3" s="492" t="s">
        <v>549</v>
      </c>
      <c r="I3" s="140" t="s">
        <v>145</v>
      </c>
      <c r="J3" s="507" t="s">
        <v>370</v>
      </c>
      <c r="K3" s="514" t="s">
        <v>339</v>
      </c>
    </row>
    <row r="4" spans="1:26" x14ac:dyDescent="0.25">
      <c r="A4" s="493"/>
      <c r="B4" s="494"/>
      <c r="C4" s="493"/>
      <c r="D4" s="494"/>
      <c r="E4" s="493"/>
      <c r="F4" s="494"/>
      <c r="G4" s="521"/>
      <c r="H4" s="493"/>
      <c r="I4" s="435">
        <f>Paramètres!B47</f>
        <v>48</v>
      </c>
      <c r="J4" s="520"/>
      <c r="K4" s="519"/>
    </row>
    <row r="5" spans="1:26" x14ac:dyDescent="0.25">
      <c r="A5" s="46">
        <f>'A) Base RI'!A7</f>
        <v>5401</v>
      </c>
      <c r="B5" s="291" t="str">
        <f>'A) Base RI'!B7</f>
        <v>Aigle</v>
      </c>
      <c r="C5" s="94">
        <f>'B) D RI'!U7</f>
        <v>273757.05287947325</v>
      </c>
      <c r="D5" s="416">
        <f>'E) Part. coh. soc.'!G11/C5</f>
        <v>19.457509555289487</v>
      </c>
      <c r="E5" s="135">
        <f>'H) Péréquation directe'!I16/C5</f>
        <v>-12.555065044134546</v>
      </c>
      <c r="F5" s="110">
        <f>+'I) Dépenses thématiques'!O5/'J) Plafonnement effort'!C5</f>
        <v>-10.638600391421084</v>
      </c>
      <c r="G5" s="135">
        <f>SUM(D5:F5)</f>
        <v>-3.7361558802661428</v>
      </c>
      <c r="H5" s="417">
        <f>G5-'C) Prél. conj.'!I5</f>
        <v>-7.8607167386017993</v>
      </c>
      <c r="I5" s="421">
        <f t="shared" ref="I5" si="0">IF(H5&gt;I$4,I$4-H5,0)</f>
        <v>0</v>
      </c>
      <c r="J5" s="100">
        <f>I5*C5</f>
        <v>0</v>
      </c>
      <c r="K5" s="417">
        <f>H5+I5</f>
        <v>-7.8607167386017993</v>
      </c>
    </row>
    <row r="6" spans="1:26" x14ac:dyDescent="0.25">
      <c r="A6" s="49">
        <f>'A) Base RI'!A8</f>
        <v>5402</v>
      </c>
      <c r="B6" s="291" t="str">
        <f>'A) Base RI'!B8</f>
        <v>Bex</v>
      </c>
      <c r="C6" s="95">
        <f>'B) D RI'!U8</f>
        <v>185201.4300069781</v>
      </c>
      <c r="D6" s="416">
        <f>'E) Part. coh. soc.'!G12/C6</f>
        <v>18.759832846693314</v>
      </c>
      <c r="E6" s="136">
        <f>'H) Péréquation directe'!I17/C6</f>
        <v>-18.594640497294087</v>
      </c>
      <c r="F6" s="110">
        <f>+'I) Dépenses thématiques'!O6/'J) Plafonnement effort'!C6</f>
        <v>-10.152194176724699</v>
      </c>
      <c r="G6" s="136">
        <f t="shared" ref="G6:G68" si="1">SUM(D6:F6)</f>
        <v>-9.9870018273254715</v>
      </c>
      <c r="H6" s="417">
        <f>G6-'C) Prél. conj.'!I6</f>
        <v>-13.413885977064957</v>
      </c>
      <c r="I6" s="421">
        <f t="shared" ref="I6:I68" si="2">IF(H6&gt;I$4,I$4-H6,0)</f>
        <v>0</v>
      </c>
      <c r="J6" s="55">
        <f t="shared" ref="J6:J68" si="3">I6*C6</f>
        <v>0</v>
      </c>
      <c r="K6" s="417">
        <f t="shared" ref="K6:K68" si="4">H6+I6</f>
        <v>-13.413885977064957</v>
      </c>
    </row>
    <row r="7" spans="1:26" x14ac:dyDescent="0.25">
      <c r="A7" s="49">
        <f>'A) Base RI'!A9</f>
        <v>5403</v>
      </c>
      <c r="B7" s="291" t="str">
        <f>'A) Base RI'!B9</f>
        <v>Chessel</v>
      </c>
      <c r="C7" s="95">
        <f>'B) D RI'!U9</f>
        <v>10689.780666211695</v>
      </c>
      <c r="D7" s="416">
        <f>'E) Part. coh. soc.'!G13/C7</f>
        <v>19.994836209530888</v>
      </c>
      <c r="E7" s="136">
        <f>'H) Péréquation directe'!I18/C7</f>
        <v>-3.6862311113273587</v>
      </c>
      <c r="F7" s="110">
        <f>+'I) Dépenses thématiques'!O7/'J) Plafonnement effort'!C7</f>
        <v>-4.3888223788272605</v>
      </c>
      <c r="G7" s="136">
        <f t="shared" si="1"/>
        <v>11.919782719376268</v>
      </c>
      <c r="H7" s="417">
        <f>G7-'C) Prél. conj.'!I7</f>
        <v>7.2578952067992066</v>
      </c>
      <c r="I7" s="421">
        <f t="shared" si="2"/>
        <v>0</v>
      </c>
      <c r="J7" s="55">
        <f t="shared" si="3"/>
        <v>0</v>
      </c>
      <c r="K7" s="417">
        <f t="shared" si="4"/>
        <v>7.2578952067992066</v>
      </c>
    </row>
    <row r="8" spans="1:26" x14ac:dyDescent="0.25">
      <c r="A8" s="49">
        <f>'A) Base RI'!A10</f>
        <v>5404</v>
      </c>
      <c r="B8" s="291" t="str">
        <f>'A) Base RI'!B10</f>
        <v>Corbeyrier</v>
      </c>
      <c r="C8" s="95">
        <f>'B) D RI'!U10</f>
        <v>14591.74084015964</v>
      </c>
      <c r="D8" s="416">
        <f>'E) Part. coh. soc.'!G14/C8</f>
        <v>21.872406945648716</v>
      </c>
      <c r="E8" s="136">
        <f>'H) Péréquation directe'!I19/C8</f>
        <v>7.7212359997575577</v>
      </c>
      <c r="F8" s="110">
        <f>+'I) Dépenses thématiques'!O8/'J) Plafonnement effort'!C8</f>
        <v>-9.3178347626003521</v>
      </c>
      <c r="G8" s="136">
        <f t="shared" si="1"/>
        <v>20.275808182805921</v>
      </c>
      <c r="H8" s="417">
        <f>G8-'C) Prél. conj.'!I8</f>
        <v>13.736349934111036</v>
      </c>
      <c r="I8" s="421">
        <f t="shared" si="2"/>
        <v>0</v>
      </c>
      <c r="J8" s="55">
        <f t="shared" si="3"/>
        <v>0</v>
      </c>
      <c r="K8" s="417">
        <f t="shared" si="4"/>
        <v>13.736349934111036</v>
      </c>
    </row>
    <row r="9" spans="1:26" x14ac:dyDescent="0.25">
      <c r="A9" s="49">
        <f>'A) Base RI'!A11</f>
        <v>5405</v>
      </c>
      <c r="B9" s="291" t="str">
        <f>'A) Base RI'!B11</f>
        <v>Gryon</v>
      </c>
      <c r="C9" s="95">
        <f>'B) D RI'!U11</f>
        <v>65629.125271315643</v>
      </c>
      <c r="D9" s="416">
        <f>'E) Part. coh. soc.'!G15/C9</f>
        <v>20.946020546953228</v>
      </c>
      <c r="E9" s="136">
        <f>'H) Péréquation directe'!I20/C9</f>
        <v>15.874641649565081</v>
      </c>
      <c r="F9" s="110">
        <f>+'I) Dépenses thématiques'!O9/'J) Plafonnement effort'!C9</f>
        <v>-15.479818245137063</v>
      </c>
      <c r="G9" s="136">
        <f t="shared" si="1"/>
        <v>21.340843951381252</v>
      </c>
      <c r="H9" s="417">
        <f>G9-'C) Prél. conj.'!I9</f>
        <v>16.565739168185694</v>
      </c>
      <c r="I9" s="421">
        <f t="shared" si="2"/>
        <v>0</v>
      </c>
      <c r="J9" s="55">
        <f t="shared" si="3"/>
        <v>0</v>
      </c>
      <c r="K9" s="417">
        <f t="shared" si="4"/>
        <v>16.565739168185694</v>
      </c>
    </row>
    <row r="10" spans="1:26" x14ac:dyDescent="0.25">
      <c r="A10" s="49">
        <f>'A) Base RI'!A12</f>
        <v>5406</v>
      </c>
      <c r="B10" s="291" t="str">
        <f>'A) Base RI'!B12</f>
        <v>Lavey-Morcles</v>
      </c>
      <c r="C10" s="95">
        <f>'B) D RI'!U12</f>
        <v>24629.026648333398</v>
      </c>
      <c r="D10" s="416">
        <f>'E) Part. coh. soc.'!G16/C10</f>
        <v>16.20161680574601</v>
      </c>
      <c r="E10" s="136">
        <f>'H) Péréquation directe'!I21/C10</f>
        <v>0.19383714438002139</v>
      </c>
      <c r="F10" s="110">
        <f>+'I) Dépenses thématiques'!O10/'J) Plafonnement effort'!C10</f>
        <v>-4.641394216487055</v>
      </c>
      <c r="G10" s="136">
        <f t="shared" si="1"/>
        <v>11.754059733638979</v>
      </c>
      <c r="H10" s="417">
        <f>G10-'C) Prél. conj.'!I10</f>
        <v>10.885391624846799</v>
      </c>
      <c r="I10" s="421">
        <f t="shared" si="2"/>
        <v>0</v>
      </c>
      <c r="J10" s="55">
        <f t="shared" si="3"/>
        <v>0</v>
      </c>
      <c r="K10" s="417">
        <f t="shared" si="4"/>
        <v>10.885391624846799</v>
      </c>
    </row>
    <row r="11" spans="1:26" x14ac:dyDescent="0.25">
      <c r="A11" s="49">
        <f>'A) Base RI'!A13</f>
        <v>5407</v>
      </c>
      <c r="B11" s="291" t="str">
        <f>'A) Base RI'!B13</f>
        <v>Leysin</v>
      </c>
      <c r="C11" s="95">
        <f>'B) D RI'!U13</f>
        <v>88989.44860843374</v>
      </c>
      <c r="D11" s="416">
        <f>'E) Part. coh. soc.'!G17/C11</f>
        <v>19.822737781478331</v>
      </c>
      <c r="E11" s="136">
        <f>'H) Péréquation directe'!I22/C11</f>
        <v>-16.916768578414448</v>
      </c>
      <c r="F11" s="110">
        <f>+'I) Dépenses thématiques'!O11/'J) Plafonnement effort'!C11</f>
        <v>-23.607733968381545</v>
      </c>
      <c r="G11" s="136">
        <f t="shared" si="1"/>
        <v>-20.701764765317662</v>
      </c>
      <c r="H11" s="417">
        <f>G11-'C) Prél. conj.'!I11</f>
        <v>-25.191553849842165</v>
      </c>
      <c r="I11" s="421">
        <f t="shared" si="2"/>
        <v>0</v>
      </c>
      <c r="J11" s="55">
        <f t="shared" si="3"/>
        <v>0</v>
      </c>
      <c r="K11" s="417">
        <f t="shared" si="4"/>
        <v>-25.191553849842165</v>
      </c>
    </row>
    <row r="12" spans="1:26" x14ac:dyDescent="0.25">
      <c r="A12" s="49">
        <f>'A) Base RI'!A14</f>
        <v>5408</v>
      </c>
      <c r="B12" s="291" t="str">
        <f>'A) Base RI'!B14</f>
        <v>Noville</v>
      </c>
      <c r="C12" s="95">
        <f>'B) D RI'!U14</f>
        <v>28270.539787685771</v>
      </c>
      <c r="D12" s="416">
        <f>'E) Part. coh. soc.'!G18/C12</f>
        <v>27.802925133468779</v>
      </c>
      <c r="E12" s="136">
        <f>'H) Péréquation directe'!I23/C12</f>
        <v>-8.7435461928913583</v>
      </c>
      <c r="F12" s="110">
        <f>+'I) Dépenses thématiques'!O12/'J) Plafonnement effort'!C12</f>
        <v>-9.6468683397059856</v>
      </c>
      <c r="G12" s="136">
        <f t="shared" si="1"/>
        <v>9.4125106008714354</v>
      </c>
      <c r="H12" s="417">
        <f>G12-'C) Prél. conj.'!I12</f>
        <v>-3.0574658356435158</v>
      </c>
      <c r="I12" s="421">
        <f t="shared" si="2"/>
        <v>0</v>
      </c>
      <c r="J12" s="55">
        <f t="shared" si="3"/>
        <v>0</v>
      </c>
      <c r="K12" s="417">
        <f t="shared" si="4"/>
        <v>-3.0574658356435158</v>
      </c>
    </row>
    <row r="13" spans="1:26" x14ac:dyDescent="0.25">
      <c r="A13" s="49">
        <f>'A) Base RI'!A15</f>
        <v>5409</v>
      </c>
      <c r="B13" s="291" t="str">
        <f>'A) Base RI'!B15</f>
        <v>Ollon</v>
      </c>
      <c r="C13" s="95">
        <f>'B) D RI'!U15</f>
        <v>398078.90791518224</v>
      </c>
      <c r="D13" s="416">
        <f>'E) Part. coh. soc.'!G19/C13</f>
        <v>20.985144836027246</v>
      </c>
      <c r="E13" s="136">
        <f>'H) Péréquation directe'!I24/C13</f>
        <v>11.163203704472968</v>
      </c>
      <c r="F13" s="110">
        <f>+'I) Dépenses thématiques'!O13/'J) Plafonnement effort'!C13</f>
        <v>-5.7968862936476864</v>
      </c>
      <c r="G13" s="136">
        <f t="shared" si="1"/>
        <v>26.351462246852527</v>
      </c>
      <c r="H13" s="417">
        <f>G13-'C) Prél. conj.'!I13</f>
        <v>22.418214079547944</v>
      </c>
      <c r="I13" s="421">
        <f t="shared" si="2"/>
        <v>0</v>
      </c>
      <c r="J13" s="55">
        <f t="shared" si="3"/>
        <v>0</v>
      </c>
      <c r="K13" s="417">
        <f t="shared" si="4"/>
        <v>22.418214079547944</v>
      </c>
    </row>
    <row r="14" spans="1:26" x14ac:dyDescent="0.25">
      <c r="A14" s="49">
        <f>'A) Base RI'!A16</f>
        <v>5410</v>
      </c>
      <c r="B14" s="291" t="str">
        <f>'A) Base RI'!B16</f>
        <v>Ormont-Dessous</v>
      </c>
      <c r="C14" s="95">
        <f>'B) D RI'!U16</f>
        <v>38209.218513800428</v>
      </c>
      <c r="D14" s="416">
        <f>'E) Part. coh. soc.'!G20/C14</f>
        <v>20.16582992778309</v>
      </c>
      <c r="E14" s="136">
        <f>'H) Péréquation directe'!I25/C14</f>
        <v>5.9712509290205675</v>
      </c>
      <c r="F14" s="110">
        <f>+'I) Dépenses thématiques'!O14/'J) Plafonnement effort'!C14</f>
        <v>-25.291166910925426</v>
      </c>
      <c r="G14" s="136">
        <f t="shared" si="1"/>
        <v>0.84591394587823032</v>
      </c>
      <c r="H14" s="417">
        <f>G14-'C) Prél. conj.'!I14</f>
        <v>-3.9869672849510307</v>
      </c>
      <c r="I14" s="421">
        <f t="shared" si="2"/>
        <v>0</v>
      </c>
      <c r="J14" s="55">
        <f t="shared" si="3"/>
        <v>0</v>
      </c>
      <c r="K14" s="417">
        <f t="shared" si="4"/>
        <v>-3.9869672849510307</v>
      </c>
    </row>
    <row r="15" spans="1:26" x14ac:dyDescent="0.25">
      <c r="A15" s="49">
        <f>'A) Base RI'!A17</f>
        <v>5411</v>
      </c>
      <c r="B15" s="291" t="str">
        <f>'A) Base RI'!B17</f>
        <v>Ormont-Dessus</v>
      </c>
      <c r="C15" s="95">
        <f>'B) D RI'!U17</f>
        <v>73074.251809839989</v>
      </c>
      <c r="D15" s="416">
        <f>'E) Part. coh. soc.'!G21/C15</f>
        <v>21.688028704871986</v>
      </c>
      <c r="E15" s="136">
        <f>'H) Péréquation directe'!I26/C15</f>
        <v>15.840366206668632</v>
      </c>
      <c r="F15" s="110">
        <f>+'I) Dépenses thématiques'!O15/'J) Plafonnement effort'!C15</f>
        <v>-12.370061002090829</v>
      </c>
      <c r="G15" s="136">
        <f t="shared" si="1"/>
        <v>25.158333909449787</v>
      </c>
      <c r="H15" s="417">
        <f>G15-'C) Prél. conj.'!I15</f>
        <v>20.282065645666925</v>
      </c>
      <c r="I15" s="421">
        <f t="shared" si="2"/>
        <v>0</v>
      </c>
      <c r="J15" s="55">
        <f t="shared" si="3"/>
        <v>0</v>
      </c>
      <c r="K15" s="417">
        <f t="shared" si="4"/>
        <v>20.282065645666925</v>
      </c>
    </row>
    <row r="16" spans="1:26" x14ac:dyDescent="0.25">
      <c r="A16" s="49">
        <f>'A) Base RI'!A18</f>
        <v>5412</v>
      </c>
      <c r="B16" s="291" t="str">
        <f>'A) Base RI'!B18</f>
        <v>Rennaz</v>
      </c>
      <c r="C16" s="95">
        <f>'B) D RI'!U18</f>
        <v>23813.904160849284</v>
      </c>
      <c r="D16" s="416">
        <f>'E) Part. coh. soc.'!G22/C16</f>
        <v>17.807711113142968</v>
      </c>
      <c r="E16" s="136">
        <f>'H) Péréquation directe'!I27/C16</f>
        <v>2.7762316600961796</v>
      </c>
      <c r="F16" s="110">
        <f>+'I) Dépenses thématiques'!O16/'J) Plafonnement effort'!C16</f>
        <v>-3.6999080714195038</v>
      </c>
      <c r="G16" s="136">
        <f t="shared" si="1"/>
        <v>16.884034701819644</v>
      </c>
      <c r="H16" s="417">
        <f>G16-'C) Prél. conj.'!I16</f>
        <v>14.409272285630504</v>
      </c>
      <c r="I16" s="421">
        <f t="shared" si="2"/>
        <v>0</v>
      </c>
      <c r="J16" s="55">
        <f t="shared" si="3"/>
        <v>0</v>
      </c>
      <c r="K16" s="417">
        <f t="shared" si="4"/>
        <v>14.409272285630504</v>
      </c>
    </row>
    <row r="17" spans="1:13" x14ac:dyDescent="0.25">
      <c r="A17" s="49">
        <f>'A) Base RI'!A19</f>
        <v>5413</v>
      </c>
      <c r="B17" s="291" t="str">
        <f>'A) Base RI'!B19</f>
        <v>Roche</v>
      </c>
      <c r="C17" s="95">
        <f>'B) D RI'!U19</f>
        <v>44639.413526237746</v>
      </c>
      <c r="D17" s="416">
        <f>'E) Part. coh. soc.'!G23/C17</f>
        <v>21.393089806132952</v>
      </c>
      <c r="E17" s="136">
        <f>'H) Péréquation directe'!I28/C17</f>
        <v>-5.7713702711140638</v>
      </c>
      <c r="F17" s="110">
        <f>+'I) Dépenses thématiques'!O17/'J) Plafonnement effort'!C17</f>
        <v>0</v>
      </c>
      <c r="G17" s="136">
        <f t="shared" si="1"/>
        <v>15.621719535018888</v>
      </c>
      <c r="H17" s="417">
        <f>G17-'C) Prél. conj.'!I17</f>
        <v>9.5615784258397643</v>
      </c>
      <c r="I17" s="421">
        <f t="shared" si="2"/>
        <v>0</v>
      </c>
      <c r="J17" s="55">
        <f t="shared" si="3"/>
        <v>0</v>
      </c>
      <c r="K17" s="417">
        <f t="shared" si="4"/>
        <v>9.5615784258397643</v>
      </c>
    </row>
    <row r="18" spans="1:13" x14ac:dyDescent="0.25">
      <c r="A18" s="49">
        <f>'A) Base RI'!A20</f>
        <v>5414</v>
      </c>
      <c r="B18" s="291" t="str">
        <f>'A) Base RI'!B20</f>
        <v>Villeneuve</v>
      </c>
      <c r="C18" s="95">
        <f>'B) D RI'!U20</f>
        <v>166033.59034311198</v>
      </c>
      <c r="D18" s="416">
        <f>'E) Part. coh. soc.'!G24/C18</f>
        <v>23.339056330071973</v>
      </c>
      <c r="E18" s="136">
        <f>'H) Péréquation directe'!I29/C18</f>
        <v>-5.4652718548603945</v>
      </c>
      <c r="F18" s="110">
        <f>+'I) Dépenses thématiques'!O18/'J) Plafonnement effort'!C18</f>
        <v>-11.208657537341608</v>
      </c>
      <c r="G18" s="136">
        <f t="shared" si="1"/>
        <v>6.6651269378699709</v>
      </c>
      <c r="H18" s="417">
        <f>G18-'C) Prél. conj.'!I18</f>
        <v>-1.3409806952481738</v>
      </c>
      <c r="I18" s="421">
        <f t="shared" si="2"/>
        <v>0</v>
      </c>
      <c r="J18" s="55">
        <f t="shared" si="3"/>
        <v>0</v>
      </c>
      <c r="K18" s="417">
        <f t="shared" si="4"/>
        <v>-1.3409806952481738</v>
      </c>
    </row>
    <row r="19" spans="1:13" x14ac:dyDescent="0.25">
      <c r="A19" s="49">
        <f>'A) Base RI'!A21</f>
        <v>5415</v>
      </c>
      <c r="B19" s="291" t="str">
        <f>'A) Base RI'!B21</f>
        <v>Yvorne</v>
      </c>
      <c r="C19" s="95">
        <f>'B) D RI'!U21</f>
        <v>39123.170780997614</v>
      </c>
      <c r="D19" s="416">
        <f>'E) Part. coh. soc.'!G25/C19</f>
        <v>20.134736646391847</v>
      </c>
      <c r="E19" s="136">
        <f>'H) Péréquation directe'!I30/C19</f>
        <v>10.565929039713026</v>
      </c>
      <c r="F19" s="110">
        <f>+'I) Dépenses thématiques'!O19/'J) Plafonnement effort'!C19</f>
        <v>-4.4476146763467028</v>
      </c>
      <c r="G19" s="136">
        <f t="shared" si="1"/>
        <v>26.25305100975817</v>
      </c>
      <c r="H19" s="417">
        <f>G19-'C) Prél. conj.'!I19</f>
        <v>21.451263060320152</v>
      </c>
      <c r="I19" s="421">
        <f t="shared" si="2"/>
        <v>0</v>
      </c>
      <c r="J19" s="55">
        <f t="shared" si="3"/>
        <v>0</v>
      </c>
      <c r="K19" s="417">
        <f t="shared" si="4"/>
        <v>21.451263060320152</v>
      </c>
    </row>
    <row r="20" spans="1:13" x14ac:dyDescent="0.25">
      <c r="A20" s="49">
        <f>'A) Base RI'!A22</f>
        <v>5421</v>
      </c>
      <c r="B20" s="291" t="str">
        <f>'A) Base RI'!B22</f>
        <v>Apples</v>
      </c>
      <c r="C20" s="95">
        <f>'B) D RI'!U22</f>
        <v>70492.513251958138</v>
      </c>
      <c r="D20" s="416">
        <f>'E) Part. coh. soc.'!G26/C20</f>
        <v>18.836944977391557</v>
      </c>
      <c r="E20" s="136">
        <f>'H) Péréquation directe'!I31/C20</f>
        <v>15.571146731526154</v>
      </c>
      <c r="F20" s="110">
        <f>+'I) Dépenses thématiques'!O20/'J) Plafonnement effort'!C20</f>
        <v>-3.5070477210325874</v>
      </c>
      <c r="G20" s="136">
        <f t="shared" si="1"/>
        <v>30.901043987885121</v>
      </c>
      <c r="H20" s="417">
        <f>G20-'C) Prél. conj.'!I20</f>
        <v>28.11543895067863</v>
      </c>
      <c r="I20" s="421">
        <f t="shared" si="2"/>
        <v>0</v>
      </c>
      <c r="J20" s="55">
        <f t="shared" si="3"/>
        <v>0</v>
      </c>
      <c r="K20" s="417">
        <f t="shared" si="4"/>
        <v>28.11543895067863</v>
      </c>
    </row>
    <row r="21" spans="1:13" x14ac:dyDescent="0.25">
      <c r="A21" s="49">
        <f>'A) Base RI'!A23</f>
        <v>5422</v>
      </c>
      <c r="B21" s="291" t="str">
        <f>'A) Base RI'!B23</f>
        <v>Aubonne</v>
      </c>
      <c r="C21" s="95">
        <f>'B) D RI'!U23</f>
        <v>245436.88330377048</v>
      </c>
      <c r="D21" s="416">
        <f>'E) Part. coh. soc.'!G27/C21</f>
        <v>23.309944410678462</v>
      </c>
      <c r="E21" s="136">
        <f>'H) Péréquation directe'!I32/C21</f>
        <v>14.597711114558411</v>
      </c>
      <c r="F21" s="110">
        <f>+'I) Dépenses thématiques'!O21/'J) Plafonnement effort'!C21</f>
        <v>0</v>
      </c>
      <c r="G21" s="136">
        <f t="shared" si="1"/>
        <v>37.907655525236876</v>
      </c>
      <c r="H21" s="417">
        <f>G21-'C) Prél. conj.'!I21</f>
        <v>34.942777772534328</v>
      </c>
      <c r="I21" s="421">
        <f t="shared" si="2"/>
        <v>0</v>
      </c>
      <c r="J21" s="55">
        <f t="shared" si="3"/>
        <v>0</v>
      </c>
      <c r="K21" s="417">
        <f t="shared" si="4"/>
        <v>34.942777772534328</v>
      </c>
    </row>
    <row r="22" spans="1:13" x14ac:dyDescent="0.25">
      <c r="A22" s="49">
        <f>'A) Base RI'!A24</f>
        <v>5423</v>
      </c>
      <c r="B22" s="291" t="str">
        <f>'A) Base RI'!B24</f>
        <v>Ballens</v>
      </c>
      <c r="C22" s="95">
        <f>'B) D RI'!U24</f>
        <v>16319.771402685055</v>
      </c>
      <c r="D22" s="416">
        <f>'E) Part. coh. soc.'!G28/C22</f>
        <v>18.399709178155518</v>
      </c>
      <c r="E22" s="136">
        <f>'H) Péréquation directe'!I33/C22</f>
        <v>4.1715019649018652</v>
      </c>
      <c r="F22" s="110">
        <f>+'I) Dépenses thématiques'!O22/'J) Plafonnement effort'!C22</f>
        <v>-4.7780218286172715</v>
      </c>
      <c r="G22" s="136">
        <f t="shared" si="1"/>
        <v>17.793189314440113</v>
      </c>
      <c r="H22" s="417">
        <f>G22-'C) Prél. conj.'!I22</f>
        <v>14.726428833238423</v>
      </c>
      <c r="I22" s="421">
        <f t="shared" si="2"/>
        <v>0</v>
      </c>
      <c r="J22" s="55">
        <f t="shared" si="3"/>
        <v>0</v>
      </c>
      <c r="K22" s="417">
        <f t="shared" si="4"/>
        <v>14.726428833238423</v>
      </c>
    </row>
    <row r="23" spans="1:13" x14ac:dyDescent="0.25">
      <c r="A23" s="49">
        <f>'A) Base RI'!A25</f>
        <v>5424</v>
      </c>
      <c r="B23" s="291" t="str">
        <f>'A) Base RI'!B25</f>
        <v>Berolle</v>
      </c>
      <c r="C23" s="95">
        <f>'B) D RI'!U25</f>
        <v>9278.5718181818156</v>
      </c>
      <c r="D23" s="416">
        <f>'E) Part. coh. soc.'!G29/C23</f>
        <v>15.898978696280723</v>
      </c>
      <c r="E23" s="136">
        <f>'H) Péréquation directe'!I34/C23</f>
        <v>4.1789197575211299</v>
      </c>
      <c r="F23" s="110">
        <f>+'I) Dépenses thématiques'!O23/'J) Plafonnement effort'!C23</f>
        <v>-4.2350853624370641</v>
      </c>
      <c r="G23" s="136">
        <f t="shared" si="1"/>
        <v>15.842813091364789</v>
      </c>
      <c r="H23" s="417">
        <f>G23-'C) Prél. conj.'!I23</f>
        <v>15.276783092037894</v>
      </c>
      <c r="I23" s="421">
        <f t="shared" si="2"/>
        <v>0</v>
      </c>
      <c r="J23" s="55">
        <f t="shared" si="3"/>
        <v>0</v>
      </c>
      <c r="K23" s="417">
        <f t="shared" si="4"/>
        <v>15.276783092037894</v>
      </c>
    </row>
    <row r="24" spans="1:13" x14ac:dyDescent="0.25">
      <c r="A24" s="49">
        <f>'A) Base RI'!A26</f>
        <v>5425</v>
      </c>
      <c r="B24" s="291" t="str">
        <f>'A) Base RI'!B26</f>
        <v>Bière</v>
      </c>
      <c r="C24" s="95">
        <f>'B) D RI'!U26</f>
        <v>39360.03487040029</v>
      </c>
      <c r="D24" s="416">
        <f>'E) Part. coh. soc.'!G30/C24</f>
        <v>19.658038615205434</v>
      </c>
      <c r="E24" s="136">
        <f>'H) Péréquation directe'!I35/C24</f>
        <v>-5.6096389202273569</v>
      </c>
      <c r="F24" s="110">
        <f>+'I) Dépenses thématiques'!O24/'J) Plafonnement effort'!C24</f>
        <v>-14.316735334613902</v>
      </c>
      <c r="G24" s="136">
        <f t="shared" si="1"/>
        <v>-0.26833563963582563</v>
      </c>
      <c r="H24" s="417">
        <f>G24-'C) Prél. conj.'!I24</f>
        <v>-4.593425557887433</v>
      </c>
      <c r="I24" s="421">
        <f t="shared" si="2"/>
        <v>0</v>
      </c>
      <c r="J24" s="55">
        <f t="shared" si="3"/>
        <v>0</v>
      </c>
      <c r="K24" s="417">
        <f t="shared" si="4"/>
        <v>-4.593425557887433</v>
      </c>
    </row>
    <row r="25" spans="1:13" x14ac:dyDescent="0.25">
      <c r="A25" s="49">
        <f>'A) Base RI'!A27</f>
        <v>5426</v>
      </c>
      <c r="B25" s="291" t="str">
        <f>'A) Base RI'!B27</f>
        <v>Bougy-Villars</v>
      </c>
      <c r="C25" s="95">
        <f>'B) D RI'!U27</f>
        <v>51974.123620521015</v>
      </c>
      <c r="D25" s="416">
        <f>'E) Part. coh. soc.'!G31/C25</f>
        <v>32.780010996364993</v>
      </c>
      <c r="E25" s="136">
        <f>'H) Péréquation directe'!I36/C25</f>
        <v>18.500581602460571</v>
      </c>
      <c r="F25" s="110">
        <f>+'I) Dépenses thématiques'!O25/'J) Plafonnement effort'!C25</f>
        <v>0</v>
      </c>
      <c r="G25" s="136">
        <f t="shared" si="1"/>
        <v>51.280592598825564</v>
      </c>
      <c r="H25" s="417">
        <f>G25-'C) Prél. conj.'!I25</f>
        <v>48.243138881420919</v>
      </c>
      <c r="I25" s="421">
        <f t="shared" si="2"/>
        <v>-0.24313888142091855</v>
      </c>
      <c r="J25" s="55">
        <f t="shared" si="3"/>
        <v>-12636.93027992602</v>
      </c>
      <c r="K25" s="417">
        <f t="shared" si="4"/>
        <v>48</v>
      </c>
      <c r="M25" s="412"/>
    </row>
    <row r="26" spans="1:13" x14ac:dyDescent="0.25">
      <c r="A26" s="49">
        <f>'A) Base RI'!A28</f>
        <v>5427</v>
      </c>
      <c r="B26" s="291" t="str">
        <f>'A) Base RI'!B28</f>
        <v>Féchy</v>
      </c>
      <c r="C26" s="95">
        <f>'B) D RI'!U28</f>
        <v>86694.092344793113</v>
      </c>
      <c r="D26" s="416">
        <f>'E) Part. coh. soc.'!G32/C26</f>
        <v>30.440627223222968</v>
      </c>
      <c r="E26" s="136">
        <f>'H) Péréquation directe'!I37/C26</f>
        <v>18.401044753876818</v>
      </c>
      <c r="F26" s="110">
        <f>+'I) Dépenses thématiques'!O26/'J) Plafonnement effort'!C26</f>
        <v>0</v>
      </c>
      <c r="G26" s="136">
        <f t="shared" si="1"/>
        <v>48.841671977099786</v>
      </c>
      <c r="H26" s="417">
        <f>G26-'C) Prél. conj.'!I26</f>
        <v>46.144113023833391</v>
      </c>
      <c r="I26" s="421">
        <f t="shared" si="2"/>
        <v>0</v>
      </c>
      <c r="J26" s="55">
        <f t="shared" si="3"/>
        <v>0</v>
      </c>
      <c r="K26" s="417">
        <f t="shared" si="4"/>
        <v>46.144113023833391</v>
      </c>
    </row>
    <row r="27" spans="1:13" x14ac:dyDescent="0.25">
      <c r="A27" s="49">
        <f>'A) Base RI'!A29</f>
        <v>5428</v>
      </c>
      <c r="B27" s="291" t="str">
        <f>'A) Base RI'!B29</f>
        <v>Gimel</v>
      </c>
      <c r="C27" s="95">
        <f>'B) D RI'!U29</f>
        <v>66248.425772179224</v>
      </c>
      <c r="D27" s="416">
        <f>'E) Part. coh. soc.'!G33/C27</f>
        <v>19.093487564046743</v>
      </c>
      <c r="E27" s="136">
        <f>'H) Péréquation directe'!I38/C27</f>
        <v>-0.96125710259093677</v>
      </c>
      <c r="F27" s="110">
        <f>+'I) Dépenses thématiques'!O27/'J) Plafonnement effort'!C27</f>
        <v>-3.8330259465105119</v>
      </c>
      <c r="G27" s="136">
        <f t="shared" si="1"/>
        <v>14.299204514945293</v>
      </c>
      <c r="H27" s="417">
        <f>G27-'C) Prél. conj.'!I27</f>
        <v>10.538665647852376</v>
      </c>
      <c r="I27" s="421">
        <f t="shared" si="2"/>
        <v>0</v>
      </c>
      <c r="J27" s="55">
        <f t="shared" si="3"/>
        <v>0</v>
      </c>
      <c r="K27" s="417">
        <f t="shared" si="4"/>
        <v>10.538665647852376</v>
      </c>
    </row>
    <row r="28" spans="1:13" x14ac:dyDescent="0.25">
      <c r="A28" s="49">
        <f>'A) Base RI'!A30</f>
        <v>5429</v>
      </c>
      <c r="B28" s="291" t="str">
        <f>'A) Base RI'!B30</f>
        <v>Longirod</v>
      </c>
      <c r="C28" s="95">
        <f>'B) D RI'!U30</f>
        <v>15299.789438077625</v>
      </c>
      <c r="D28" s="416">
        <f>'E) Part. coh. soc.'!G34/C28</f>
        <v>17.847494740591006</v>
      </c>
      <c r="E28" s="136">
        <f>'H) Péréquation directe'!I39/C28</f>
        <v>4.0547329037567374</v>
      </c>
      <c r="F28" s="110">
        <f>+'I) Dépenses thématiques'!O28/'J) Plafonnement effort'!C28</f>
        <v>-4.5954015684203737</v>
      </c>
      <c r="G28" s="136">
        <f t="shared" si="1"/>
        <v>17.306826075927368</v>
      </c>
      <c r="H28" s="417">
        <f>G28-'C) Prél. conj.'!I28</f>
        <v>14.79228003229019</v>
      </c>
      <c r="I28" s="421">
        <f t="shared" si="2"/>
        <v>0</v>
      </c>
      <c r="J28" s="55">
        <f t="shared" si="3"/>
        <v>0</v>
      </c>
      <c r="K28" s="417">
        <f t="shared" si="4"/>
        <v>14.79228003229019</v>
      </c>
    </row>
    <row r="29" spans="1:13" x14ac:dyDescent="0.25">
      <c r="A29" s="49">
        <f>'A) Base RI'!A31</f>
        <v>5430</v>
      </c>
      <c r="B29" s="291" t="str">
        <f>'A) Base RI'!B31</f>
        <v>Marchissy</v>
      </c>
      <c r="C29" s="95">
        <f>'B) D RI'!U31</f>
        <v>14892.112085590652</v>
      </c>
      <c r="D29" s="416">
        <f>'E) Part. coh. soc.'!G35/C29</f>
        <v>17.338996249396427</v>
      </c>
      <c r="E29" s="136">
        <f>'H) Péréquation directe'!I40/C29</f>
        <v>4.3818573310205267</v>
      </c>
      <c r="F29" s="110">
        <f>+'I) Dépenses thématiques'!O29/'J) Plafonnement effort'!C29</f>
        <v>-4.6608294314764267</v>
      </c>
      <c r="G29" s="136">
        <f t="shared" si="1"/>
        <v>17.060024148940528</v>
      </c>
      <c r="H29" s="417">
        <f>G29-'C) Prél. conj.'!I29</f>
        <v>15.053976596497927</v>
      </c>
      <c r="I29" s="421">
        <f t="shared" si="2"/>
        <v>0</v>
      </c>
      <c r="J29" s="55">
        <f t="shared" si="3"/>
        <v>0</v>
      </c>
      <c r="K29" s="417">
        <f t="shared" si="4"/>
        <v>15.053976596497927</v>
      </c>
    </row>
    <row r="30" spans="1:13" x14ac:dyDescent="0.25">
      <c r="A30" s="49">
        <f>'A) Base RI'!A32</f>
        <v>5431</v>
      </c>
      <c r="B30" s="291" t="str">
        <f>'A) Base RI'!B32</f>
        <v>Mollens</v>
      </c>
      <c r="C30" s="95">
        <f>'B) D RI'!U32</f>
        <v>10626.564516518391</v>
      </c>
      <c r="D30" s="416">
        <f>'E) Part. coh. soc.'!G36/C30</f>
        <v>20.815072285385831</v>
      </c>
      <c r="E30" s="136">
        <f>'H) Péréquation directe'!I41/C30</f>
        <v>8.8016564121042578</v>
      </c>
      <c r="F30" s="110">
        <f>+'I) Dépenses thématiques'!O30/'J) Plafonnement effort'!C30</f>
        <v>-2.4925422666517658</v>
      </c>
      <c r="G30" s="136">
        <f t="shared" si="1"/>
        <v>27.124186430838321</v>
      </c>
      <c r="H30" s="417">
        <f>G30-'C) Prél. conj.'!I30</f>
        <v>21.642062842406318</v>
      </c>
      <c r="I30" s="421">
        <f t="shared" si="2"/>
        <v>0</v>
      </c>
      <c r="J30" s="55">
        <f t="shared" si="3"/>
        <v>0</v>
      </c>
      <c r="K30" s="417">
        <f t="shared" si="4"/>
        <v>21.642062842406318</v>
      </c>
    </row>
    <row r="31" spans="1:13" x14ac:dyDescent="0.25">
      <c r="A31" s="49">
        <f>'A) Base RI'!A33</f>
        <v>5434</v>
      </c>
      <c r="B31" s="291" t="str">
        <f>'A) Base RI'!B33</f>
        <v>Saint-George</v>
      </c>
      <c r="C31" s="95">
        <f>'B) D RI'!U33</f>
        <v>39849.055598308893</v>
      </c>
      <c r="D31" s="416">
        <f>'E) Part. coh. soc.'!G37/C31</f>
        <v>18.226897957946957</v>
      </c>
      <c r="E31" s="136">
        <f>'H) Péréquation directe'!I42/C31</f>
        <v>11.419975100263331</v>
      </c>
      <c r="F31" s="110">
        <f>+'I) Dépenses thématiques'!O31/'J) Plafonnement effort'!C31</f>
        <v>-1.5004915521013427</v>
      </c>
      <c r="G31" s="136">
        <f t="shared" si="1"/>
        <v>28.146381506108945</v>
      </c>
      <c r="H31" s="417">
        <f>G31-'C) Prél. conj.'!I31</f>
        <v>25.25243224511582</v>
      </c>
      <c r="I31" s="421">
        <f t="shared" si="2"/>
        <v>0</v>
      </c>
      <c r="J31" s="55">
        <f t="shared" si="3"/>
        <v>0</v>
      </c>
      <c r="K31" s="417">
        <f t="shared" si="4"/>
        <v>25.25243224511582</v>
      </c>
    </row>
    <row r="32" spans="1:13" x14ac:dyDescent="0.25">
      <c r="A32" s="49">
        <f>'A) Base RI'!A34</f>
        <v>5435</v>
      </c>
      <c r="B32" s="291" t="str">
        <f>'A) Base RI'!B34</f>
        <v>Saint-Livres</v>
      </c>
      <c r="C32" s="95">
        <f>'B) D RI'!U34</f>
        <v>24291.940869565216</v>
      </c>
      <c r="D32" s="416">
        <f>'E) Part. coh. soc.'!G38/C32</f>
        <v>16.717091288957501</v>
      </c>
      <c r="E32" s="136">
        <f>'H) Péréquation directe'!I43/C32</f>
        <v>10.275645044351768</v>
      </c>
      <c r="F32" s="110">
        <f>+'I) Dépenses thématiques'!O32/'J) Plafonnement effort'!C32</f>
        <v>-2.7483550363627214</v>
      </c>
      <c r="G32" s="136">
        <f t="shared" si="1"/>
        <v>24.244381296946546</v>
      </c>
      <c r="H32" s="417">
        <f>G32-'C) Prél. conj.'!I32</f>
        <v>22.860238704942873</v>
      </c>
      <c r="I32" s="421">
        <f t="shared" si="2"/>
        <v>0</v>
      </c>
      <c r="J32" s="55">
        <f t="shared" si="3"/>
        <v>0</v>
      </c>
      <c r="K32" s="417">
        <f t="shared" si="4"/>
        <v>22.860238704942873</v>
      </c>
    </row>
    <row r="33" spans="1:11" x14ac:dyDescent="0.25">
      <c r="A33" s="49">
        <f>'A) Base RI'!A35</f>
        <v>5436</v>
      </c>
      <c r="B33" s="291" t="str">
        <f>'A) Base RI'!B35</f>
        <v>Saint-Oyens</v>
      </c>
      <c r="C33" s="95">
        <f>'B) D RI'!U35</f>
        <v>16655.571776721274</v>
      </c>
      <c r="D33" s="416">
        <f>'E) Part. coh. soc.'!G39/C33</f>
        <v>16.781854523995364</v>
      </c>
      <c r="E33" s="136">
        <f>'H) Péréquation directe'!I44/C33</f>
        <v>10.200909770907366</v>
      </c>
      <c r="F33" s="110">
        <f>+'I) Dépenses thématiques'!O33/'J) Plafonnement effort'!C33</f>
        <v>0</v>
      </c>
      <c r="G33" s="136">
        <f t="shared" si="1"/>
        <v>26.982764294902729</v>
      </c>
      <c r="H33" s="417">
        <f>G33-'C) Prél. conj.'!I33</f>
        <v>25.533858467861194</v>
      </c>
      <c r="I33" s="421">
        <f t="shared" si="2"/>
        <v>0</v>
      </c>
      <c r="J33" s="55">
        <f t="shared" si="3"/>
        <v>0</v>
      </c>
      <c r="K33" s="417">
        <f t="shared" si="4"/>
        <v>25.533858467861194</v>
      </c>
    </row>
    <row r="34" spans="1:11" x14ac:dyDescent="0.25">
      <c r="A34" s="49">
        <f>'A) Base RI'!A36</f>
        <v>5437</v>
      </c>
      <c r="B34" s="291" t="str">
        <f>'A) Base RI'!B36</f>
        <v>Saubraz</v>
      </c>
      <c r="C34" s="95">
        <f>'B) D RI'!U36</f>
        <v>13155.457431390041</v>
      </c>
      <c r="D34" s="416">
        <f>'E) Part. coh. soc.'!G40/C34</f>
        <v>17.100988700222825</v>
      </c>
      <c r="E34" s="136">
        <f>'H) Péréquation directe'!I45/C34</f>
        <v>3.5027255960665</v>
      </c>
      <c r="F34" s="110">
        <f>+'I) Dépenses thématiques'!O34/'J) Plafonnement effort'!C34</f>
        <v>-1.2296181788604861</v>
      </c>
      <c r="G34" s="136">
        <f t="shared" si="1"/>
        <v>19.374096117428838</v>
      </c>
      <c r="H34" s="417">
        <f>G34-'C) Prél. conj.'!I34</f>
        <v>17.606056114159841</v>
      </c>
      <c r="I34" s="421">
        <f t="shared" si="2"/>
        <v>0</v>
      </c>
      <c r="J34" s="55">
        <f t="shared" si="3"/>
        <v>0</v>
      </c>
      <c r="K34" s="417">
        <f t="shared" si="4"/>
        <v>17.606056114159841</v>
      </c>
    </row>
    <row r="35" spans="1:11" x14ac:dyDescent="0.25">
      <c r="A35" s="49">
        <f>'A) Base RI'!A37</f>
        <v>5451</v>
      </c>
      <c r="B35" s="291" t="str">
        <f>'A) Base RI'!B37</f>
        <v>Avenches</v>
      </c>
      <c r="C35" s="95">
        <f>'B) D RI'!U37</f>
        <v>131058.88480778445</v>
      </c>
      <c r="D35" s="416">
        <f>'E) Part. coh. soc.'!G41/C35</f>
        <v>19.139097671375524</v>
      </c>
      <c r="E35" s="136">
        <f>'H) Péréquation directe'!I46/C35</f>
        <v>-1.0112553257557146</v>
      </c>
      <c r="F35" s="110">
        <f>+'I) Dépenses thématiques'!O35/'J) Plafonnement effort'!C35</f>
        <v>-10.107653103368632</v>
      </c>
      <c r="G35" s="136">
        <f t="shared" si="1"/>
        <v>8.0201892422511758</v>
      </c>
      <c r="H35" s="417">
        <f>G35-'C) Prél. conj.'!I35</f>
        <v>4.2140402678294793</v>
      </c>
      <c r="I35" s="421">
        <f t="shared" si="2"/>
        <v>0</v>
      </c>
      <c r="J35" s="55">
        <f t="shared" si="3"/>
        <v>0</v>
      </c>
      <c r="K35" s="417">
        <f t="shared" si="4"/>
        <v>4.2140402678294793</v>
      </c>
    </row>
    <row r="36" spans="1:11" x14ac:dyDescent="0.25">
      <c r="A36" s="49">
        <f>'A) Base RI'!A38</f>
        <v>5456</v>
      </c>
      <c r="B36" s="291" t="str">
        <f>'A) Base RI'!B38</f>
        <v>Cudrefin</v>
      </c>
      <c r="C36" s="95">
        <f>'B) D RI'!U38</f>
        <v>57483.919740251898</v>
      </c>
      <c r="D36" s="416">
        <f>'E) Part. coh. soc.'!G42/C36</f>
        <v>25.380229355784369</v>
      </c>
      <c r="E36" s="136">
        <f>'H) Péréquation directe'!I47/C36</f>
        <v>7.6272894480558948</v>
      </c>
      <c r="F36" s="110">
        <f>+'I) Dépenses thématiques'!O36/'J) Plafonnement effort'!C36</f>
        <v>-5.7371549254235825</v>
      </c>
      <c r="G36" s="136">
        <f t="shared" si="1"/>
        <v>27.270363878416681</v>
      </c>
      <c r="H36" s="417">
        <f>G36-'C) Prél. conj.'!I36</f>
        <v>17.22308321958614</v>
      </c>
      <c r="I36" s="421">
        <f t="shared" si="2"/>
        <v>0</v>
      </c>
      <c r="J36" s="55">
        <f t="shared" si="3"/>
        <v>0</v>
      </c>
      <c r="K36" s="417">
        <f t="shared" si="4"/>
        <v>17.22308321958614</v>
      </c>
    </row>
    <row r="37" spans="1:11" x14ac:dyDescent="0.25">
      <c r="A37" s="49">
        <f>'A) Base RI'!A39</f>
        <v>5458</v>
      </c>
      <c r="B37" s="291" t="str">
        <f>'A) Base RI'!B39</f>
        <v>Faoug</v>
      </c>
      <c r="C37" s="95">
        <f>'B) D RI'!U39</f>
        <v>33103.176846222719</v>
      </c>
      <c r="D37" s="416">
        <f>'E) Part. coh. soc.'!G43/C37</f>
        <v>22.119396295128514</v>
      </c>
      <c r="E37" s="136">
        <f>'H) Péréquation directe'!I48/C37</f>
        <v>12.365354691618267</v>
      </c>
      <c r="F37" s="110">
        <f>+'I) Dépenses thématiques'!O37/'J) Plafonnement effort'!C37</f>
        <v>-1.8696778001238428</v>
      </c>
      <c r="G37" s="136">
        <f t="shared" si="1"/>
        <v>32.615073186622936</v>
      </c>
      <c r="H37" s="417">
        <f>G37-'C) Prél. conj.'!I37</f>
        <v>25.828625588448251</v>
      </c>
      <c r="I37" s="421">
        <f t="shared" si="2"/>
        <v>0</v>
      </c>
      <c r="J37" s="55">
        <f t="shared" si="3"/>
        <v>0</v>
      </c>
      <c r="K37" s="417">
        <f t="shared" si="4"/>
        <v>25.828625588448251</v>
      </c>
    </row>
    <row r="38" spans="1:11" x14ac:dyDescent="0.25">
      <c r="A38" s="49">
        <f>'A) Base RI'!A40</f>
        <v>5464</v>
      </c>
      <c r="B38" s="291" t="str">
        <f>'A) Base RI'!B40</f>
        <v>Vully-les-Lacs</v>
      </c>
      <c r="C38" s="95">
        <f>'B) D RI'!U40</f>
        <v>112706.50074312353</v>
      </c>
      <c r="D38" s="416">
        <f>'E) Part. coh. soc.'!G44/C38</f>
        <v>18.712706718793051</v>
      </c>
      <c r="E38" s="136">
        <f>'H) Péréquation directe'!I49/C38</f>
        <v>5.0635756081132675</v>
      </c>
      <c r="F38" s="110">
        <f>+'I) Dépenses thématiques'!O38/'J) Plafonnement effort'!C38</f>
        <v>-4.3609978360230102</v>
      </c>
      <c r="G38" s="136">
        <f t="shared" si="1"/>
        <v>19.415284490883309</v>
      </c>
      <c r="H38" s="417">
        <f>G38-'C) Prél. conj.'!I38</f>
        <v>16.035526469044086</v>
      </c>
      <c r="I38" s="421">
        <f t="shared" si="2"/>
        <v>0</v>
      </c>
      <c r="J38" s="55">
        <f t="shared" si="3"/>
        <v>0</v>
      </c>
      <c r="K38" s="417">
        <f t="shared" si="4"/>
        <v>16.035526469044086</v>
      </c>
    </row>
    <row r="39" spans="1:11" x14ac:dyDescent="0.25">
      <c r="A39" s="49">
        <f>'A) Base RI'!A41</f>
        <v>5471</v>
      </c>
      <c r="B39" s="291" t="str">
        <f>'A) Base RI'!B41</f>
        <v>Bettens</v>
      </c>
      <c r="C39" s="95">
        <f>'B) D RI'!U41</f>
        <v>21669.887846159098</v>
      </c>
      <c r="D39" s="416">
        <f>'E) Part. coh. soc.'!G45/C39</f>
        <v>16.744621439202103</v>
      </c>
      <c r="E39" s="136">
        <f>'H) Péréquation directe'!I50/C39</f>
        <v>8.5322661559549839</v>
      </c>
      <c r="F39" s="110">
        <f>+'I) Dépenses thématiques'!O39/'J) Plafonnement effort'!C39</f>
        <v>-1.34213674469552E-2</v>
      </c>
      <c r="G39" s="136">
        <f t="shared" si="1"/>
        <v>25.263466227710129</v>
      </c>
      <c r="H39" s="417">
        <f>G39-'C) Prél. conj.'!I39</f>
        <v>23.851793485461855</v>
      </c>
      <c r="I39" s="421">
        <f t="shared" si="2"/>
        <v>0</v>
      </c>
      <c r="J39" s="55">
        <f t="shared" si="3"/>
        <v>0</v>
      </c>
      <c r="K39" s="417">
        <f t="shared" si="4"/>
        <v>23.851793485461855</v>
      </c>
    </row>
    <row r="40" spans="1:11" x14ac:dyDescent="0.25">
      <c r="A40" s="49">
        <f>'A) Base RI'!A42</f>
        <v>5472</v>
      </c>
      <c r="B40" s="291" t="str">
        <f>'A) Base RI'!B42</f>
        <v>Bournens</v>
      </c>
      <c r="C40" s="95">
        <f>'B) D RI'!U42</f>
        <v>15019.940865033717</v>
      </c>
      <c r="D40" s="416">
        <f>'E) Part. coh. soc.'!G46/C40</f>
        <v>17.338525834086742</v>
      </c>
      <c r="E40" s="136">
        <f>'H) Péréquation directe'!I51/C40</f>
        <v>9.4500001340615523</v>
      </c>
      <c r="F40" s="110">
        <f>+'I) Dépenses thématiques'!O40/'J) Plafonnement effort'!C40</f>
        <v>-0.29978290768956878</v>
      </c>
      <c r="G40" s="136">
        <f t="shared" si="1"/>
        <v>26.488743060458724</v>
      </c>
      <c r="H40" s="417">
        <f>G40-'C) Prél. conj.'!I40</f>
        <v>24.48316592332581</v>
      </c>
      <c r="I40" s="421">
        <f t="shared" si="2"/>
        <v>0</v>
      </c>
      <c r="J40" s="55">
        <f t="shared" si="3"/>
        <v>0</v>
      </c>
      <c r="K40" s="417">
        <f t="shared" si="4"/>
        <v>24.48316592332581</v>
      </c>
    </row>
    <row r="41" spans="1:11" x14ac:dyDescent="0.25">
      <c r="A41" s="49">
        <f>'A) Base RI'!A43</f>
        <v>5473</v>
      </c>
      <c r="B41" s="291" t="str">
        <f>'A) Base RI'!B43</f>
        <v>Boussens</v>
      </c>
      <c r="C41" s="95">
        <f>'B) D RI'!U43</f>
        <v>34282.214706986073</v>
      </c>
      <c r="D41" s="416">
        <f>'E) Part. coh. soc.'!G47/C41</f>
        <v>16.656885478399598</v>
      </c>
      <c r="E41" s="136">
        <f>'H) Péréquation directe'!I52/C41</f>
        <v>9.7608543138070356</v>
      </c>
      <c r="F41" s="110">
        <f>+'I) Dépenses thématiques'!O41/'J) Plafonnement effort'!C41</f>
        <v>0</v>
      </c>
      <c r="G41" s="136">
        <f t="shared" si="1"/>
        <v>26.417739792206632</v>
      </c>
      <c r="H41" s="417">
        <f>G41-'C) Prél. conj.'!I41</f>
        <v>25.093803010760862</v>
      </c>
      <c r="I41" s="421">
        <f t="shared" si="2"/>
        <v>0</v>
      </c>
      <c r="J41" s="55">
        <f t="shared" si="3"/>
        <v>0</v>
      </c>
      <c r="K41" s="417">
        <f t="shared" si="4"/>
        <v>25.093803010760862</v>
      </c>
    </row>
    <row r="42" spans="1:11" x14ac:dyDescent="0.25">
      <c r="A42" s="49">
        <f>'A) Base RI'!A44</f>
        <v>5474</v>
      </c>
      <c r="B42" s="291" t="str">
        <f>'A) Base RI'!B44</f>
        <v>La Chaux (Cossonay)</v>
      </c>
      <c r="C42" s="95">
        <f>'B) D RI'!U44</f>
        <v>15312.847748917748</v>
      </c>
      <c r="D42" s="416">
        <f>'E) Part. coh. soc.'!G48/C42</f>
        <v>18.691262959801154</v>
      </c>
      <c r="E42" s="136">
        <f>'H) Péréquation directe'!I53/C42</f>
        <v>12.039841923895585</v>
      </c>
      <c r="F42" s="110">
        <f>+'I) Dépenses thématiques'!O42/'J) Plafonnement effort'!C42</f>
        <v>-9.4655301959901532</v>
      </c>
      <c r="G42" s="136">
        <f t="shared" si="1"/>
        <v>21.265574687706582</v>
      </c>
      <c r="H42" s="417">
        <f>G42-'C) Prél. conj.'!I42</f>
        <v>17.90726042485926</v>
      </c>
      <c r="I42" s="421">
        <f t="shared" si="2"/>
        <v>0</v>
      </c>
      <c r="J42" s="55">
        <f t="shared" si="3"/>
        <v>0</v>
      </c>
      <c r="K42" s="417">
        <f t="shared" si="4"/>
        <v>17.90726042485926</v>
      </c>
    </row>
    <row r="43" spans="1:11" x14ac:dyDescent="0.25">
      <c r="A43" s="49">
        <f>'A) Base RI'!A45</f>
        <v>5475</v>
      </c>
      <c r="B43" s="291" t="str">
        <f>'A) Base RI'!B45</f>
        <v>Chavannes-le-Veyron</v>
      </c>
      <c r="C43" s="95">
        <f>'B) D RI'!U45</f>
        <v>3043.2190909090909</v>
      </c>
      <c r="D43" s="416">
        <f>'E) Part. coh. soc.'!G49/C43</f>
        <v>19.545741012268262</v>
      </c>
      <c r="E43" s="136">
        <f>'H) Péréquation directe'!I54/C43</f>
        <v>-17.002314720651601</v>
      </c>
      <c r="F43" s="110">
        <f>+'I) Dépenses thématiques'!O43/'J) Plafonnement effort'!C43</f>
        <v>-5.7551021213490046</v>
      </c>
      <c r="G43" s="136">
        <f t="shared" si="1"/>
        <v>-3.2116758297323429</v>
      </c>
      <c r="H43" s="417">
        <f>G43-'C) Prél. conj.'!I43</f>
        <v>-7.4244681450467782</v>
      </c>
      <c r="I43" s="421">
        <f t="shared" si="2"/>
        <v>0</v>
      </c>
      <c r="J43" s="55">
        <f t="shared" si="3"/>
        <v>0</v>
      </c>
      <c r="K43" s="417">
        <f t="shared" si="4"/>
        <v>-7.4244681450467782</v>
      </c>
    </row>
    <row r="44" spans="1:11" x14ac:dyDescent="0.25">
      <c r="A44" s="49">
        <f>'A) Base RI'!A46</f>
        <v>5476</v>
      </c>
      <c r="B44" s="291" t="str">
        <f>'A) Base RI'!B46</f>
        <v>Chevilly</v>
      </c>
      <c r="C44" s="95">
        <f>'B) D RI'!U46</f>
        <v>12636.676556913548</v>
      </c>
      <c r="D44" s="416">
        <f>'E) Part. coh. soc.'!G50/C44</f>
        <v>15.332948696953828</v>
      </c>
      <c r="E44" s="136">
        <f>'H) Péréquation directe'!I55/C44</f>
        <v>13.168519727168404</v>
      </c>
      <c r="F44" s="110">
        <f>+'I) Dépenses thématiques'!O44/'J) Plafonnement effort'!C44</f>
        <v>-0.80401472671007324</v>
      </c>
      <c r="G44" s="136">
        <f t="shared" si="1"/>
        <v>27.697453697412158</v>
      </c>
      <c r="H44" s="417">
        <f>G44-'C) Prél. conj.'!I44</f>
        <v>27.697453697412158</v>
      </c>
      <c r="I44" s="421">
        <f t="shared" si="2"/>
        <v>0</v>
      </c>
      <c r="J44" s="55">
        <f t="shared" si="3"/>
        <v>0</v>
      </c>
      <c r="K44" s="417">
        <f t="shared" si="4"/>
        <v>27.697453697412158</v>
      </c>
    </row>
    <row r="45" spans="1:11" x14ac:dyDescent="0.25">
      <c r="A45" s="49">
        <f>'A) Base RI'!A47</f>
        <v>5477</v>
      </c>
      <c r="B45" s="291" t="str">
        <f>'A) Base RI'!B47</f>
        <v>Cossonay</v>
      </c>
      <c r="C45" s="95">
        <f>'B) D RI'!U47</f>
        <v>144296.3607707771</v>
      </c>
      <c r="D45" s="416">
        <f>'E) Part. coh. soc.'!G51/C45</f>
        <v>17.099841421331071</v>
      </c>
      <c r="E45" s="136">
        <f>'H) Péréquation directe'!I56/C45</f>
        <v>4.5009579166475673</v>
      </c>
      <c r="F45" s="110">
        <f>+'I) Dépenses thématiques'!O45/'J) Plafonnement effort'!C45</f>
        <v>-3.6685491664815966</v>
      </c>
      <c r="G45" s="136">
        <f t="shared" si="1"/>
        <v>17.932250171497042</v>
      </c>
      <c r="H45" s="417">
        <f>G45-'C) Prél. conj.'!I45</f>
        <v>16.165357447119799</v>
      </c>
      <c r="I45" s="421">
        <f t="shared" si="2"/>
        <v>0</v>
      </c>
      <c r="J45" s="55">
        <f t="shared" si="3"/>
        <v>0</v>
      </c>
      <c r="K45" s="417">
        <f t="shared" si="4"/>
        <v>16.165357447119799</v>
      </c>
    </row>
    <row r="46" spans="1:11" x14ac:dyDescent="0.25">
      <c r="A46" s="49">
        <f>'A) Base RI'!A48</f>
        <v>5478</v>
      </c>
      <c r="B46" s="291" t="str">
        <f>'A) Base RI'!B48</f>
        <v>Cottens</v>
      </c>
      <c r="C46" s="95">
        <f>'B) D RI'!U48</f>
        <v>17520.338093666011</v>
      </c>
      <c r="D46" s="416">
        <f>'E) Part. coh. soc.'!G52/C46</f>
        <v>18.3318662817118</v>
      </c>
      <c r="E46" s="136">
        <f>'H) Péréquation directe'!I57/C46</f>
        <v>10.132128837133948</v>
      </c>
      <c r="F46" s="110">
        <f>+'I) Dépenses thématiques'!O46/'J) Plafonnement effort'!C46</f>
        <v>-30.288083001141203</v>
      </c>
      <c r="G46" s="136">
        <f t="shared" si="1"/>
        <v>-1.8240878822954549</v>
      </c>
      <c r="H46" s="417">
        <f>G46-'C) Prél. conj.'!I46</f>
        <v>-4.823005467053429</v>
      </c>
      <c r="I46" s="421">
        <f t="shared" si="2"/>
        <v>0</v>
      </c>
      <c r="J46" s="55">
        <f t="shared" si="3"/>
        <v>0</v>
      </c>
      <c r="K46" s="417">
        <f t="shared" si="4"/>
        <v>-4.823005467053429</v>
      </c>
    </row>
    <row r="47" spans="1:11" x14ac:dyDescent="0.25">
      <c r="A47" s="49">
        <f>'A) Base RI'!A49</f>
        <v>5479</v>
      </c>
      <c r="B47" s="291" t="str">
        <f>'A) Base RI'!B49</f>
        <v>Cuarnens</v>
      </c>
      <c r="C47" s="95">
        <f>'B) D RI'!U49</f>
        <v>17273.482190037128</v>
      </c>
      <c r="D47" s="416">
        <f>'E) Part. coh. soc.'!G53/C47</f>
        <v>16.776160883456591</v>
      </c>
      <c r="E47" s="136">
        <f>'H) Péréquation directe'!I58/C47</f>
        <v>9.2256899062150985</v>
      </c>
      <c r="F47" s="110">
        <f>+'I) Dépenses thématiques'!O47/'J) Plafonnement effort'!C47</f>
        <v>-16.97163436635589</v>
      </c>
      <c r="G47" s="136">
        <f t="shared" si="1"/>
        <v>9.0302164233157995</v>
      </c>
      <c r="H47" s="417">
        <f>G47-'C) Prél. conj.'!I47</f>
        <v>7.587004236813037</v>
      </c>
      <c r="I47" s="421">
        <f t="shared" si="2"/>
        <v>0</v>
      </c>
      <c r="J47" s="55">
        <f t="shared" si="3"/>
        <v>0</v>
      </c>
      <c r="K47" s="417">
        <f t="shared" si="4"/>
        <v>7.587004236813037</v>
      </c>
    </row>
    <row r="48" spans="1:11" x14ac:dyDescent="0.25">
      <c r="A48" s="49">
        <f>'A) Base RI'!A50</f>
        <v>5480</v>
      </c>
      <c r="B48" s="291" t="str">
        <f>'A) Base RI'!B50</f>
        <v>Daillens</v>
      </c>
      <c r="C48" s="95">
        <f>'B) D RI'!U50</f>
        <v>40220.975555555553</v>
      </c>
      <c r="D48" s="416">
        <f>'E) Part. coh. soc.'!G54/C48</f>
        <v>17.938119594792152</v>
      </c>
      <c r="E48" s="136">
        <f>'H) Péréquation directe'!I59/C48</f>
        <v>13.087692844358411</v>
      </c>
      <c r="F48" s="110">
        <f>+'I) Dépenses thématiques'!O48/'J) Plafonnement effort'!C48</f>
        <v>-10.231862537498056</v>
      </c>
      <c r="G48" s="136">
        <f t="shared" si="1"/>
        <v>20.793949901652507</v>
      </c>
      <c r="H48" s="417">
        <f>G48-'C) Prél. conj.'!I48</f>
        <v>18.188779003814183</v>
      </c>
      <c r="I48" s="421">
        <f t="shared" si="2"/>
        <v>0</v>
      </c>
      <c r="J48" s="55">
        <f t="shared" si="3"/>
        <v>0</v>
      </c>
      <c r="K48" s="417">
        <f t="shared" si="4"/>
        <v>18.188779003814183</v>
      </c>
    </row>
    <row r="49" spans="1:11" x14ac:dyDescent="0.25">
      <c r="A49" s="49">
        <f>'A) Base RI'!A51</f>
        <v>5481</v>
      </c>
      <c r="B49" s="291" t="str">
        <f>'A) Base RI'!B51</f>
        <v>Dizy</v>
      </c>
      <c r="C49" s="95">
        <f>'B) D RI'!U51</f>
        <v>9702.0464562011348</v>
      </c>
      <c r="D49" s="416">
        <f>'E) Part. coh. soc.'!G55/C49</f>
        <v>15.339939490113416</v>
      </c>
      <c r="E49" s="136">
        <f>'H) Péréquation directe'!I60/C49</f>
        <v>13.921205910719808</v>
      </c>
      <c r="F49" s="110">
        <f>+'I) Dépenses thématiques'!O49/'J) Plafonnement effort'!C49</f>
        <v>-1.398642695795751</v>
      </c>
      <c r="G49" s="136">
        <f t="shared" si="1"/>
        <v>27.862502705037471</v>
      </c>
      <c r="H49" s="417">
        <f>G49-'C) Prél. conj.'!I49</f>
        <v>27.855511911877883</v>
      </c>
      <c r="I49" s="421">
        <f t="shared" si="2"/>
        <v>0</v>
      </c>
      <c r="J49" s="55">
        <f t="shared" si="3"/>
        <v>0</v>
      </c>
      <c r="K49" s="417">
        <f t="shared" si="4"/>
        <v>27.855511911877883</v>
      </c>
    </row>
    <row r="50" spans="1:11" x14ac:dyDescent="0.25">
      <c r="A50" s="49">
        <f>'A) Base RI'!A52</f>
        <v>5482</v>
      </c>
      <c r="B50" s="291" t="str">
        <f>'A) Base RI'!B52</f>
        <v>Eclépens</v>
      </c>
      <c r="C50" s="95">
        <f>'B) D RI'!U52</f>
        <v>60387.408967257215</v>
      </c>
      <c r="D50" s="416">
        <f>'E) Part. coh. soc.'!G56/C50</f>
        <v>18.535277981579771</v>
      </c>
      <c r="E50" s="136">
        <f>'H) Péréquation directe'!I61/C50</f>
        <v>16.275178858579405</v>
      </c>
      <c r="F50" s="110">
        <f>+'I) Dépenses thématiques'!O50/'J) Plafonnement effort'!C50</f>
        <v>-0.94620412597073122</v>
      </c>
      <c r="G50" s="136">
        <f t="shared" si="1"/>
        <v>33.864252714188446</v>
      </c>
      <c r="H50" s="417">
        <f>G50-'C) Prél. conj.'!I50</f>
        <v>31.297936446437525</v>
      </c>
      <c r="I50" s="421">
        <f t="shared" si="2"/>
        <v>0</v>
      </c>
      <c r="J50" s="55">
        <f t="shared" si="3"/>
        <v>0</v>
      </c>
      <c r="K50" s="417">
        <f t="shared" si="4"/>
        <v>31.297936446437525</v>
      </c>
    </row>
    <row r="51" spans="1:11" x14ac:dyDescent="0.25">
      <c r="A51" s="49">
        <f>'A) Base RI'!A53</f>
        <v>5483</v>
      </c>
      <c r="B51" s="291" t="str">
        <f>'A) Base RI'!B53</f>
        <v>Ferreyres</v>
      </c>
      <c r="C51" s="95">
        <f>'B) D RI'!U53</f>
        <v>11155.704681224479</v>
      </c>
      <c r="D51" s="416">
        <f>'E) Part. coh. soc.'!G57/C51</f>
        <v>18.015311743939353</v>
      </c>
      <c r="E51" s="136">
        <f>'H) Péréquation directe'!I62/C51</f>
        <v>8.7582298687241131</v>
      </c>
      <c r="F51" s="110">
        <f>+'I) Dépenses thématiques'!O51/'J) Plafonnement effort'!C51</f>
        <v>-0.1733358816283421</v>
      </c>
      <c r="G51" s="136">
        <f t="shared" si="1"/>
        <v>26.600205731035121</v>
      </c>
      <c r="H51" s="417">
        <f>G51-'C) Prél. conj.'!I51</f>
        <v>23.917842684049596</v>
      </c>
      <c r="I51" s="421">
        <f t="shared" si="2"/>
        <v>0</v>
      </c>
      <c r="J51" s="55">
        <f t="shared" si="3"/>
        <v>0</v>
      </c>
      <c r="K51" s="417">
        <f t="shared" si="4"/>
        <v>23.917842684049596</v>
      </c>
    </row>
    <row r="52" spans="1:11" x14ac:dyDescent="0.25">
      <c r="A52" s="49">
        <f>'A) Base RI'!A54</f>
        <v>5484</v>
      </c>
      <c r="B52" s="291" t="str">
        <f>'A) Base RI'!B54</f>
        <v>Gollion</v>
      </c>
      <c r="C52" s="95">
        <f>'B) D RI'!U54</f>
        <v>33762.861845883657</v>
      </c>
      <c r="D52" s="416">
        <f>'E) Part. coh. soc.'!G58/C52</f>
        <v>19.493095743763625</v>
      </c>
      <c r="E52" s="136">
        <f>'H) Péréquation directe'!I63/C52</f>
        <v>10.114926694751949</v>
      </c>
      <c r="F52" s="110">
        <f>+'I) Dépenses thématiques'!O52/'J) Plafonnement effort'!C52</f>
        <v>-3.4371289671590968</v>
      </c>
      <c r="G52" s="136">
        <f t="shared" si="1"/>
        <v>26.170893471356479</v>
      </c>
      <c r="H52" s="417">
        <f>G52-'C) Prél. conj.'!I52</f>
        <v>22.010746424546682</v>
      </c>
      <c r="I52" s="421">
        <f t="shared" si="2"/>
        <v>0</v>
      </c>
      <c r="J52" s="55">
        <f t="shared" si="3"/>
        <v>0</v>
      </c>
      <c r="K52" s="417">
        <f t="shared" si="4"/>
        <v>22.010746424546682</v>
      </c>
    </row>
    <row r="53" spans="1:11" x14ac:dyDescent="0.25">
      <c r="A53" s="49">
        <f>'A) Base RI'!A55</f>
        <v>5485</v>
      </c>
      <c r="B53" s="291" t="str">
        <f>'A) Base RI'!B55</f>
        <v>Grancy</v>
      </c>
      <c r="C53" s="95">
        <f>'B) D RI'!U55</f>
        <v>16914.094370194773</v>
      </c>
      <c r="D53" s="416">
        <f>'E) Part. coh. soc.'!G59/C53</f>
        <v>17.967494716664067</v>
      </c>
      <c r="E53" s="136">
        <f>'H) Péréquation directe'!I64/C53</f>
        <v>15.157984727020978</v>
      </c>
      <c r="F53" s="110">
        <f>+'I) Dépenses thématiques'!O53/'J) Plafonnement effort'!C53</f>
        <v>-1.6559136765717926</v>
      </c>
      <c r="G53" s="136">
        <f t="shared" si="1"/>
        <v>31.469565767113252</v>
      </c>
      <c r="H53" s="417">
        <f>G53-'C) Prél. conj.'!I53</f>
        <v>28.835019747403013</v>
      </c>
      <c r="I53" s="421">
        <f t="shared" si="2"/>
        <v>0</v>
      </c>
      <c r="J53" s="55">
        <f t="shared" si="3"/>
        <v>0</v>
      </c>
      <c r="K53" s="417">
        <f t="shared" si="4"/>
        <v>28.835019747403013</v>
      </c>
    </row>
    <row r="54" spans="1:11" x14ac:dyDescent="0.25">
      <c r="A54" s="49">
        <f>'A) Base RI'!A56</f>
        <v>5486</v>
      </c>
      <c r="B54" s="291" t="str">
        <f>'A) Base RI'!B56</f>
        <v>L'Isle</v>
      </c>
      <c r="C54" s="95">
        <f>'B) D RI'!U56</f>
        <v>35759.534807519231</v>
      </c>
      <c r="D54" s="416">
        <f>'E) Part. coh. soc.'!G60/C54</f>
        <v>24.274076195423678</v>
      </c>
      <c r="E54" s="136">
        <f>'H) Péréquation directe'!I65/C54</f>
        <v>9.173461567991831</v>
      </c>
      <c r="F54" s="110">
        <f>+'I) Dépenses thématiques'!O54/'J) Plafonnement effort'!C54</f>
        <v>-7.7611334611770157</v>
      </c>
      <c r="G54" s="136">
        <f t="shared" si="1"/>
        <v>25.686404302238493</v>
      </c>
      <c r="H54" s="417">
        <f>G54-'C) Prél. conj.'!I54</f>
        <v>16.74527680376864</v>
      </c>
      <c r="I54" s="421">
        <f t="shared" si="2"/>
        <v>0</v>
      </c>
      <c r="J54" s="55">
        <f t="shared" si="3"/>
        <v>0</v>
      </c>
      <c r="K54" s="417">
        <f t="shared" si="4"/>
        <v>16.74527680376864</v>
      </c>
    </row>
    <row r="55" spans="1:11" x14ac:dyDescent="0.25">
      <c r="A55" s="49">
        <f>'A) Base RI'!A57</f>
        <v>5487</v>
      </c>
      <c r="B55" s="291" t="str">
        <f>'A) Base RI'!B57</f>
        <v>Lussery-Villars</v>
      </c>
      <c r="C55" s="95">
        <f>'B) D RI'!U57</f>
        <v>15494.848822945682</v>
      </c>
      <c r="D55" s="416">
        <f>'E) Part. coh. soc.'!G61/C55</f>
        <v>17.598658120850349</v>
      </c>
      <c r="E55" s="136">
        <f>'H) Péréquation directe'!I66/C55</f>
        <v>7.8727335419804838</v>
      </c>
      <c r="F55" s="110">
        <f>+'I) Dépenses thématiques'!O55/'J) Plafonnement effort'!C55</f>
        <v>-2.5470696747877781</v>
      </c>
      <c r="G55" s="136">
        <f t="shared" si="1"/>
        <v>22.924321988043054</v>
      </c>
      <c r="H55" s="417">
        <f>G55-'C) Prél. conj.'!I55</f>
        <v>20.65861256414653</v>
      </c>
      <c r="I55" s="421">
        <f t="shared" si="2"/>
        <v>0</v>
      </c>
      <c r="J55" s="55">
        <f t="shared" si="3"/>
        <v>0</v>
      </c>
      <c r="K55" s="417">
        <f t="shared" si="4"/>
        <v>20.65861256414653</v>
      </c>
    </row>
    <row r="56" spans="1:11" x14ac:dyDescent="0.25">
      <c r="A56" s="49">
        <f>'A) Base RI'!A58</f>
        <v>5488</v>
      </c>
      <c r="B56" s="291" t="str">
        <f>'A) Base RI'!B58</f>
        <v>Mauraz</v>
      </c>
      <c r="C56" s="95">
        <f>'B) D RI'!U58</f>
        <v>1750.6115384615387</v>
      </c>
      <c r="D56" s="416">
        <f>'E) Part. coh. soc.'!G62/C56</f>
        <v>15.332948696953828</v>
      </c>
      <c r="E56" s="136">
        <f>'H) Péréquation directe'!I67/C56</f>
        <v>3.6007309398529297</v>
      </c>
      <c r="F56" s="110">
        <f>+'I) Dépenses thématiques'!O56/'J) Plafonnement effort'!C56</f>
        <v>0</v>
      </c>
      <c r="G56" s="136">
        <f t="shared" si="1"/>
        <v>18.933679636806758</v>
      </c>
      <c r="H56" s="417">
        <f>G56-'C) Prél. conj.'!I56</f>
        <v>18.933679636806758</v>
      </c>
      <c r="I56" s="421">
        <f t="shared" si="2"/>
        <v>0</v>
      </c>
      <c r="J56" s="55">
        <f t="shared" si="3"/>
        <v>0</v>
      </c>
      <c r="K56" s="417">
        <f t="shared" si="4"/>
        <v>18.933679636806758</v>
      </c>
    </row>
    <row r="57" spans="1:11" x14ac:dyDescent="0.25">
      <c r="A57" s="49">
        <f>'A) Base RI'!A59</f>
        <v>5489</v>
      </c>
      <c r="B57" s="291" t="str">
        <f>'A) Base RI'!B59</f>
        <v>Mex</v>
      </c>
      <c r="C57" s="95">
        <f>'B) D RI'!U59</f>
        <v>63473.912067537727</v>
      </c>
      <c r="D57" s="416">
        <f>'E) Part. coh. soc.'!G63/C57</f>
        <v>26.067257347472349</v>
      </c>
      <c r="E57" s="136">
        <f>'H) Péréquation directe'!I68/C57</f>
        <v>18.227644222662168</v>
      </c>
      <c r="F57" s="110">
        <f>+'I) Dépenses thématiques'!O57/'J) Plafonnement effort'!C57</f>
        <v>0</v>
      </c>
      <c r="G57" s="136">
        <f t="shared" si="1"/>
        <v>44.294901570134513</v>
      </c>
      <c r="H57" s="417">
        <f>G57-'C) Prél. conj.'!I57</f>
        <v>43.042262140641029</v>
      </c>
      <c r="I57" s="421">
        <f t="shared" si="2"/>
        <v>0</v>
      </c>
      <c r="J57" s="55">
        <f t="shared" si="3"/>
        <v>0</v>
      </c>
      <c r="K57" s="417">
        <f t="shared" si="4"/>
        <v>43.042262140641029</v>
      </c>
    </row>
    <row r="58" spans="1:11" x14ac:dyDescent="0.25">
      <c r="A58" s="49">
        <f>'A) Base RI'!A60</f>
        <v>5490</v>
      </c>
      <c r="B58" s="291" t="str">
        <f>'A) Base RI'!B60</f>
        <v>Moiry</v>
      </c>
      <c r="C58" s="95">
        <f>'B) D RI'!U60</f>
        <v>8338.3158944329061</v>
      </c>
      <c r="D58" s="416">
        <f>'E) Part. coh. soc.'!G64/C58</f>
        <v>16.443625615081054</v>
      </c>
      <c r="E58" s="136">
        <f>'H) Péréquation directe'!I69/C58</f>
        <v>-2.3014284844752382</v>
      </c>
      <c r="F58" s="110">
        <f>+'I) Dépenses thématiques'!O58/'J) Plafonnement effort'!C58</f>
        <v>-7.3674422605594083</v>
      </c>
      <c r="G58" s="136">
        <f t="shared" si="1"/>
        <v>6.7747548700464071</v>
      </c>
      <c r="H58" s="417">
        <f>G58-'C) Prél. conj.'!I58</f>
        <v>5.6640779519191815</v>
      </c>
      <c r="I58" s="421">
        <f t="shared" si="2"/>
        <v>0</v>
      </c>
      <c r="J58" s="55">
        <f t="shared" si="3"/>
        <v>0</v>
      </c>
      <c r="K58" s="417">
        <f t="shared" si="4"/>
        <v>5.6640779519191815</v>
      </c>
    </row>
    <row r="59" spans="1:11" x14ac:dyDescent="0.25">
      <c r="A59" s="49">
        <f>'A) Base RI'!A61</f>
        <v>5491</v>
      </c>
      <c r="B59" s="291" t="str">
        <f>'A) Base RI'!B61</f>
        <v>Mont-la-Ville</v>
      </c>
      <c r="C59" s="95">
        <f>'B) D RI'!U61</f>
        <v>14141.684131434778</v>
      </c>
      <c r="D59" s="416">
        <f>'E) Part. coh. soc.'!G65/C59</f>
        <v>16.275136690700805</v>
      </c>
      <c r="E59" s="136">
        <f>'H) Péréquation directe'!I70/C59</f>
        <v>2.7485905696257436</v>
      </c>
      <c r="F59" s="110">
        <f>+'I) Dépenses thématiques'!O59/'J) Plafonnement effort'!C59</f>
        <v>-6.6138846041232098</v>
      </c>
      <c r="G59" s="136">
        <f t="shared" si="1"/>
        <v>12.409842656203338</v>
      </c>
      <c r="H59" s="417">
        <f>G59-'C) Prél. conj.'!I59</f>
        <v>11.467654662456361</v>
      </c>
      <c r="I59" s="421">
        <f t="shared" si="2"/>
        <v>0</v>
      </c>
      <c r="J59" s="55">
        <f t="shared" si="3"/>
        <v>0</v>
      </c>
      <c r="K59" s="417">
        <f t="shared" si="4"/>
        <v>11.467654662456361</v>
      </c>
    </row>
    <row r="60" spans="1:11" x14ac:dyDescent="0.25">
      <c r="A60" s="49">
        <f>'A) Base RI'!A62</f>
        <v>5492</v>
      </c>
      <c r="B60" s="291" t="str">
        <f>'A) Base RI'!B62</f>
        <v>Montricher</v>
      </c>
      <c r="C60" s="95">
        <f>'B) D RI'!U62</f>
        <v>189730.40192708332</v>
      </c>
      <c r="D60" s="416">
        <f>'E) Part. coh. soc.'!G66/C60</f>
        <v>39.581612157100444</v>
      </c>
      <c r="E60" s="136">
        <f>'H) Péréquation directe'!I71/C60</f>
        <v>19.01041702628747</v>
      </c>
      <c r="F60" s="110">
        <f>+'I) Dépenses thématiques'!O60/'J) Plafonnement effort'!C60</f>
        <v>-0.73111286834177658</v>
      </c>
      <c r="G60" s="136">
        <f t="shared" si="1"/>
        <v>57.86091631504614</v>
      </c>
      <c r="H60" s="417">
        <f>G60-'C) Prél. conj.'!I60</f>
        <v>57.502661658387993</v>
      </c>
      <c r="I60" s="421">
        <f t="shared" si="2"/>
        <v>-9.5026616583879928</v>
      </c>
      <c r="J60" s="55">
        <f t="shared" si="3"/>
        <v>-1802943.8158230381</v>
      </c>
      <c r="K60" s="417">
        <f t="shared" si="4"/>
        <v>48</v>
      </c>
    </row>
    <row r="61" spans="1:11" x14ac:dyDescent="0.25">
      <c r="A61" s="49">
        <f>'A) Base RI'!A63</f>
        <v>5493</v>
      </c>
      <c r="B61" s="291" t="str">
        <f>'A) Base RI'!B63</f>
        <v>Orny</v>
      </c>
      <c r="C61" s="95">
        <f>'B) D RI'!U63</f>
        <v>10671.007215907817</v>
      </c>
      <c r="D61" s="416">
        <f>'E) Part. coh. soc.'!G67/C61</f>
        <v>23.335092568874686</v>
      </c>
      <c r="E61" s="136">
        <f>'H) Péréquation directe'!I72/C61</f>
        <v>-1.9401921559496971</v>
      </c>
      <c r="F61" s="110">
        <f>+'I) Dépenses thématiques'!O61/'J) Plafonnement effort'!C61</f>
        <v>0</v>
      </c>
      <c r="G61" s="136">
        <f t="shared" si="1"/>
        <v>21.39490041292499</v>
      </c>
      <c r="H61" s="417">
        <f>G61-'C) Prél. conj.'!I61</f>
        <v>13.392756541004132</v>
      </c>
      <c r="I61" s="421">
        <f t="shared" si="2"/>
        <v>0</v>
      </c>
      <c r="J61" s="55">
        <f t="shared" si="3"/>
        <v>0</v>
      </c>
      <c r="K61" s="417">
        <f t="shared" si="4"/>
        <v>13.392756541004132</v>
      </c>
    </row>
    <row r="62" spans="1:11" x14ac:dyDescent="0.25">
      <c r="A62" s="49">
        <f>'A) Base RI'!A64</f>
        <v>5494</v>
      </c>
      <c r="B62" s="291" t="str">
        <f>'A) Base RI'!B64</f>
        <v>Pampigny</v>
      </c>
      <c r="C62" s="95">
        <f>'B) D RI'!U64</f>
        <v>36967.725840132596</v>
      </c>
      <c r="D62" s="416">
        <f>'E) Part. coh. soc.'!G68/C62</f>
        <v>18.006646571349382</v>
      </c>
      <c r="E62" s="136">
        <f>'H) Péréquation directe'!I73/C62</f>
        <v>6.9970639862111526</v>
      </c>
      <c r="F62" s="110">
        <f>+'I) Dépenses thématiques'!O62/'J) Plafonnement effort'!C62</f>
        <v>-6.152471262266106</v>
      </c>
      <c r="G62" s="136">
        <f t="shared" si="1"/>
        <v>18.851239295294427</v>
      </c>
      <c r="H62" s="417">
        <f>G62-'C) Prél. conj.'!I62</f>
        <v>16.177541420898876</v>
      </c>
      <c r="I62" s="421">
        <f t="shared" si="2"/>
        <v>0</v>
      </c>
      <c r="J62" s="55">
        <f t="shared" si="3"/>
        <v>0</v>
      </c>
      <c r="K62" s="417">
        <f t="shared" si="4"/>
        <v>16.177541420898876</v>
      </c>
    </row>
    <row r="63" spans="1:11" x14ac:dyDescent="0.25">
      <c r="A63" s="49">
        <f>'A) Base RI'!A65</f>
        <v>5495</v>
      </c>
      <c r="B63" s="291" t="str">
        <f>'A) Base RI'!B65</f>
        <v>Penthalaz</v>
      </c>
      <c r="C63" s="95">
        <f>'B) D RI'!U65</f>
        <v>95087.015809528908</v>
      </c>
      <c r="D63" s="416">
        <f>'E) Part. coh. soc.'!G69/C63</f>
        <v>17.627622350789689</v>
      </c>
      <c r="E63" s="136">
        <f>'H) Péréquation directe'!I74/C63</f>
        <v>-2.8755343084036094</v>
      </c>
      <c r="F63" s="110">
        <f>+'I) Dépenses thématiques'!O63/'J) Plafonnement effort'!C63</f>
        <v>-5.868250010352928</v>
      </c>
      <c r="G63" s="136">
        <f t="shared" si="1"/>
        <v>8.8838380320331538</v>
      </c>
      <c r="H63" s="417">
        <f>G63-'C) Prél. conj.'!I63</f>
        <v>6.5891643781972924</v>
      </c>
      <c r="I63" s="421">
        <f t="shared" si="2"/>
        <v>0</v>
      </c>
      <c r="J63" s="55">
        <f t="shared" si="3"/>
        <v>0</v>
      </c>
      <c r="K63" s="417">
        <f t="shared" si="4"/>
        <v>6.5891643781972924</v>
      </c>
    </row>
    <row r="64" spans="1:11" x14ac:dyDescent="0.25">
      <c r="A64" s="49">
        <f>'A) Base RI'!A66</f>
        <v>5496</v>
      </c>
      <c r="B64" s="291" t="str">
        <f>'A) Base RI'!B66</f>
        <v>Penthaz</v>
      </c>
      <c r="C64" s="95">
        <f>'B) D RI'!U66</f>
        <v>59337.456966456659</v>
      </c>
      <c r="D64" s="416">
        <f>'E) Part. coh. soc.'!G70/C64</f>
        <v>18.996326790876559</v>
      </c>
      <c r="E64" s="136">
        <f>'H) Péréquation directe'!I75/C64</f>
        <v>5.7729711258474925</v>
      </c>
      <c r="F64" s="110">
        <f>+'I) Dépenses thématiques'!O64/'J) Plafonnement effort'!C64</f>
        <v>-4.2342292668818358</v>
      </c>
      <c r="G64" s="136">
        <f t="shared" si="1"/>
        <v>20.535068649842213</v>
      </c>
      <c r="H64" s="417">
        <f>G64-'C) Prél. conj.'!I64</f>
        <v>16.871690555919482</v>
      </c>
      <c r="I64" s="421">
        <f t="shared" si="2"/>
        <v>0</v>
      </c>
      <c r="J64" s="55">
        <f t="shared" si="3"/>
        <v>0</v>
      </c>
      <c r="K64" s="417">
        <f t="shared" si="4"/>
        <v>16.871690555919482</v>
      </c>
    </row>
    <row r="65" spans="1:11" x14ac:dyDescent="0.25">
      <c r="A65" s="49">
        <f>'A) Base RI'!A67</f>
        <v>5497</v>
      </c>
      <c r="B65" s="291" t="str">
        <f>'A) Base RI'!B67</f>
        <v>Pompaples</v>
      </c>
      <c r="C65" s="95">
        <f>'B) D RI'!U67</f>
        <v>22672.594290282061</v>
      </c>
      <c r="D65" s="416">
        <f>'E) Part. coh. soc.'!G71/C65</f>
        <v>20.63971392459127</v>
      </c>
      <c r="E65" s="136">
        <f>'H) Péréquation directe'!I76/C65</f>
        <v>2.4366105136238119</v>
      </c>
      <c r="F65" s="110">
        <f>+'I) Dépenses thématiques'!O65/'J) Plafonnement effort'!C65</f>
        <v>-7.3711687708836244</v>
      </c>
      <c r="G65" s="136">
        <f t="shared" si="1"/>
        <v>15.705155667331457</v>
      </c>
      <c r="H65" s="417">
        <f>G65-'C) Prél. conj.'!I65</f>
        <v>10.398390439694017</v>
      </c>
      <c r="I65" s="421">
        <f t="shared" si="2"/>
        <v>0</v>
      </c>
      <c r="J65" s="55">
        <f t="shared" si="3"/>
        <v>0</v>
      </c>
      <c r="K65" s="417">
        <f t="shared" si="4"/>
        <v>10.398390439694017</v>
      </c>
    </row>
    <row r="66" spans="1:11" x14ac:dyDescent="0.25">
      <c r="A66" s="49">
        <f>'A) Base RI'!A68</f>
        <v>5498</v>
      </c>
      <c r="B66" s="291" t="str">
        <f>'A) Base RI'!B68</f>
        <v>La Sarraz</v>
      </c>
      <c r="C66" s="95">
        <f>'B) D RI'!U68</f>
        <v>77413.833852725787</v>
      </c>
      <c r="D66" s="416">
        <f>'E) Part. coh. soc.'!G72/C66</f>
        <v>18.976569429349169</v>
      </c>
      <c r="E66" s="136">
        <f>'H) Péréquation directe'!I77/C66</f>
        <v>0.62994167384528976</v>
      </c>
      <c r="F66" s="110">
        <f>+'I) Dépenses thématiques'!O66/'J) Plafonnement effort'!C66</f>
        <v>-7.1024081950215905</v>
      </c>
      <c r="G66" s="136">
        <f t="shared" si="1"/>
        <v>12.50410290817287</v>
      </c>
      <c r="H66" s="417">
        <f>G66-'C) Prél. conj.'!I66</f>
        <v>8.8604821757775287</v>
      </c>
      <c r="I66" s="421">
        <f t="shared" si="2"/>
        <v>0</v>
      </c>
      <c r="J66" s="55">
        <f t="shared" si="3"/>
        <v>0</v>
      </c>
      <c r="K66" s="417">
        <f t="shared" si="4"/>
        <v>8.8604821757775287</v>
      </c>
    </row>
    <row r="67" spans="1:11" x14ac:dyDescent="0.25">
      <c r="A67" s="49">
        <f>'A) Base RI'!A69</f>
        <v>5499</v>
      </c>
      <c r="B67" s="291" t="str">
        <f>'A) Base RI'!B69</f>
        <v>Senarclens</v>
      </c>
      <c r="C67" s="95">
        <f>'B) D RI'!U69</f>
        <v>19511.48949637344</v>
      </c>
      <c r="D67" s="416">
        <f>'E) Part. coh. soc.'!G73/C67</f>
        <v>18.414557869394283</v>
      </c>
      <c r="E67" s="136">
        <f>'H) Péréquation directe'!I78/C67</f>
        <v>14.269378464897621</v>
      </c>
      <c r="F67" s="110">
        <f>+'I) Dépenses thématiques'!O67/'J) Plafonnement effort'!C67</f>
        <v>0</v>
      </c>
      <c r="G67" s="136">
        <f t="shared" si="1"/>
        <v>32.6839363342919</v>
      </c>
      <c r="H67" s="417">
        <f>G67-'C) Prél. conj.'!I67</f>
        <v>29.602327161851445</v>
      </c>
      <c r="I67" s="421">
        <f t="shared" si="2"/>
        <v>0</v>
      </c>
      <c r="J67" s="55">
        <f t="shared" si="3"/>
        <v>0</v>
      </c>
      <c r="K67" s="417">
        <f t="shared" si="4"/>
        <v>29.602327161851445</v>
      </c>
    </row>
    <row r="68" spans="1:11" x14ac:dyDescent="0.25">
      <c r="A68" s="49">
        <f>'A) Base RI'!A70</f>
        <v>5500</v>
      </c>
      <c r="B68" s="291" t="str">
        <f>'A) Base RI'!B70</f>
        <v>Sévery</v>
      </c>
      <c r="C68" s="95">
        <f>'B) D RI'!U70</f>
        <v>6989.4068888888896</v>
      </c>
      <c r="D68" s="416">
        <f>'E) Part. coh. soc.'!G74/C68</f>
        <v>17.607480034551667</v>
      </c>
      <c r="E68" s="136">
        <f>'H) Péréquation directe'!I79/C68</f>
        <v>4.5973063573682031</v>
      </c>
      <c r="F68" s="110">
        <f>+'I) Dépenses thématiques'!O68/'J) Plafonnement effort'!C68</f>
        <v>-2.4740749379196032</v>
      </c>
      <c r="G68" s="136">
        <f t="shared" si="1"/>
        <v>19.730711454000268</v>
      </c>
      <c r="H68" s="417">
        <f>G68-'C) Prél. conj.'!I68</f>
        <v>17.456180116402429</v>
      </c>
      <c r="I68" s="421">
        <f t="shared" si="2"/>
        <v>0</v>
      </c>
      <c r="J68" s="55">
        <f t="shared" si="3"/>
        <v>0</v>
      </c>
      <c r="K68" s="417">
        <f t="shared" si="4"/>
        <v>17.456180116402429</v>
      </c>
    </row>
    <row r="69" spans="1:11" x14ac:dyDescent="0.25">
      <c r="A69" s="49">
        <f>'A) Base RI'!A71</f>
        <v>5501</v>
      </c>
      <c r="B69" s="291" t="str">
        <f>'A) Base RI'!B71</f>
        <v>Sullens</v>
      </c>
      <c r="C69" s="95">
        <f>'B) D RI'!U71</f>
        <v>40420.112388899281</v>
      </c>
      <c r="D69" s="416">
        <f>'E) Part. coh. soc.'!G75/C69</f>
        <v>17.569141637991354</v>
      </c>
      <c r="E69" s="136">
        <f>'H) Péréquation directe'!I80/C69</f>
        <v>12.794377808837568</v>
      </c>
      <c r="F69" s="110">
        <f>+'I) Dépenses thématiques'!O69/'J) Plafonnement effort'!C69</f>
        <v>-0.15067699412614552</v>
      </c>
      <c r="G69" s="136">
        <f t="shared" ref="G69:G132" si="5">SUM(D69:F69)</f>
        <v>30.21284245270278</v>
      </c>
      <c r="H69" s="417">
        <f>G69-'C) Prél. conj.'!I69</f>
        <v>27.976649511665254</v>
      </c>
      <c r="I69" s="421">
        <f t="shared" ref="I69:I132" si="6">IF(H69&gt;I$4,I$4-H69,0)</f>
        <v>0</v>
      </c>
      <c r="J69" s="55">
        <f t="shared" ref="J69:J132" si="7">I69*C69</f>
        <v>0</v>
      </c>
      <c r="K69" s="417">
        <f t="shared" ref="K69:K132" si="8">H69+I69</f>
        <v>27.976649511665254</v>
      </c>
    </row>
    <row r="70" spans="1:11" x14ac:dyDescent="0.25">
      <c r="A70" s="49">
        <f>'A) Base RI'!A72</f>
        <v>5503</v>
      </c>
      <c r="B70" s="291" t="str">
        <f>'A) Base RI'!B72</f>
        <v>Vufflens-la-Ville</v>
      </c>
      <c r="C70" s="95">
        <f>'B) D RI'!U72</f>
        <v>89557.096460669622</v>
      </c>
      <c r="D70" s="416">
        <f>'E) Part. coh. soc.'!G76/C70</f>
        <v>23.495239187178019</v>
      </c>
      <c r="E70" s="136">
        <f>'H) Péréquation directe'!I81/C70</f>
        <v>17.087249856950283</v>
      </c>
      <c r="F70" s="110">
        <f>+'I) Dépenses thématiques'!O70/'J) Plafonnement effort'!C70</f>
        <v>0</v>
      </c>
      <c r="G70" s="136">
        <f t="shared" si="5"/>
        <v>40.582489044128302</v>
      </c>
      <c r="H70" s="417">
        <f>G70-'C) Prél. conj.'!I70</f>
        <v>38.27397254269399</v>
      </c>
      <c r="I70" s="421">
        <f t="shared" si="6"/>
        <v>0</v>
      </c>
      <c r="J70" s="55">
        <f t="shared" si="7"/>
        <v>0</v>
      </c>
      <c r="K70" s="417">
        <f t="shared" si="8"/>
        <v>38.27397254269399</v>
      </c>
    </row>
    <row r="71" spans="1:11" x14ac:dyDescent="0.25">
      <c r="A71" s="49">
        <f>'A) Base RI'!A73</f>
        <v>5511</v>
      </c>
      <c r="B71" s="291" t="str">
        <f>'A) Base RI'!B73</f>
        <v>Assens</v>
      </c>
      <c r="C71" s="95">
        <f>'B) D RI'!U73</f>
        <v>50056.955709388079</v>
      </c>
      <c r="D71" s="416">
        <f>'E) Part. coh. soc.'!G77/C71</f>
        <v>17.979606127768129</v>
      </c>
      <c r="E71" s="136">
        <f>'H) Péréquation directe'!I82/C71</f>
        <v>16.618993584932664</v>
      </c>
      <c r="F71" s="110">
        <f>+'I) Dépenses thématiques'!O71/'J) Plafonnement effort'!C71</f>
        <v>-4.1274565167703745</v>
      </c>
      <c r="G71" s="136">
        <f t="shared" si="5"/>
        <v>30.471143195930416</v>
      </c>
      <c r="H71" s="417">
        <f>G71-'C) Prél. conj.'!I71</f>
        <v>28.006929416807893</v>
      </c>
      <c r="I71" s="421">
        <f t="shared" si="6"/>
        <v>0</v>
      </c>
      <c r="J71" s="55">
        <f t="shared" si="7"/>
        <v>0</v>
      </c>
      <c r="K71" s="417">
        <f t="shared" si="8"/>
        <v>28.006929416807893</v>
      </c>
    </row>
    <row r="72" spans="1:11" x14ac:dyDescent="0.25">
      <c r="A72" s="49">
        <f>'A) Base RI'!A74</f>
        <v>5512</v>
      </c>
      <c r="B72" s="291" t="str">
        <f>'A) Base RI'!B74</f>
        <v>Bercher</v>
      </c>
      <c r="C72" s="95">
        <f>'B) D RI'!U74</f>
        <v>40014.173696623147</v>
      </c>
      <c r="D72" s="416">
        <f>'E) Part. coh. soc.'!G78/C72</f>
        <v>17.528552576371542</v>
      </c>
      <c r="E72" s="136">
        <f>'H) Péréquation directe'!I83/C72</f>
        <v>2.4292620410444203</v>
      </c>
      <c r="F72" s="110">
        <f>+'I) Dépenses thématiques'!O72/'J) Plafonnement effort'!C72</f>
        <v>-5.698276843610425</v>
      </c>
      <c r="G72" s="136">
        <f t="shared" si="5"/>
        <v>14.259537773805537</v>
      </c>
      <c r="H72" s="417">
        <f>G72-'C) Prél. conj.'!I72</f>
        <v>12.063933894387823</v>
      </c>
      <c r="I72" s="421">
        <f t="shared" si="6"/>
        <v>0</v>
      </c>
      <c r="J72" s="55">
        <f t="shared" si="7"/>
        <v>0</v>
      </c>
      <c r="K72" s="417">
        <f t="shared" si="8"/>
        <v>12.063933894387823</v>
      </c>
    </row>
    <row r="73" spans="1:11" x14ac:dyDescent="0.25">
      <c r="A73" s="49">
        <f>'A) Base RI'!A75</f>
        <v>5513</v>
      </c>
      <c r="B73" s="291" t="str">
        <f>'A) Base RI'!B75</f>
        <v>Bioley-Orjulaz</v>
      </c>
      <c r="C73" s="95">
        <f>'B) D RI'!U75</f>
        <v>21084.156158347432</v>
      </c>
      <c r="D73" s="416">
        <f>'E) Part. coh. soc.'!G79/C73</f>
        <v>18.343191531589266</v>
      </c>
      <c r="E73" s="136">
        <f>'H) Péréquation directe'!I84/C73</f>
        <v>14.04868161630667</v>
      </c>
      <c r="F73" s="110">
        <f>+'I) Dépenses thématiques'!O73/'J) Plafonnement effort'!C73</f>
        <v>0</v>
      </c>
      <c r="G73" s="136">
        <f t="shared" si="5"/>
        <v>32.391873147895936</v>
      </c>
      <c r="H73" s="417">
        <f>G73-'C) Prél. conj.'!I73</f>
        <v>29.381630313260498</v>
      </c>
      <c r="I73" s="421">
        <f t="shared" si="6"/>
        <v>0</v>
      </c>
      <c r="J73" s="55">
        <f t="shared" si="7"/>
        <v>0</v>
      </c>
      <c r="K73" s="417">
        <f t="shared" si="8"/>
        <v>29.381630313260498</v>
      </c>
    </row>
    <row r="74" spans="1:11" x14ac:dyDescent="0.25">
      <c r="A74" s="49">
        <f>'A) Base RI'!A76</f>
        <v>5514</v>
      </c>
      <c r="B74" s="291" t="str">
        <f>'A) Base RI'!B76</f>
        <v>Bottens</v>
      </c>
      <c r="C74" s="95">
        <f>'B) D RI'!U76</f>
        <v>40808.475827283124</v>
      </c>
      <c r="D74" s="416">
        <f>'E) Part. coh. soc.'!G80/C74</f>
        <v>16.883794782650764</v>
      </c>
      <c r="E74" s="136">
        <f>'H) Péréquation directe'!I85/C74</f>
        <v>3.9548404516406959</v>
      </c>
      <c r="F74" s="110">
        <f>+'I) Dépenses thématiques'!O74/'J) Plafonnement effort'!C74</f>
        <v>0</v>
      </c>
      <c r="G74" s="136">
        <f t="shared" si="5"/>
        <v>20.838635234291459</v>
      </c>
      <c r="H74" s="417">
        <f>G74-'C) Prél. conj.'!I74</f>
        <v>19.287789148594523</v>
      </c>
      <c r="I74" s="421">
        <f t="shared" si="6"/>
        <v>0</v>
      </c>
      <c r="J74" s="55">
        <f t="shared" si="7"/>
        <v>0</v>
      </c>
      <c r="K74" s="417">
        <f t="shared" si="8"/>
        <v>19.287789148594523</v>
      </c>
    </row>
    <row r="75" spans="1:11" x14ac:dyDescent="0.25">
      <c r="A75" s="49">
        <f>'A) Base RI'!A77</f>
        <v>5515</v>
      </c>
      <c r="B75" s="291" t="str">
        <f>'A) Base RI'!B77</f>
        <v>Bretigny-sur-Morrens</v>
      </c>
      <c r="C75" s="95">
        <f>'B) D RI'!U77</f>
        <v>28817.325490208266</v>
      </c>
      <c r="D75" s="416">
        <f>'E) Part. coh. soc.'!G81/C75</f>
        <v>18.670626582178869</v>
      </c>
      <c r="E75" s="136">
        <f>'H) Péréquation directe'!I86/C75</f>
        <v>6.1964099174956138</v>
      </c>
      <c r="F75" s="110">
        <f>+'I) Dépenses thématiques'!O75/'J) Plafonnement effort'!C75</f>
        <v>-1.9845367767100468</v>
      </c>
      <c r="G75" s="136">
        <f t="shared" si="5"/>
        <v>22.882499722964436</v>
      </c>
      <c r="H75" s="417">
        <f>G75-'C) Prél. conj.'!I75</f>
        <v>19.544821837739395</v>
      </c>
      <c r="I75" s="421">
        <f t="shared" si="6"/>
        <v>0</v>
      </c>
      <c r="J75" s="55">
        <f t="shared" si="7"/>
        <v>0</v>
      </c>
      <c r="K75" s="417">
        <f t="shared" si="8"/>
        <v>19.544821837739395</v>
      </c>
    </row>
    <row r="76" spans="1:11" x14ac:dyDescent="0.25">
      <c r="A76" s="49">
        <f>'A) Base RI'!A78</f>
        <v>5516</v>
      </c>
      <c r="B76" s="291" t="str">
        <f>'A) Base RI'!B78</f>
        <v>Cugy</v>
      </c>
      <c r="C76" s="95">
        <f>'B) D RI'!U78</f>
        <v>110914.83940385764</v>
      </c>
      <c r="D76" s="416">
        <f>'E) Part. coh. soc.'!G82/C76</f>
        <v>16.664145683701346</v>
      </c>
      <c r="E76" s="136">
        <f>'H) Péréquation directe'!I87/C76</f>
        <v>9.3538789081257701</v>
      </c>
      <c r="F76" s="110">
        <f>+'I) Dépenses thématiques'!O76/'J) Plafonnement effort'!C76</f>
        <v>-1.7596128741744395</v>
      </c>
      <c r="G76" s="136">
        <f t="shared" si="5"/>
        <v>24.258411717652674</v>
      </c>
      <c r="H76" s="417">
        <f>G76-'C) Prél. conj.'!I76</f>
        <v>22.927214730905156</v>
      </c>
      <c r="I76" s="421">
        <f t="shared" si="6"/>
        <v>0</v>
      </c>
      <c r="J76" s="55">
        <f t="shared" si="7"/>
        <v>0</v>
      </c>
      <c r="K76" s="417">
        <f t="shared" si="8"/>
        <v>22.927214730905156</v>
      </c>
    </row>
    <row r="77" spans="1:11" x14ac:dyDescent="0.25">
      <c r="A77" s="49">
        <f>'A) Base RI'!A79</f>
        <v>5518</v>
      </c>
      <c r="B77" s="291" t="str">
        <f>'A) Base RI'!B79</f>
        <v>Echallens</v>
      </c>
      <c r="C77" s="95">
        <f>'B) D RI'!U79</f>
        <v>185740.88420378894</v>
      </c>
      <c r="D77" s="416">
        <f>'E) Part. coh. soc.'!G83/C77</f>
        <v>19.4489327102592</v>
      </c>
      <c r="E77" s="136">
        <f>'H) Péréquation directe'!I88/C77</f>
        <v>-1.6143927540520437</v>
      </c>
      <c r="F77" s="110">
        <f>+'I) Dépenses thématiques'!O77/'J) Plafonnement effort'!C77</f>
        <v>-5.3205751303986553</v>
      </c>
      <c r="G77" s="136">
        <f t="shared" si="5"/>
        <v>12.5139648258085</v>
      </c>
      <c r="H77" s="417">
        <f>G77-'C) Prél. conj.'!I77</f>
        <v>8.3979808125031248</v>
      </c>
      <c r="I77" s="421">
        <f t="shared" si="6"/>
        <v>0</v>
      </c>
      <c r="J77" s="55">
        <f t="shared" si="7"/>
        <v>0</v>
      </c>
      <c r="K77" s="417">
        <f t="shared" si="8"/>
        <v>8.3979808125031248</v>
      </c>
    </row>
    <row r="78" spans="1:11" x14ac:dyDescent="0.25">
      <c r="A78" s="49">
        <f>'A) Base RI'!A80</f>
        <v>5520</v>
      </c>
      <c r="B78" s="291" t="str">
        <f>'A) Base RI'!B80</f>
        <v>Essertines-sur-Yverdon</v>
      </c>
      <c r="C78" s="95">
        <f>'B) D RI'!U80</f>
        <v>29832.653259959214</v>
      </c>
      <c r="D78" s="416">
        <f>'E) Part. coh. soc.'!G84/C78</f>
        <v>17.444453813548545</v>
      </c>
      <c r="E78" s="136">
        <f>'H) Péréquation directe'!I89/C78</f>
        <v>2.7075046332286976</v>
      </c>
      <c r="F78" s="110">
        <f>+'I) Dépenses thématiques'!O78/'J) Plafonnement effort'!C78</f>
        <v>-2.4860596315981858</v>
      </c>
      <c r="G78" s="136">
        <f t="shared" si="5"/>
        <v>17.665898815179059</v>
      </c>
      <c r="H78" s="417">
        <f>G78-'C) Prél. conj.'!I78</f>
        <v>15.55439369858434</v>
      </c>
      <c r="I78" s="421">
        <f t="shared" si="6"/>
        <v>0</v>
      </c>
      <c r="J78" s="55">
        <f t="shared" si="7"/>
        <v>0</v>
      </c>
      <c r="K78" s="417">
        <f t="shared" si="8"/>
        <v>15.55439369858434</v>
      </c>
    </row>
    <row r="79" spans="1:11" x14ac:dyDescent="0.25">
      <c r="A79" s="49">
        <f>'A) Base RI'!A81</f>
        <v>5521</v>
      </c>
      <c r="B79" s="291" t="str">
        <f>'A) Base RI'!B81</f>
        <v>Etagnières</v>
      </c>
      <c r="C79" s="95">
        <f>'B) D RI'!U81</f>
        <v>48092.453261297029</v>
      </c>
      <c r="D79" s="416">
        <f>'E) Part. coh. soc.'!G85/C79</f>
        <v>18.074871411595641</v>
      </c>
      <c r="E79" s="136">
        <f>'H) Péréquation directe'!I90/C79</f>
        <v>14.027813572654079</v>
      </c>
      <c r="F79" s="110">
        <f>+'I) Dépenses thématiques'!O79/'J) Plafonnement effort'!C79</f>
        <v>-0.16093421617192538</v>
      </c>
      <c r="G79" s="136">
        <f t="shared" si="5"/>
        <v>31.941750768077796</v>
      </c>
      <c r="H79" s="417">
        <f>G79-'C) Prél. conj.'!I79</f>
        <v>29.199828053435983</v>
      </c>
      <c r="I79" s="421">
        <f t="shared" si="6"/>
        <v>0</v>
      </c>
      <c r="J79" s="55">
        <f t="shared" si="7"/>
        <v>0</v>
      </c>
      <c r="K79" s="417">
        <f t="shared" si="8"/>
        <v>29.199828053435983</v>
      </c>
    </row>
    <row r="80" spans="1:11" x14ac:dyDescent="0.25">
      <c r="A80" s="49">
        <f>'A) Base RI'!A82</f>
        <v>5522</v>
      </c>
      <c r="B80" s="291" t="str">
        <f>'A) Base RI'!B82</f>
        <v>Fey</v>
      </c>
      <c r="C80" s="95">
        <f>'B) D RI'!U82</f>
        <v>22665.113066666665</v>
      </c>
      <c r="D80" s="416">
        <f>'E) Part. coh. soc.'!G86/C80</f>
        <v>17.633409976217507</v>
      </c>
      <c r="E80" s="136">
        <f>'H) Péréquation directe'!I91/C80</f>
        <v>3.8436593315246581</v>
      </c>
      <c r="F80" s="110">
        <f>+'I) Dépenses thématiques'!O80/'J) Plafonnement effort'!C80</f>
        <v>-0.69063113999819592</v>
      </c>
      <c r="G80" s="136">
        <f t="shared" si="5"/>
        <v>20.78643816774397</v>
      </c>
      <c r="H80" s="417">
        <f>G80-'C) Prél. conj.'!I80</f>
        <v>18.485976888480288</v>
      </c>
      <c r="I80" s="421">
        <f t="shared" si="6"/>
        <v>0</v>
      </c>
      <c r="J80" s="55">
        <f t="shared" si="7"/>
        <v>0</v>
      </c>
      <c r="K80" s="417">
        <f t="shared" si="8"/>
        <v>18.485976888480288</v>
      </c>
    </row>
    <row r="81" spans="1:11" x14ac:dyDescent="0.25">
      <c r="A81" s="49">
        <f>'A) Base RI'!A83</f>
        <v>5523</v>
      </c>
      <c r="B81" s="291" t="str">
        <f>'A) Base RI'!B83</f>
        <v>Froideville</v>
      </c>
      <c r="C81" s="95">
        <f>'B) D RI'!U83</f>
        <v>89135.106646646644</v>
      </c>
      <c r="D81" s="416">
        <f>'E) Part. coh. soc.'!G87/C81</f>
        <v>16.733842684717938</v>
      </c>
      <c r="E81" s="136">
        <f>'H) Péréquation directe'!I92/C81</f>
        <v>3.532963725633846</v>
      </c>
      <c r="F81" s="110">
        <f>+'I) Dépenses thématiques'!O81/'J) Plafonnement effort'!C81</f>
        <v>-0.6004075831066833</v>
      </c>
      <c r="G81" s="136">
        <f t="shared" si="5"/>
        <v>19.6663988272451</v>
      </c>
      <c r="H81" s="417">
        <f>G81-'C) Prél. conj.'!I81</f>
        <v>18.26550483948099</v>
      </c>
      <c r="I81" s="421">
        <f t="shared" si="6"/>
        <v>0</v>
      </c>
      <c r="J81" s="55">
        <f t="shared" si="7"/>
        <v>0</v>
      </c>
      <c r="K81" s="417">
        <f t="shared" si="8"/>
        <v>18.26550483948099</v>
      </c>
    </row>
    <row r="82" spans="1:11" x14ac:dyDescent="0.25">
      <c r="A82" s="49">
        <f>'A) Base RI'!A84</f>
        <v>5527</v>
      </c>
      <c r="B82" s="291" t="str">
        <f>'A) Base RI'!B84</f>
        <v>Morrens</v>
      </c>
      <c r="C82" s="95">
        <f>'B) D RI'!U84</f>
        <v>40159.939986831349</v>
      </c>
      <c r="D82" s="416">
        <f>'E) Part. coh. soc.'!G88/C82</f>
        <v>18.288901445860475</v>
      </c>
      <c r="E82" s="136">
        <f>'H) Péréquation directe'!I93/C82</f>
        <v>9.1519820077934</v>
      </c>
      <c r="F82" s="110">
        <f>+'I) Dépenses thématiques'!O82/'J) Plafonnement effort'!C82</f>
        <v>0</v>
      </c>
      <c r="G82" s="136">
        <f t="shared" si="5"/>
        <v>27.440883453653875</v>
      </c>
      <c r="H82" s="417">
        <f>G82-'C) Prél. conj.'!I82</f>
        <v>24.484930704747232</v>
      </c>
      <c r="I82" s="421">
        <f t="shared" si="6"/>
        <v>0</v>
      </c>
      <c r="J82" s="55">
        <f t="shared" si="7"/>
        <v>0</v>
      </c>
      <c r="K82" s="417">
        <f t="shared" si="8"/>
        <v>24.484930704747232</v>
      </c>
    </row>
    <row r="83" spans="1:11" x14ac:dyDescent="0.25">
      <c r="A83" s="49">
        <f>'A) Base RI'!A85</f>
        <v>5529</v>
      </c>
      <c r="B83" s="291" t="str">
        <f>'A) Base RI'!B85</f>
        <v>Oulens-sous-Echallens</v>
      </c>
      <c r="C83" s="95">
        <f>'B) D RI'!U85</f>
        <v>21598.779787193034</v>
      </c>
      <c r="D83" s="416">
        <f>'E) Part. coh. soc.'!G89/C83</f>
        <v>17.157885817863402</v>
      </c>
      <c r="E83" s="136">
        <f>'H) Péréquation directe'!I94/C83</f>
        <v>9.9052265319904862</v>
      </c>
      <c r="F83" s="110">
        <f>+'I) Dépenses thématiques'!O83/'J) Plafonnement effort'!C83</f>
        <v>-2.4186741101053646</v>
      </c>
      <c r="G83" s="136">
        <f t="shared" si="5"/>
        <v>24.644438239748524</v>
      </c>
      <c r="H83" s="417">
        <f>G83-'C) Prél. conj.'!I83</f>
        <v>22.81950111883895</v>
      </c>
      <c r="I83" s="421">
        <f t="shared" si="6"/>
        <v>0</v>
      </c>
      <c r="J83" s="55">
        <f t="shared" si="7"/>
        <v>0</v>
      </c>
      <c r="K83" s="417">
        <f t="shared" si="8"/>
        <v>22.81950111883895</v>
      </c>
    </row>
    <row r="84" spans="1:11" x14ac:dyDescent="0.25">
      <c r="A84" s="49">
        <f>'A) Base RI'!A86</f>
        <v>5530</v>
      </c>
      <c r="B84" s="291" t="str">
        <f>'A) Base RI'!B86</f>
        <v>Pailly</v>
      </c>
      <c r="C84" s="95">
        <f>'B) D RI'!U86</f>
        <v>17606.249882733009</v>
      </c>
      <c r="D84" s="416">
        <f>'E) Part. coh. soc.'!G90/C84</f>
        <v>18.336944457111134</v>
      </c>
      <c r="E84" s="136">
        <f>'H) Péréquation directe'!I95/C84</f>
        <v>4.4624892713177484</v>
      </c>
      <c r="F84" s="110">
        <f>+'I) Dépenses thématiques'!O84/'J) Plafonnement effort'!C84</f>
        <v>-20.353477043013065</v>
      </c>
      <c r="G84" s="136">
        <f t="shared" si="5"/>
        <v>2.4459566854158155</v>
      </c>
      <c r="H84" s="417">
        <f>G84-'C) Prél. conj.'!I84</f>
        <v>-0.55803907474148895</v>
      </c>
      <c r="I84" s="421">
        <f t="shared" si="6"/>
        <v>0</v>
      </c>
      <c r="J84" s="55">
        <f t="shared" si="7"/>
        <v>0</v>
      </c>
      <c r="K84" s="417">
        <f t="shared" si="8"/>
        <v>-0.55803907474148895</v>
      </c>
    </row>
    <row r="85" spans="1:11" x14ac:dyDescent="0.25">
      <c r="A85" s="49">
        <f>'A) Base RI'!A87</f>
        <v>5531</v>
      </c>
      <c r="B85" s="291" t="str">
        <f>'A) Base RI'!B87</f>
        <v>Penthéréaz</v>
      </c>
      <c r="C85" s="95">
        <f>'B) D RI'!U87</f>
        <v>14646.364779076894</v>
      </c>
      <c r="D85" s="416">
        <f>'E) Part. coh. soc.'!G91/C85</f>
        <v>15.819305558021231</v>
      </c>
      <c r="E85" s="136">
        <f>'H) Péréquation directe'!I96/C85</f>
        <v>8.2964935283492895</v>
      </c>
      <c r="F85" s="110">
        <f>+'I) Dépenses thématiques'!O85/'J) Plafonnement effort'!C85</f>
        <v>-4.3188523433754638</v>
      </c>
      <c r="G85" s="136">
        <f t="shared" si="5"/>
        <v>19.796946742995058</v>
      </c>
      <c r="H85" s="417">
        <f>G85-'C) Prél. conj.'!I85</f>
        <v>19.310589881927655</v>
      </c>
      <c r="I85" s="421">
        <f t="shared" si="6"/>
        <v>0</v>
      </c>
      <c r="J85" s="55">
        <f t="shared" si="7"/>
        <v>0</v>
      </c>
      <c r="K85" s="417">
        <f t="shared" si="8"/>
        <v>19.310589881927655</v>
      </c>
    </row>
    <row r="86" spans="1:11" x14ac:dyDescent="0.25">
      <c r="A86" s="49">
        <f>'A) Base RI'!A88</f>
        <v>5533</v>
      </c>
      <c r="B86" s="291" t="str">
        <f>'A) Base RI'!B88</f>
        <v>Poliez-Pittet</v>
      </c>
      <c r="C86" s="95">
        <f>'B) D RI'!U88</f>
        <v>22519.70890410959</v>
      </c>
      <c r="D86" s="416">
        <f>'E) Part. coh. soc.'!G92/C86</f>
        <v>18.503635107867858</v>
      </c>
      <c r="E86" s="136">
        <f>'H) Péréquation directe'!I97/C86</f>
        <v>0.43484343167102807</v>
      </c>
      <c r="F86" s="110">
        <f>+'I) Dépenses thématiques'!O86/'J) Plafonnement effort'!C86</f>
        <v>-3.413007923396334</v>
      </c>
      <c r="G86" s="136">
        <f t="shared" si="5"/>
        <v>15.525470616142551</v>
      </c>
      <c r="H86" s="417">
        <f>G86-'C) Prél. conj.'!I86</f>
        <v>12.354784205228519</v>
      </c>
      <c r="I86" s="421">
        <f t="shared" si="6"/>
        <v>0</v>
      </c>
      <c r="J86" s="55">
        <f t="shared" si="7"/>
        <v>0</v>
      </c>
      <c r="K86" s="417">
        <f t="shared" si="8"/>
        <v>12.354784205228519</v>
      </c>
    </row>
    <row r="87" spans="1:11" x14ac:dyDescent="0.25">
      <c r="A87" s="49">
        <f>'A) Base RI'!A89</f>
        <v>5534</v>
      </c>
      <c r="B87" s="291" t="str">
        <f>'A) Base RI'!B89</f>
        <v>Rueyres</v>
      </c>
      <c r="C87" s="95">
        <f>'B) D RI'!U89</f>
        <v>10356.386166784428</v>
      </c>
      <c r="D87" s="416">
        <f>'E) Part. coh. soc.'!G93/C87</f>
        <v>17.761165412226052</v>
      </c>
      <c r="E87" s="136">
        <f>'H) Péréquation directe'!I98/C87</f>
        <v>12.70853420809955</v>
      </c>
      <c r="F87" s="110">
        <f>+'I) Dépenses thématiques'!O87/'J) Plafonnement effort'!C87</f>
        <v>-0.19695258732647833</v>
      </c>
      <c r="G87" s="136">
        <f t="shared" si="5"/>
        <v>30.272747032999124</v>
      </c>
      <c r="H87" s="417">
        <f>G87-'C) Prél. conj.'!I87</f>
        <v>27.8445303177269</v>
      </c>
      <c r="I87" s="421">
        <f t="shared" si="6"/>
        <v>0</v>
      </c>
      <c r="J87" s="55">
        <f t="shared" si="7"/>
        <v>0</v>
      </c>
      <c r="K87" s="417">
        <f t="shared" si="8"/>
        <v>27.8445303177269</v>
      </c>
    </row>
    <row r="88" spans="1:11" x14ac:dyDescent="0.25">
      <c r="A88" s="49">
        <f>'A) Base RI'!A90</f>
        <v>5535</v>
      </c>
      <c r="B88" s="291" t="str">
        <f>'A) Base RI'!B90</f>
        <v>Saint-Barthélemy</v>
      </c>
      <c r="C88" s="95">
        <f>'B) D RI'!U90</f>
        <v>22444.916025525185</v>
      </c>
      <c r="D88" s="416">
        <f>'E) Part. coh. soc.'!G94/C88</f>
        <v>17.488228313281468</v>
      </c>
      <c r="E88" s="136">
        <f>'H) Péréquation directe'!I99/C88</f>
        <v>0.68056352757891136</v>
      </c>
      <c r="F88" s="110">
        <f>+'I) Dépenses thématiques'!O88/'J) Plafonnement effort'!C88</f>
        <v>-0.80939209172800797</v>
      </c>
      <c r="G88" s="136">
        <f t="shared" si="5"/>
        <v>17.359399749132372</v>
      </c>
      <c r="H88" s="417">
        <f>G88-'C) Prél. conj.'!I88</f>
        <v>15.204120132804732</v>
      </c>
      <c r="I88" s="421">
        <f t="shared" si="6"/>
        <v>0</v>
      </c>
      <c r="J88" s="55">
        <f t="shared" si="7"/>
        <v>0</v>
      </c>
      <c r="K88" s="417">
        <f t="shared" si="8"/>
        <v>15.204120132804732</v>
      </c>
    </row>
    <row r="89" spans="1:11" x14ac:dyDescent="0.25">
      <c r="A89" s="49">
        <f>'A) Base RI'!A91</f>
        <v>5537</v>
      </c>
      <c r="B89" s="291" t="str">
        <f>'A) Base RI'!B91</f>
        <v>Villars-le-Terroir</v>
      </c>
      <c r="C89" s="95">
        <f>'B) D RI'!U91</f>
        <v>36279.342540673366</v>
      </c>
      <c r="D89" s="416">
        <f>'E) Part. coh. soc.'!G95/C89</f>
        <v>16.630911165463491</v>
      </c>
      <c r="E89" s="136">
        <f>'H) Péréquation directe'!I100/C89</f>
        <v>2.2545771580316751</v>
      </c>
      <c r="F89" s="110">
        <f>+'I) Dépenses thématiques'!O89/'J) Plafonnement effort'!C89</f>
        <v>-0.86747476806375157</v>
      </c>
      <c r="G89" s="136">
        <f t="shared" si="5"/>
        <v>18.018013555431416</v>
      </c>
      <c r="H89" s="417">
        <f>G89-'C) Prél. conj.'!I89</f>
        <v>16.720051086921753</v>
      </c>
      <c r="I89" s="421">
        <f t="shared" si="6"/>
        <v>0</v>
      </c>
      <c r="J89" s="55">
        <f t="shared" si="7"/>
        <v>0</v>
      </c>
      <c r="K89" s="417">
        <f t="shared" si="8"/>
        <v>16.720051086921753</v>
      </c>
    </row>
    <row r="90" spans="1:11" x14ac:dyDescent="0.25">
      <c r="A90" s="49">
        <f>'A) Base RI'!A92</f>
        <v>5539</v>
      </c>
      <c r="B90" s="291" t="str">
        <f>'A) Base RI'!B92</f>
        <v>Vuarrens</v>
      </c>
      <c r="C90" s="95">
        <f>'B) D RI'!U92</f>
        <v>30001.761907299908</v>
      </c>
      <c r="D90" s="416">
        <f>'E) Part. coh. soc.'!G96/C90</f>
        <v>18.777492064750344</v>
      </c>
      <c r="E90" s="136">
        <f>'H) Péréquation directe'!I101/C90</f>
        <v>1.1459516072836964</v>
      </c>
      <c r="F90" s="110">
        <f>+'I) Dépenses thématiques'!O90/'J) Plafonnement effort'!C90</f>
        <v>-0.72417465412874649</v>
      </c>
      <c r="G90" s="136">
        <f t="shared" si="5"/>
        <v>19.199269017905294</v>
      </c>
      <c r="H90" s="417">
        <f>G90-'C) Prél. conj.'!I90</f>
        <v>15.75472565010878</v>
      </c>
      <c r="I90" s="421">
        <f t="shared" si="6"/>
        <v>0</v>
      </c>
      <c r="J90" s="55">
        <f t="shared" si="7"/>
        <v>0</v>
      </c>
      <c r="K90" s="417">
        <f t="shared" si="8"/>
        <v>15.75472565010878</v>
      </c>
    </row>
    <row r="91" spans="1:11" x14ac:dyDescent="0.25">
      <c r="A91" s="49">
        <f>'A) Base RI'!A93</f>
        <v>5540</v>
      </c>
      <c r="B91" s="291" t="str">
        <f>'A) Base RI'!B93</f>
        <v>Montilliez</v>
      </c>
      <c r="C91" s="95">
        <f>'B) D RI'!U93</f>
        <v>64637.646238645939</v>
      </c>
      <c r="D91" s="416">
        <f>'E) Part. coh. soc.'!G97/C91</f>
        <v>16.553850053860248</v>
      </c>
      <c r="E91" s="136">
        <f>'H) Péréquation directe'!I102/C91</f>
        <v>6.8801682829681337</v>
      </c>
      <c r="F91" s="110">
        <f>+'I) Dépenses thématiques'!O91/'J) Plafonnement effort'!C91</f>
        <v>-4.3994415701558989</v>
      </c>
      <c r="G91" s="136">
        <f t="shared" si="5"/>
        <v>19.03457676667248</v>
      </c>
      <c r="H91" s="417">
        <f>G91-'C) Prél. conj.'!I91</f>
        <v>17.813675409766059</v>
      </c>
      <c r="I91" s="421">
        <f t="shared" si="6"/>
        <v>0</v>
      </c>
      <c r="J91" s="55">
        <f t="shared" si="7"/>
        <v>0</v>
      </c>
      <c r="K91" s="417">
        <f t="shared" si="8"/>
        <v>17.813675409766059</v>
      </c>
    </row>
    <row r="92" spans="1:11" x14ac:dyDescent="0.25">
      <c r="A92" s="49">
        <f>'A) Base RI'!A94</f>
        <v>5541</v>
      </c>
      <c r="B92" s="291" t="str">
        <f>'A) Base RI'!B94</f>
        <v>Goumoëns</v>
      </c>
      <c r="C92" s="95">
        <f>'B) D RI'!U94</f>
        <v>37288.389369533332</v>
      </c>
      <c r="D92" s="416">
        <f>'E) Part. coh. soc.'!G98/C92</f>
        <v>18.244674621182423</v>
      </c>
      <c r="E92" s="136">
        <f>'H) Péréquation directe'!I103/C92</f>
        <v>5.4463291355012577</v>
      </c>
      <c r="F92" s="110">
        <f>+'I) Dépenses thématiques'!O92/'J) Plafonnement effort'!C92</f>
        <v>-7.7493566420791443E-2</v>
      </c>
      <c r="G92" s="136">
        <f t="shared" si="5"/>
        <v>23.61351019026289</v>
      </c>
      <c r="H92" s="417">
        <f>G92-'C) Prél. conj.'!I92</f>
        <v>20.701784266034299</v>
      </c>
      <c r="I92" s="421">
        <f t="shared" si="6"/>
        <v>0</v>
      </c>
      <c r="J92" s="55">
        <f t="shared" si="7"/>
        <v>0</v>
      </c>
      <c r="K92" s="417">
        <f t="shared" si="8"/>
        <v>20.701784266034299</v>
      </c>
    </row>
    <row r="93" spans="1:11" x14ac:dyDescent="0.25">
      <c r="A93" s="49">
        <f>'A) Base RI'!A95</f>
        <v>5551</v>
      </c>
      <c r="B93" s="291" t="str">
        <f>'A) Base RI'!B95</f>
        <v>Bonvillars</v>
      </c>
      <c r="C93" s="95">
        <f>'B) D RI'!U95</f>
        <v>18267.607293736826</v>
      </c>
      <c r="D93" s="416">
        <f>'E) Part. coh. soc.'!G99/C93</f>
        <v>16.003794626743531</v>
      </c>
      <c r="E93" s="136">
        <f>'H) Péréquation directe'!I104/C93</f>
        <v>13.485374150451516</v>
      </c>
      <c r="F93" s="110">
        <f>+'I) Dépenses thématiques'!O93/'J) Plafonnement effort'!C93</f>
        <v>-4.926160013168575</v>
      </c>
      <c r="G93" s="136">
        <f t="shared" si="5"/>
        <v>24.56300876402647</v>
      </c>
      <c r="H93" s="417">
        <f>G93-'C) Prél. conj.'!I93</f>
        <v>23.892162834236771</v>
      </c>
      <c r="I93" s="421">
        <f t="shared" si="6"/>
        <v>0</v>
      </c>
      <c r="J93" s="55">
        <f t="shared" si="7"/>
        <v>0</v>
      </c>
      <c r="K93" s="417">
        <f t="shared" si="8"/>
        <v>23.892162834236771</v>
      </c>
    </row>
    <row r="94" spans="1:11" x14ac:dyDescent="0.25">
      <c r="A94" s="49">
        <f>'A) Base RI'!A96</f>
        <v>5552</v>
      </c>
      <c r="B94" s="291" t="str">
        <f>'A) Base RI'!B96</f>
        <v>Bullet</v>
      </c>
      <c r="C94" s="95">
        <f>'B) D RI'!U96</f>
        <v>18370.265732879256</v>
      </c>
      <c r="D94" s="416">
        <f>'E) Part. coh. soc.'!G100/C94</f>
        <v>18.95678713064893</v>
      </c>
      <c r="E94" s="136">
        <f>'H) Péréquation directe'!I105/C94</f>
        <v>1.5807130898094763</v>
      </c>
      <c r="F94" s="110">
        <f>+'I) Dépenses thématiques'!O94/'J) Plafonnement effort'!C94</f>
        <v>-11.137943421414874</v>
      </c>
      <c r="G94" s="136">
        <f t="shared" si="5"/>
        <v>9.3995567990435305</v>
      </c>
      <c r="H94" s="417">
        <f>G94-'C) Prél. conj.'!I94</f>
        <v>5.7757183653484265</v>
      </c>
      <c r="I94" s="421">
        <f t="shared" si="6"/>
        <v>0</v>
      </c>
      <c r="J94" s="55">
        <f t="shared" si="7"/>
        <v>0</v>
      </c>
      <c r="K94" s="417">
        <f t="shared" si="8"/>
        <v>5.7757183653484265</v>
      </c>
    </row>
    <row r="95" spans="1:11" x14ac:dyDescent="0.25">
      <c r="A95" s="49">
        <f>'A) Base RI'!A97</f>
        <v>5553</v>
      </c>
      <c r="B95" s="291" t="str">
        <f>'A) Base RI'!B97</f>
        <v>Champagne</v>
      </c>
      <c r="C95" s="95">
        <f>'B) D RI'!U97</f>
        <v>37727.892502871691</v>
      </c>
      <c r="D95" s="416">
        <f>'E) Part. coh. soc.'!G101/C95</f>
        <v>18.234321335027058</v>
      </c>
      <c r="E95" s="136">
        <f>'H) Péréquation directe'!I106/C95</f>
        <v>10.91089913948373</v>
      </c>
      <c r="F95" s="110">
        <f>+'I) Dépenses thématiques'!O95/'J) Plafonnement effort'!C95</f>
        <v>-4.590043254427469</v>
      </c>
      <c r="G95" s="136">
        <f t="shared" si="5"/>
        <v>24.555177220083316</v>
      </c>
      <c r="H95" s="417">
        <f>G95-'C) Prél. conj.'!I95</f>
        <v>21.653804582010089</v>
      </c>
      <c r="I95" s="421">
        <f t="shared" si="6"/>
        <v>0</v>
      </c>
      <c r="J95" s="55">
        <f t="shared" si="7"/>
        <v>0</v>
      </c>
      <c r="K95" s="417">
        <f t="shared" si="8"/>
        <v>21.653804582010089</v>
      </c>
    </row>
    <row r="96" spans="1:11" x14ac:dyDescent="0.25">
      <c r="A96" s="49">
        <f>'A) Base RI'!A98</f>
        <v>5554</v>
      </c>
      <c r="B96" s="291" t="str">
        <f>'A) Base RI'!B98</f>
        <v>Concise</v>
      </c>
      <c r="C96" s="95">
        <f>'B) D RI'!U98</f>
        <v>33273.512128706279</v>
      </c>
      <c r="D96" s="416">
        <f>'E) Part. coh. soc.'!G102/C96</f>
        <v>20.901050864327992</v>
      </c>
      <c r="E96" s="136">
        <f>'H) Péréquation directe'!I107/C96</f>
        <v>6.3461398779333784</v>
      </c>
      <c r="F96" s="110">
        <f>+'I) Dépenses thématiques'!O96/'J) Plafonnement effort'!C96</f>
        <v>-4.4229226975380156</v>
      </c>
      <c r="G96" s="136">
        <f t="shared" si="5"/>
        <v>22.824268044723354</v>
      </c>
      <c r="H96" s="417">
        <f>G96-'C) Prél. conj.'!I96</f>
        <v>17.25616587734919</v>
      </c>
      <c r="I96" s="421">
        <f t="shared" si="6"/>
        <v>0</v>
      </c>
      <c r="J96" s="55">
        <f t="shared" si="7"/>
        <v>0</v>
      </c>
      <c r="K96" s="417">
        <f t="shared" si="8"/>
        <v>17.25616587734919</v>
      </c>
    </row>
    <row r="97" spans="1:11" x14ac:dyDescent="0.25">
      <c r="A97" s="49">
        <f>'A) Base RI'!A99</f>
        <v>5555</v>
      </c>
      <c r="B97" s="291" t="str">
        <f>'A) Base RI'!B99</f>
        <v>Corcelles-près-Concise</v>
      </c>
      <c r="C97" s="95">
        <f>'B) D RI'!U99</f>
        <v>13532.861505055624</v>
      </c>
      <c r="D97" s="416">
        <f>'E) Part. coh. soc.'!G103/C97</f>
        <v>18.739743703521842</v>
      </c>
      <c r="E97" s="136">
        <f>'H) Péréquation directe'!I108/C97</f>
        <v>8.6997809827446186</v>
      </c>
      <c r="F97" s="110">
        <f>+'I) Dépenses thématiques'!O97/'J) Plafonnement effort'!C97</f>
        <v>-7.9808077379088589</v>
      </c>
      <c r="G97" s="136">
        <f t="shared" si="5"/>
        <v>19.458716948357601</v>
      </c>
      <c r="H97" s="417">
        <f>G97-'C) Prél. conj.'!I97</f>
        <v>16.051921941789587</v>
      </c>
      <c r="I97" s="421">
        <f t="shared" si="6"/>
        <v>0</v>
      </c>
      <c r="J97" s="55">
        <f t="shared" si="7"/>
        <v>0</v>
      </c>
      <c r="K97" s="417">
        <f t="shared" si="8"/>
        <v>16.051921941789587</v>
      </c>
    </row>
    <row r="98" spans="1:11" x14ac:dyDescent="0.25">
      <c r="A98" s="49">
        <f>'A) Base RI'!A100</f>
        <v>5556</v>
      </c>
      <c r="B98" s="291" t="str">
        <f>'A) Base RI'!B100</f>
        <v>Fiez</v>
      </c>
      <c r="C98" s="95">
        <f>'B) D RI'!U100</f>
        <v>13065.326581020432</v>
      </c>
      <c r="D98" s="416">
        <f>'E) Part. coh. soc.'!G104/C98</f>
        <v>16.448462336021372</v>
      </c>
      <c r="E98" s="136">
        <f>'H) Péréquation directe'!I109/C98</f>
        <v>4.7158698325903714</v>
      </c>
      <c r="F98" s="110">
        <f>+'I) Dépenses thématiques'!O98/'J) Plafonnement effort'!C98</f>
        <v>-9.9116029360247957</v>
      </c>
      <c r="G98" s="136">
        <f t="shared" si="5"/>
        <v>11.252729232586947</v>
      </c>
      <c r="H98" s="417">
        <f>G98-'C) Prél. conj.'!I98</f>
        <v>10.137215593519404</v>
      </c>
      <c r="I98" s="421">
        <f t="shared" si="6"/>
        <v>0</v>
      </c>
      <c r="J98" s="55">
        <f t="shared" si="7"/>
        <v>0</v>
      </c>
      <c r="K98" s="417">
        <f t="shared" si="8"/>
        <v>10.137215593519404</v>
      </c>
    </row>
    <row r="99" spans="1:11" x14ac:dyDescent="0.25">
      <c r="A99" s="49">
        <f>'A) Base RI'!A101</f>
        <v>5557</v>
      </c>
      <c r="B99" s="291" t="str">
        <f>'A) Base RI'!B101</f>
        <v>Fontaines-sur-Grandson</v>
      </c>
      <c r="C99" s="95">
        <f>'B) D RI'!U101</f>
        <v>6528.2227757093106</v>
      </c>
      <c r="D99" s="416">
        <f>'E) Part. coh. soc.'!G105/C99</f>
        <v>15.667465467448494</v>
      </c>
      <c r="E99" s="136">
        <f>'H) Péréquation directe'!I110/C99</f>
        <v>5.8306938231181933</v>
      </c>
      <c r="F99" s="110">
        <f>+'I) Dépenses thématiques'!O99/'J) Plafonnement effort'!C99</f>
        <v>-5.3298436490481516</v>
      </c>
      <c r="G99" s="136">
        <f t="shared" si="5"/>
        <v>16.168315641518536</v>
      </c>
      <c r="H99" s="417">
        <f>G99-'C) Prél. conj.'!I99</f>
        <v>15.83379887102387</v>
      </c>
      <c r="I99" s="421">
        <f t="shared" si="6"/>
        <v>0</v>
      </c>
      <c r="J99" s="55">
        <f t="shared" si="7"/>
        <v>0</v>
      </c>
      <c r="K99" s="417">
        <f t="shared" si="8"/>
        <v>15.83379887102387</v>
      </c>
    </row>
    <row r="100" spans="1:11" x14ac:dyDescent="0.25">
      <c r="A100" s="49">
        <f>'A) Base RI'!A102</f>
        <v>5559</v>
      </c>
      <c r="B100" s="291" t="str">
        <f>'A) Base RI'!B102</f>
        <v>Giez</v>
      </c>
      <c r="C100" s="95">
        <f>'B) D RI'!U102</f>
        <v>20929.407833065721</v>
      </c>
      <c r="D100" s="416">
        <f>'E) Part. coh. soc.'!G106/C100</f>
        <v>18.483703049449606</v>
      </c>
      <c r="E100" s="136">
        <f>'H) Péréquation directe'!I111/C100</f>
        <v>17.163688421269917</v>
      </c>
      <c r="F100" s="110">
        <f>+'I) Dépenses thématiques'!O100/'J) Plafonnement effort'!C100</f>
        <v>0</v>
      </c>
      <c r="G100" s="136">
        <f t="shared" si="5"/>
        <v>35.647391470719526</v>
      </c>
      <c r="H100" s="417">
        <f>G100-'C) Prél. conj.'!I100</f>
        <v>33.68559492456346</v>
      </c>
      <c r="I100" s="421">
        <f t="shared" si="6"/>
        <v>0</v>
      </c>
      <c r="J100" s="55">
        <f t="shared" si="7"/>
        <v>0</v>
      </c>
      <c r="K100" s="417">
        <f t="shared" si="8"/>
        <v>33.68559492456346</v>
      </c>
    </row>
    <row r="101" spans="1:11" x14ac:dyDescent="0.25">
      <c r="A101" s="49">
        <f>'A) Base RI'!A103</f>
        <v>5560</v>
      </c>
      <c r="B101" s="291" t="str">
        <f>'A) Base RI'!B103</f>
        <v>Grandevent</v>
      </c>
      <c r="C101" s="95">
        <f>'B) D RI'!U103</f>
        <v>7416.8272615804444</v>
      </c>
      <c r="D101" s="416">
        <f>'E) Part. coh. soc.'!G107/C101</f>
        <v>17.24376911924044</v>
      </c>
      <c r="E101" s="136">
        <f>'H) Péréquation directe'!I112/C101</f>
        <v>9.0075699912155809</v>
      </c>
      <c r="F101" s="110">
        <f>+'I) Dépenses thématiques'!O101/'J) Plafonnement effort'!C101</f>
        <v>-1.3253985835672653</v>
      </c>
      <c r="G101" s="136">
        <f t="shared" si="5"/>
        <v>24.925940526888759</v>
      </c>
      <c r="H101" s="417">
        <f>G101-'C) Prél. conj.'!I101</f>
        <v>23.015120104602147</v>
      </c>
      <c r="I101" s="421">
        <f t="shared" si="6"/>
        <v>0</v>
      </c>
      <c r="J101" s="55">
        <f t="shared" si="7"/>
        <v>0</v>
      </c>
      <c r="K101" s="417">
        <f t="shared" si="8"/>
        <v>23.015120104602147</v>
      </c>
    </row>
    <row r="102" spans="1:11" x14ac:dyDescent="0.25">
      <c r="A102" s="49">
        <f>'A) Base RI'!A104</f>
        <v>5561</v>
      </c>
      <c r="B102" s="291" t="str">
        <f>'A) Base RI'!B104</f>
        <v>Grandson</v>
      </c>
      <c r="C102" s="95">
        <f>'B) D RI'!U104</f>
        <v>113273.1793379919</v>
      </c>
      <c r="D102" s="416">
        <f>'E) Part. coh. soc.'!G108/C102</f>
        <v>26.970695758564375</v>
      </c>
      <c r="E102" s="136">
        <f>'H) Péréquation directe'!I113/C102</f>
        <v>4.1211597528635942</v>
      </c>
      <c r="F102" s="110">
        <f>+'I) Dépenses thématiques'!O102/'J) Plafonnement effort'!C102</f>
        <v>-9.100015539330002</v>
      </c>
      <c r="G102" s="136">
        <f t="shared" si="5"/>
        <v>21.991839972097967</v>
      </c>
      <c r="H102" s="417">
        <f>G102-'C) Prél. conj.'!I102</f>
        <v>10.354092910487418</v>
      </c>
      <c r="I102" s="421">
        <f t="shared" si="6"/>
        <v>0</v>
      </c>
      <c r="J102" s="55">
        <f t="shared" si="7"/>
        <v>0</v>
      </c>
      <c r="K102" s="417">
        <f t="shared" si="8"/>
        <v>10.354092910487418</v>
      </c>
    </row>
    <row r="103" spans="1:11" x14ac:dyDescent="0.25">
      <c r="A103" s="49">
        <f>'A) Base RI'!A105</f>
        <v>5562</v>
      </c>
      <c r="B103" s="291" t="str">
        <f>'A) Base RI'!B105</f>
        <v>Mauborget</v>
      </c>
      <c r="C103" s="95">
        <f>'B) D RI'!U105</f>
        <v>5481.8555000000006</v>
      </c>
      <c r="D103" s="416">
        <f>'E) Part. coh. soc.'!G109/C103</f>
        <v>22.922938071901779</v>
      </c>
      <c r="E103" s="136">
        <f>'H) Péréquation directe'!I114/C103</f>
        <v>16.763790369429515</v>
      </c>
      <c r="F103" s="110">
        <f>+'I) Dépenses thématiques'!O103/'J) Plafonnement effort'!C103</f>
        <v>-0.15699273926734594</v>
      </c>
      <c r="G103" s="136">
        <f t="shared" si="5"/>
        <v>39.529735702063952</v>
      </c>
      <c r="H103" s="417">
        <f>G103-'C) Prél. conj.'!I103</f>
        <v>31.939746327116001</v>
      </c>
      <c r="I103" s="421">
        <f t="shared" si="6"/>
        <v>0</v>
      </c>
      <c r="J103" s="55">
        <f t="shared" si="7"/>
        <v>0</v>
      </c>
      <c r="K103" s="417">
        <f t="shared" si="8"/>
        <v>31.939746327116001</v>
      </c>
    </row>
    <row r="104" spans="1:11" x14ac:dyDescent="0.25">
      <c r="A104" s="49">
        <f>'A) Base RI'!A106</f>
        <v>5563</v>
      </c>
      <c r="B104" s="291" t="str">
        <f>'A) Base RI'!B106</f>
        <v>Mutrux</v>
      </c>
      <c r="C104" s="95">
        <f>'B) D RI'!U106</f>
        <v>4024.138375587273</v>
      </c>
      <c r="D104" s="416">
        <f>'E) Part. coh. soc.'!G110/C104</f>
        <v>15.922633936009181</v>
      </c>
      <c r="E104" s="136">
        <f>'H) Péréquation directe'!I115/C104</f>
        <v>-4.0536425637998521</v>
      </c>
      <c r="F104" s="110">
        <f>+'I) Dépenses thématiques'!O104/'J) Plafonnement effort'!C104</f>
        <v>-7.062038157987959</v>
      </c>
      <c r="G104" s="136">
        <f t="shared" si="5"/>
        <v>4.8069532142213705</v>
      </c>
      <c r="H104" s="417">
        <f>G104-'C) Prél. conj.'!I104</f>
        <v>4.2172679751660178</v>
      </c>
      <c r="I104" s="421">
        <f t="shared" si="6"/>
        <v>0</v>
      </c>
      <c r="J104" s="55">
        <f t="shared" si="7"/>
        <v>0</v>
      </c>
      <c r="K104" s="417">
        <f t="shared" si="8"/>
        <v>4.2172679751660178</v>
      </c>
    </row>
    <row r="105" spans="1:11" x14ac:dyDescent="0.25">
      <c r="A105" s="49">
        <f>'A) Base RI'!A107</f>
        <v>5564</v>
      </c>
      <c r="B105" s="291" t="str">
        <f>'A) Base RI'!B107</f>
        <v>Novalles</v>
      </c>
      <c r="C105" s="95">
        <f>'B) D RI'!U107</f>
        <v>2262.9000968180799</v>
      </c>
      <c r="D105" s="416">
        <f>'E) Part. coh. soc.'!G111/C105</f>
        <v>15.337323613908369</v>
      </c>
      <c r="E105" s="136">
        <f>'H) Péréquation directe'!I116/C105</f>
        <v>-9.4568558712525554</v>
      </c>
      <c r="F105" s="110">
        <f>+'I) Dépenses thématiques'!O105/'J) Plafonnement effort'!C105</f>
        <v>-4.3661609912943069</v>
      </c>
      <c r="G105" s="136">
        <f t="shared" si="5"/>
        <v>1.5143067513615067</v>
      </c>
      <c r="H105" s="417">
        <f>G105-'C) Prél. conj.'!I105</f>
        <v>1.5099318344069665</v>
      </c>
      <c r="I105" s="421">
        <f t="shared" si="6"/>
        <v>0</v>
      </c>
      <c r="J105" s="55">
        <f t="shared" si="7"/>
        <v>0</v>
      </c>
      <c r="K105" s="417">
        <f t="shared" si="8"/>
        <v>1.5099318344069665</v>
      </c>
    </row>
    <row r="106" spans="1:11" x14ac:dyDescent="0.25">
      <c r="A106" s="49">
        <f>'A) Base RI'!A108</f>
        <v>5565</v>
      </c>
      <c r="B106" s="291" t="str">
        <f>'A) Base RI'!B108</f>
        <v>Onnens</v>
      </c>
      <c r="C106" s="95">
        <f>'B) D RI'!U108</f>
        <v>18662.496602351366</v>
      </c>
      <c r="D106" s="416">
        <f>'E) Part. coh. soc.'!G112/C106</f>
        <v>20.151088087193333</v>
      </c>
      <c r="E106" s="136">
        <f>'H) Péréquation directe'!I117/C106</f>
        <v>12.54907754194226</v>
      </c>
      <c r="F106" s="110">
        <f>+'I) Dépenses thématiques'!O106/'J) Plafonnement effort'!C106</f>
        <v>-3.2462111492116392</v>
      </c>
      <c r="G106" s="136">
        <f t="shared" si="5"/>
        <v>29.453954479923958</v>
      </c>
      <c r="H106" s="417">
        <f>G106-'C) Prél. conj.'!I106</f>
        <v>24.635815089684456</v>
      </c>
      <c r="I106" s="421">
        <f t="shared" si="6"/>
        <v>0</v>
      </c>
      <c r="J106" s="55">
        <f t="shared" si="7"/>
        <v>0</v>
      </c>
      <c r="K106" s="417">
        <f t="shared" si="8"/>
        <v>24.635815089684456</v>
      </c>
    </row>
    <row r="107" spans="1:11" x14ac:dyDescent="0.25">
      <c r="A107" s="49">
        <f>'A) Base RI'!A109</f>
        <v>5566</v>
      </c>
      <c r="B107" s="291" t="str">
        <f>'A) Base RI'!B109</f>
        <v>Provence</v>
      </c>
      <c r="C107" s="95">
        <f>'B) D RI'!U109</f>
        <v>8507.523402669327</v>
      </c>
      <c r="D107" s="416">
        <f>'E) Part. coh. soc.'!G113/C107</f>
        <v>20.481185490079508</v>
      </c>
      <c r="E107" s="136">
        <f>'H) Péréquation directe'!I118/C107</f>
        <v>-13.129222285329863</v>
      </c>
      <c r="F107" s="110">
        <f>+'I) Dépenses thématiques'!O107/'J) Plafonnement effort'!C107</f>
        <v>-24.868486761796884</v>
      </c>
      <c r="G107" s="136">
        <f t="shared" si="5"/>
        <v>-17.51652355704724</v>
      </c>
      <c r="H107" s="417">
        <f>G107-'C) Prél. conj.'!I107</f>
        <v>-22.664760350172919</v>
      </c>
      <c r="I107" s="421">
        <f t="shared" si="6"/>
        <v>0</v>
      </c>
      <c r="J107" s="55">
        <f t="shared" si="7"/>
        <v>0</v>
      </c>
      <c r="K107" s="417">
        <f t="shared" si="8"/>
        <v>-22.664760350172919</v>
      </c>
    </row>
    <row r="108" spans="1:11" x14ac:dyDescent="0.25">
      <c r="A108" s="49">
        <f>'A) Base RI'!A110</f>
        <v>5568</v>
      </c>
      <c r="B108" s="291" t="str">
        <f>'A) Base RI'!B110</f>
        <v>Sainte-Croix</v>
      </c>
      <c r="C108" s="95">
        <f>'B) D RI'!U110</f>
        <v>109442.50057575936</v>
      </c>
      <c r="D108" s="416">
        <f>'E) Part. coh. soc.'!G114/C108</f>
        <v>25.016609975018032</v>
      </c>
      <c r="E108" s="136">
        <f>'H) Péréquation directe'!I119/C108</f>
        <v>-16.997740373608305</v>
      </c>
      <c r="F108" s="110">
        <f>+'I) Dépenses thématiques'!O108/'J) Plafonnement effort'!C108</f>
        <v>-11.948558088939095</v>
      </c>
      <c r="G108" s="136">
        <f t="shared" si="5"/>
        <v>-3.9296884875293685</v>
      </c>
      <c r="H108" s="417">
        <f>G108-'C) Prél. conj.'!I108</f>
        <v>-13.61334976559357</v>
      </c>
      <c r="I108" s="421">
        <f t="shared" si="6"/>
        <v>0</v>
      </c>
      <c r="J108" s="55">
        <f t="shared" si="7"/>
        <v>0</v>
      </c>
      <c r="K108" s="417">
        <f t="shared" si="8"/>
        <v>-13.61334976559357</v>
      </c>
    </row>
    <row r="109" spans="1:11" x14ac:dyDescent="0.25">
      <c r="A109" s="49">
        <f>'A) Base RI'!A111</f>
        <v>5571</v>
      </c>
      <c r="B109" s="291" t="str">
        <f>'A) Base RI'!B111</f>
        <v>Tévenon</v>
      </c>
      <c r="C109" s="95">
        <f>'B) D RI'!U111</f>
        <v>24814.739648311806</v>
      </c>
      <c r="D109" s="416">
        <f>'E) Part. coh. soc.'!G115/C109</f>
        <v>18.139168548014705</v>
      </c>
      <c r="E109" s="136">
        <f>'H) Péréquation directe'!I120/C109</f>
        <v>1.2053598086032919</v>
      </c>
      <c r="F109" s="110">
        <f>+'I) Dépenses thématiques'!O109/'J) Plafonnement effort'!C109</f>
        <v>-4.7638376882311908</v>
      </c>
      <c r="G109" s="136">
        <f t="shared" si="5"/>
        <v>14.580690668386804</v>
      </c>
      <c r="H109" s="417">
        <f>G109-'C) Prél. conj.'!I109</f>
        <v>11.774470817325927</v>
      </c>
      <c r="I109" s="421">
        <f t="shared" si="6"/>
        <v>0</v>
      </c>
      <c r="J109" s="55">
        <f t="shared" si="7"/>
        <v>0</v>
      </c>
      <c r="K109" s="417">
        <f t="shared" si="8"/>
        <v>11.774470817325927</v>
      </c>
    </row>
    <row r="110" spans="1:11" x14ac:dyDescent="0.25">
      <c r="A110" s="49">
        <f>'A) Base RI'!A112</f>
        <v>5581</v>
      </c>
      <c r="B110" s="291" t="str">
        <f>'A) Base RI'!B112</f>
        <v>Belmont-sur-Lausanne</v>
      </c>
      <c r="C110" s="95">
        <f>'B) D RI'!U112</f>
        <v>187390.297037037</v>
      </c>
      <c r="D110" s="416">
        <f>'E) Part. coh. soc.'!G116/C110</f>
        <v>18.371128854427013</v>
      </c>
      <c r="E110" s="136">
        <f>'H) Péréquation directe'!I121/C110</f>
        <v>13.15108679979949</v>
      </c>
      <c r="F110" s="110">
        <f>+'I) Dépenses thématiques'!O110/'J) Plafonnement effort'!C110</f>
        <v>-5.3009368911085861</v>
      </c>
      <c r="G110" s="136">
        <f t="shared" si="5"/>
        <v>26.221278763117915</v>
      </c>
      <c r="H110" s="417">
        <f>G110-'C) Prél. conj.'!I110</f>
        <v>24.245871120069904</v>
      </c>
      <c r="I110" s="421">
        <f t="shared" si="6"/>
        <v>0</v>
      </c>
      <c r="J110" s="55">
        <f t="shared" si="7"/>
        <v>0</v>
      </c>
      <c r="K110" s="417">
        <f t="shared" si="8"/>
        <v>24.245871120069904</v>
      </c>
    </row>
    <row r="111" spans="1:11" x14ac:dyDescent="0.25">
      <c r="A111" s="49">
        <f>'A) Base RI'!A113</f>
        <v>5582</v>
      </c>
      <c r="B111" s="291" t="str">
        <f>'A) Base RI'!B113</f>
        <v>Cheseaux-sur-Lausanne</v>
      </c>
      <c r="C111" s="95">
        <f>'B) D RI'!U113</f>
        <v>165596.20409124478</v>
      </c>
      <c r="D111" s="416">
        <f>'E) Part. coh. soc.'!G117/C111</f>
        <v>18.996372193459408</v>
      </c>
      <c r="E111" s="136">
        <f>'H) Péréquation directe'!I122/C111</f>
        <v>6.0789215532469703</v>
      </c>
      <c r="F111" s="110">
        <f>+'I) Dépenses thématiques'!O111/'J) Plafonnement effort'!C111</f>
        <v>-2.13882756662644</v>
      </c>
      <c r="G111" s="136">
        <f t="shared" si="5"/>
        <v>22.93646618007994</v>
      </c>
      <c r="H111" s="417">
        <f>G111-'C) Prél. conj.'!I111</f>
        <v>19.273042683574356</v>
      </c>
      <c r="I111" s="421">
        <f t="shared" si="6"/>
        <v>0</v>
      </c>
      <c r="J111" s="55">
        <f t="shared" si="7"/>
        <v>0</v>
      </c>
      <c r="K111" s="417">
        <f t="shared" si="8"/>
        <v>19.273042683574356</v>
      </c>
    </row>
    <row r="112" spans="1:11" x14ac:dyDescent="0.25">
      <c r="A112" s="49">
        <f>'A) Base RI'!A114</f>
        <v>5583</v>
      </c>
      <c r="B112" s="291" t="str">
        <f>'A) Base RI'!B114</f>
        <v>Crissier</v>
      </c>
      <c r="C112" s="95">
        <f>'B) D RI'!U114</f>
        <v>307386.12106978399</v>
      </c>
      <c r="D112" s="416">
        <f>'E) Part. coh. soc.'!G118/C112</f>
        <v>20.020197473787523</v>
      </c>
      <c r="E112" s="136">
        <f>'H) Péréquation directe'!I123/C112</f>
        <v>4.7563393172897221</v>
      </c>
      <c r="F112" s="110">
        <f>+'I) Dépenses thématiques'!O112/'J) Plafonnement effort'!C112</f>
        <v>-7.6467365713489217</v>
      </c>
      <c r="G112" s="136">
        <f t="shared" si="5"/>
        <v>17.129800219728324</v>
      </c>
      <c r="H112" s="417">
        <f>G112-'C) Prél. conj.'!I112</f>
        <v>12.442551442894626</v>
      </c>
      <c r="I112" s="421">
        <f t="shared" si="6"/>
        <v>0</v>
      </c>
      <c r="J112" s="55">
        <f t="shared" si="7"/>
        <v>0</v>
      </c>
      <c r="K112" s="417">
        <f t="shared" si="8"/>
        <v>12.442551442894626</v>
      </c>
    </row>
    <row r="113" spans="1:11" x14ac:dyDescent="0.25">
      <c r="A113" s="49">
        <f>'A) Base RI'!A115</f>
        <v>5584</v>
      </c>
      <c r="B113" s="291" t="str">
        <f>'A) Base RI'!B115</f>
        <v>Epalinges</v>
      </c>
      <c r="C113" s="95">
        <f>'B) D RI'!U115</f>
        <v>474209.93693948264</v>
      </c>
      <c r="D113" s="416">
        <f>'E) Part. coh. soc.'!G119/C113</f>
        <v>18.680419367612746</v>
      </c>
      <c r="E113" s="136">
        <f>'H) Péréquation directe'!I124/C113</f>
        <v>9.4315192861245336</v>
      </c>
      <c r="F113" s="110">
        <f>+'I) Dépenses thématiques'!O113/'J) Plafonnement effort'!C113</f>
        <v>-7.4098487634672772</v>
      </c>
      <c r="G113" s="136">
        <f t="shared" si="5"/>
        <v>20.702089890270003</v>
      </c>
      <c r="H113" s="417">
        <f>G113-'C) Prél. conj.'!I113</f>
        <v>18.132858859677992</v>
      </c>
      <c r="I113" s="421">
        <f t="shared" si="6"/>
        <v>0</v>
      </c>
      <c r="J113" s="55">
        <f t="shared" si="7"/>
        <v>0</v>
      </c>
      <c r="K113" s="417">
        <f t="shared" si="8"/>
        <v>18.132858859677992</v>
      </c>
    </row>
    <row r="114" spans="1:11" x14ac:dyDescent="0.25">
      <c r="A114" s="49">
        <f>'A) Base RI'!A116</f>
        <v>5585</v>
      </c>
      <c r="B114" s="291" t="str">
        <f>'A) Base RI'!B116</f>
        <v>Jouxtens-Mézery</v>
      </c>
      <c r="C114" s="95">
        <f>'B) D RI'!U116</f>
        <v>229667.26461667338</v>
      </c>
      <c r="D114" s="416">
        <f>'E) Part. coh. soc.'!G120/C114</f>
        <v>35.377875078268822</v>
      </c>
      <c r="E114" s="136">
        <f>'H) Péréquation directe'!I125/C114</f>
        <v>18.453849255017406</v>
      </c>
      <c r="F114" s="110">
        <f>+'I) Dépenses thématiques'!O114/'J) Plafonnement effort'!C114</f>
        <v>0</v>
      </c>
      <c r="G114" s="136">
        <f t="shared" si="5"/>
        <v>53.831724333286232</v>
      </c>
      <c r="H114" s="417">
        <f>G114-'C) Prél. conj.'!I114</f>
        <v>52.8753351832408</v>
      </c>
      <c r="I114" s="421">
        <f t="shared" si="6"/>
        <v>-4.8753351832408001</v>
      </c>
      <c r="J114" s="55">
        <f t="shared" si="7"/>
        <v>-1119704.8956243426</v>
      </c>
      <c r="K114" s="417">
        <f t="shared" si="8"/>
        <v>48</v>
      </c>
    </row>
    <row r="115" spans="1:11" x14ac:dyDescent="0.25">
      <c r="A115" s="49">
        <f>'A) Base RI'!A117</f>
        <v>5586</v>
      </c>
      <c r="B115" s="291" t="str">
        <f>'A) Base RI'!B117</f>
        <v>Lausanne</v>
      </c>
      <c r="C115" s="95">
        <f>'B) D RI'!U117</f>
        <v>5921149.2978412546</v>
      </c>
      <c r="D115" s="416">
        <f>'E) Part. coh. soc.'!G121/C115</f>
        <v>18.746273161237898</v>
      </c>
      <c r="E115" s="136">
        <f>'H) Péréquation directe'!I126/C115</f>
        <v>-6.346555922143712</v>
      </c>
      <c r="F115" s="110">
        <f>+'I) Dépenses thématiques'!O115/'J) Plafonnement effort'!C115</f>
        <v>-9.5665514221183674</v>
      </c>
      <c r="G115" s="136">
        <f t="shared" si="5"/>
        <v>2.8331658169758196</v>
      </c>
      <c r="H115" s="417">
        <f>G115-'C) Prél. conj.'!I115</f>
        <v>-0.58015864730825051</v>
      </c>
      <c r="I115" s="421">
        <f t="shared" si="6"/>
        <v>0</v>
      </c>
      <c r="J115" s="55">
        <f t="shared" si="7"/>
        <v>0</v>
      </c>
      <c r="K115" s="417">
        <f t="shared" si="8"/>
        <v>-0.58015864730825051</v>
      </c>
    </row>
    <row r="116" spans="1:11" x14ac:dyDescent="0.25">
      <c r="A116" s="49">
        <f>'A) Base RI'!A118</f>
        <v>5587</v>
      </c>
      <c r="B116" s="291" t="str">
        <f>'A) Base RI'!B118</f>
        <v>Le Mont-sur-Lausanne</v>
      </c>
      <c r="C116" s="95">
        <f>'B) D RI'!U118</f>
        <v>435325.60080081096</v>
      </c>
      <c r="D116" s="416">
        <f>'E) Part. coh. soc.'!G122/C116</f>
        <v>18.203834496646433</v>
      </c>
      <c r="E116" s="136">
        <f>'H) Péréquation directe'!I127/C116</f>
        <v>9.9069914255533345</v>
      </c>
      <c r="F116" s="110">
        <f>+'I) Dépenses thématiques'!O116/'J) Plafonnement effort'!C116</f>
        <v>-5.7484191074030697</v>
      </c>
      <c r="G116" s="136">
        <f t="shared" si="5"/>
        <v>22.362406814796696</v>
      </c>
      <c r="H116" s="417">
        <f>G116-'C) Prél. conj.'!I116</f>
        <v>20.240420287239644</v>
      </c>
      <c r="I116" s="421">
        <f t="shared" si="6"/>
        <v>0</v>
      </c>
      <c r="J116" s="55">
        <f t="shared" si="7"/>
        <v>0</v>
      </c>
      <c r="K116" s="417">
        <f t="shared" si="8"/>
        <v>20.240420287239644</v>
      </c>
    </row>
    <row r="117" spans="1:11" x14ac:dyDescent="0.25">
      <c r="A117" s="49">
        <f>'A) Base RI'!A119</f>
        <v>5588</v>
      </c>
      <c r="B117" s="291" t="str">
        <f>'A) Base RI'!B119</f>
        <v>Paudex</v>
      </c>
      <c r="C117" s="95">
        <f>'B) D RI'!U119</f>
        <v>133190.693055262</v>
      </c>
      <c r="D117" s="416">
        <f>'E) Part. coh. soc.'!G123/C117</f>
        <v>26.257253817031067</v>
      </c>
      <c r="E117" s="136">
        <f>'H) Péréquation directe'!I128/C117</f>
        <v>17.300470854968857</v>
      </c>
      <c r="F117" s="110">
        <f>+'I) Dépenses thématiques'!O117/'J) Plafonnement effort'!C117</f>
        <v>0</v>
      </c>
      <c r="G117" s="136">
        <f t="shared" si="5"/>
        <v>43.557724671999921</v>
      </c>
      <c r="H117" s="417">
        <f>G117-'C) Prél. conj.'!I117</f>
        <v>42.922975253247948</v>
      </c>
      <c r="I117" s="421">
        <f t="shared" si="6"/>
        <v>0</v>
      </c>
      <c r="J117" s="55">
        <f t="shared" si="7"/>
        <v>0</v>
      </c>
      <c r="K117" s="417">
        <f t="shared" si="8"/>
        <v>42.922975253247948</v>
      </c>
    </row>
    <row r="118" spans="1:11" x14ac:dyDescent="0.25">
      <c r="A118" s="49">
        <f>'A) Base RI'!A120</f>
        <v>5589</v>
      </c>
      <c r="B118" s="291" t="str">
        <f>'A) Base RI'!B120</f>
        <v>Prilly</v>
      </c>
      <c r="C118" s="95">
        <f>'B) D RI'!U120</f>
        <v>406505.26778654603</v>
      </c>
      <c r="D118" s="416">
        <f>'E) Part. coh. soc.'!G124/C118</f>
        <v>18.016818160541895</v>
      </c>
      <c r="E118" s="136">
        <f>'H) Péréquation directe'!I129/C118</f>
        <v>-6.8030335736125442</v>
      </c>
      <c r="F118" s="110">
        <f>+'I) Dépenses thématiques'!O118/'J) Plafonnement effort'!C118</f>
        <v>-6.897963559616759</v>
      </c>
      <c r="G118" s="136">
        <f t="shared" si="5"/>
        <v>4.315821027312591</v>
      </c>
      <c r="H118" s="417">
        <f>G118-'C) Prél. conj.'!I118</f>
        <v>1.6319515637245261</v>
      </c>
      <c r="I118" s="421">
        <f t="shared" si="6"/>
        <v>0</v>
      </c>
      <c r="J118" s="55">
        <f t="shared" si="7"/>
        <v>0</v>
      </c>
      <c r="K118" s="417">
        <f t="shared" si="8"/>
        <v>1.6319515637245261</v>
      </c>
    </row>
    <row r="119" spans="1:11" x14ac:dyDescent="0.25">
      <c r="A119" s="49">
        <f>'A) Base RI'!A121</f>
        <v>5590</v>
      </c>
      <c r="B119" s="291" t="str">
        <f>'A) Base RI'!B121</f>
        <v>Pully</v>
      </c>
      <c r="C119" s="95">
        <f>'B) D RI'!U121</f>
        <v>1525137.1517209217</v>
      </c>
      <c r="D119" s="416">
        <f>'E) Part. coh. soc.'!G125/C119</f>
        <v>27.02065558889629</v>
      </c>
      <c r="E119" s="136">
        <f>'H) Péréquation directe'!I130/C119</f>
        <v>10.788943533261678</v>
      </c>
      <c r="F119" s="110">
        <f>+'I) Dépenses thématiques'!O119/'J) Plafonnement effort'!C119</f>
        <v>-1.3531195526385753</v>
      </c>
      <c r="G119" s="136">
        <f t="shared" si="5"/>
        <v>36.456479569519395</v>
      </c>
      <c r="H119" s="417">
        <f>G119-'C) Prél. conj.'!I119</f>
        <v>33.175531397511556</v>
      </c>
      <c r="I119" s="421">
        <f t="shared" si="6"/>
        <v>0</v>
      </c>
      <c r="J119" s="55">
        <f t="shared" si="7"/>
        <v>0</v>
      </c>
      <c r="K119" s="417">
        <f t="shared" si="8"/>
        <v>33.175531397511556</v>
      </c>
    </row>
    <row r="120" spans="1:11" x14ac:dyDescent="0.25">
      <c r="A120" s="49">
        <f>'A) Base RI'!A122</f>
        <v>5591</v>
      </c>
      <c r="B120" s="291" t="str">
        <f>'A) Base RI'!B122</f>
        <v>Renens</v>
      </c>
      <c r="C120" s="95">
        <f>'B) D RI'!U122</f>
        <v>560894.98850347521</v>
      </c>
      <c r="D120" s="416">
        <f>'E) Part. coh. soc.'!G126/C120</f>
        <v>18.848611994750943</v>
      </c>
      <c r="E120" s="136">
        <f>'H) Péréquation directe'!I131/C120</f>
        <v>-26.449089119951477</v>
      </c>
      <c r="F120" s="110">
        <f>+'I) Dépenses thématiques'!O120/'J) Plafonnement effort'!C120</f>
        <v>-10.742014080129248</v>
      </c>
      <c r="G120" s="136">
        <f t="shared" si="5"/>
        <v>-18.342491205329782</v>
      </c>
      <c r="H120" s="417">
        <f>G120-'C) Prél. conj.'!I120</f>
        <v>-21.858154503126894</v>
      </c>
      <c r="I120" s="421">
        <f t="shared" si="6"/>
        <v>0</v>
      </c>
      <c r="J120" s="55">
        <f t="shared" si="7"/>
        <v>0</v>
      </c>
      <c r="K120" s="417">
        <f t="shared" si="8"/>
        <v>-21.858154503126894</v>
      </c>
    </row>
    <row r="121" spans="1:11" x14ac:dyDescent="0.25">
      <c r="A121" s="49">
        <f>'A) Base RI'!A123</f>
        <v>5592</v>
      </c>
      <c r="B121" s="291" t="str">
        <f>'A) Base RI'!B123</f>
        <v>Romanel-sur-Lausanne</v>
      </c>
      <c r="C121" s="95">
        <f>'B) D RI'!U123</f>
        <v>112590.71279371857</v>
      </c>
      <c r="D121" s="416">
        <f>'E) Part. coh. soc.'!G127/C121</f>
        <v>18.518997005016523</v>
      </c>
      <c r="E121" s="136">
        <f>'H) Péréquation directe'!I132/C121</f>
        <v>3.8941370686570584</v>
      </c>
      <c r="F121" s="110">
        <f>+'I) Dépenses thématiques'!O121/'J) Plafonnement effort'!C121</f>
        <v>-2.4201791941897803</v>
      </c>
      <c r="G121" s="136">
        <f t="shared" si="5"/>
        <v>19.992954879483801</v>
      </c>
      <c r="H121" s="417">
        <f>G121-'C) Prél. conj.'!I121</f>
        <v>16.806906571421106</v>
      </c>
      <c r="I121" s="421">
        <f t="shared" si="6"/>
        <v>0</v>
      </c>
      <c r="J121" s="55">
        <f t="shared" si="7"/>
        <v>0</v>
      </c>
      <c r="K121" s="417">
        <f t="shared" si="8"/>
        <v>16.806906571421106</v>
      </c>
    </row>
    <row r="122" spans="1:11" x14ac:dyDescent="0.25">
      <c r="A122" s="49">
        <f>'A) Base RI'!A124</f>
        <v>5601</v>
      </c>
      <c r="B122" s="291" t="str">
        <f>'A) Base RI'!B124</f>
        <v>Chexbres</v>
      </c>
      <c r="C122" s="95">
        <f>'B) D RI'!U124</f>
        <v>103283.91611303072</v>
      </c>
      <c r="D122" s="416">
        <f>'E) Part. coh. soc.'!G128/C122</f>
        <v>19.513339456508305</v>
      </c>
      <c r="E122" s="136">
        <f>'H) Péréquation directe'!I133/C122</f>
        <v>14.226261869069106</v>
      </c>
      <c r="F122" s="110">
        <f>+'I) Dépenses thématiques'!O122/'J) Plafonnement effort'!C122</f>
        <v>-2.8476617974862322</v>
      </c>
      <c r="G122" s="136">
        <f t="shared" si="5"/>
        <v>30.891939528091179</v>
      </c>
      <c r="H122" s="417">
        <f>G122-'C) Prél. conj.'!I122</f>
        <v>26.774694888232396</v>
      </c>
      <c r="I122" s="421">
        <f t="shared" si="6"/>
        <v>0</v>
      </c>
      <c r="J122" s="55">
        <f t="shared" si="7"/>
        <v>0</v>
      </c>
      <c r="K122" s="417">
        <f t="shared" si="8"/>
        <v>26.774694888232396</v>
      </c>
    </row>
    <row r="123" spans="1:11" x14ac:dyDescent="0.25">
      <c r="A123" s="49">
        <f>'A) Base RI'!A125</f>
        <v>5604</v>
      </c>
      <c r="B123" s="291" t="str">
        <f>'A) Base RI'!B125</f>
        <v>Forel (Lavaux)</v>
      </c>
      <c r="C123" s="95">
        <f>'B) D RI'!U125</f>
        <v>73662.582961552936</v>
      </c>
      <c r="D123" s="416">
        <f>'E) Part. coh. soc.'!G129/C123</f>
        <v>18.023520789754926</v>
      </c>
      <c r="E123" s="136">
        <f>'H) Péréquation directe'!I134/C123</f>
        <v>7.2726617648897047</v>
      </c>
      <c r="F123" s="110">
        <f>+'I) Dépenses thématiques'!O123/'J) Plafonnement effort'!C123</f>
        <v>-4.6126251639122584</v>
      </c>
      <c r="G123" s="136">
        <f t="shared" si="5"/>
        <v>20.683557390732371</v>
      </c>
      <c r="H123" s="417">
        <f>G123-'C) Prél. conj.'!I123</f>
        <v>17.992985297931273</v>
      </c>
      <c r="I123" s="421">
        <f t="shared" si="6"/>
        <v>0</v>
      </c>
      <c r="J123" s="55">
        <f t="shared" si="7"/>
        <v>0</v>
      </c>
      <c r="K123" s="417">
        <f t="shared" si="8"/>
        <v>17.992985297931273</v>
      </c>
    </row>
    <row r="124" spans="1:11" x14ac:dyDescent="0.25">
      <c r="A124" s="49">
        <f>'A) Base RI'!A126</f>
        <v>5606</v>
      </c>
      <c r="B124" s="291" t="str">
        <f>'A) Base RI'!B126</f>
        <v>Lutry</v>
      </c>
      <c r="C124" s="95">
        <f>'B) D RI'!U126</f>
        <v>807933.92151435383</v>
      </c>
      <c r="D124" s="416">
        <f>'E) Part. coh. soc.'!G130/C124</f>
        <v>26.708061465235843</v>
      </c>
      <c r="E124" s="136">
        <f>'H) Péréquation directe'!I135/C124</f>
        <v>12.958195397039168</v>
      </c>
      <c r="F124" s="110">
        <f>+'I) Dépenses thématiques'!O124/'J) Plafonnement effort'!C124</f>
        <v>-3.0660759480423909</v>
      </c>
      <c r="G124" s="136">
        <f t="shared" si="5"/>
        <v>36.600180914232624</v>
      </c>
      <c r="H124" s="417">
        <f>G124-'C) Prél. conj.'!I124</f>
        <v>32.043084836252703</v>
      </c>
      <c r="I124" s="421">
        <f t="shared" si="6"/>
        <v>0</v>
      </c>
      <c r="J124" s="55">
        <f t="shared" si="7"/>
        <v>0</v>
      </c>
      <c r="K124" s="417">
        <f t="shared" si="8"/>
        <v>32.043084836252703</v>
      </c>
    </row>
    <row r="125" spans="1:11" x14ac:dyDescent="0.25">
      <c r="A125" s="49">
        <f>'A) Base RI'!A127</f>
        <v>5607</v>
      </c>
      <c r="B125" s="291" t="str">
        <f>'A) Base RI'!B127</f>
        <v>Puidoux</v>
      </c>
      <c r="C125" s="95">
        <f>'B) D RI'!U127</f>
        <v>99930.249355206179</v>
      </c>
      <c r="D125" s="416">
        <f>'E) Part. coh. soc.'!G131/C125</f>
        <v>17.166590774125865</v>
      </c>
      <c r="E125" s="136">
        <f>'H) Péréquation directe'!I136/C125</f>
        <v>5.4593619534527118</v>
      </c>
      <c r="F125" s="110">
        <f>+'I) Dépenses thématiques'!O125/'J) Plafonnement effort'!C125</f>
        <v>-7.9271911283947958</v>
      </c>
      <c r="G125" s="136">
        <f t="shared" si="5"/>
        <v>14.698761599183783</v>
      </c>
      <c r="H125" s="417">
        <f>G125-'C) Prél. conj.'!I125</f>
        <v>12.865119522011744</v>
      </c>
      <c r="I125" s="421">
        <f t="shared" si="6"/>
        <v>0</v>
      </c>
      <c r="J125" s="55">
        <f t="shared" si="7"/>
        <v>0</v>
      </c>
      <c r="K125" s="417">
        <f t="shared" si="8"/>
        <v>12.865119522011744</v>
      </c>
    </row>
    <row r="126" spans="1:11" x14ac:dyDescent="0.25">
      <c r="A126" s="49">
        <f>'A) Base RI'!A128</f>
        <v>5609</v>
      </c>
      <c r="B126" s="291" t="str">
        <f>'A) Base RI'!B128</f>
        <v>Rivaz</v>
      </c>
      <c r="C126" s="95">
        <f>'B) D RI'!U128</f>
        <v>13671.143301269074</v>
      </c>
      <c r="D126" s="416">
        <f>'E) Part. coh. soc.'!G132/C126</f>
        <v>16.694758721889471</v>
      </c>
      <c r="E126" s="136">
        <f>'H) Péréquation directe'!I137/C126</f>
        <v>14.105779421531752</v>
      </c>
      <c r="F126" s="110">
        <f>+'I) Dépenses thématiques'!O126/'J) Plafonnement effort'!C126</f>
        <v>-3.6207986102186385</v>
      </c>
      <c r="G126" s="136">
        <f t="shared" si="5"/>
        <v>27.179739533202582</v>
      </c>
      <c r="H126" s="417">
        <f>G126-'C) Prél. conj.'!I126</f>
        <v>25.817929508266939</v>
      </c>
      <c r="I126" s="421">
        <f t="shared" si="6"/>
        <v>0</v>
      </c>
      <c r="J126" s="55">
        <f t="shared" si="7"/>
        <v>0</v>
      </c>
      <c r="K126" s="417">
        <f t="shared" si="8"/>
        <v>25.817929508266939</v>
      </c>
    </row>
    <row r="127" spans="1:11" x14ac:dyDescent="0.25">
      <c r="A127" s="49">
        <f>'A) Base RI'!A129</f>
        <v>5610</v>
      </c>
      <c r="B127" s="291" t="str">
        <f>'A) Base RI'!B129</f>
        <v>St-Saphorin (Lavaux)</v>
      </c>
      <c r="C127" s="95">
        <f>'B) D RI'!U129</f>
        <v>22273.105318410097</v>
      </c>
      <c r="D127" s="416">
        <f>'E) Part. coh. soc.'!G133/C127</f>
        <v>19.326902288646437</v>
      </c>
      <c r="E127" s="136">
        <f>'H) Péréquation directe'!I138/C127</f>
        <v>17.482817631779366</v>
      </c>
      <c r="F127" s="110">
        <f>+'I) Dépenses thématiques'!O127/'J) Plafonnement effort'!C127</f>
        <v>-0.97351726197822119</v>
      </c>
      <c r="G127" s="136">
        <f t="shared" si="5"/>
        <v>35.836202658447583</v>
      </c>
      <c r="H127" s="417">
        <f>G127-'C) Prél. conj.'!I127</f>
        <v>35.077387272878958</v>
      </c>
      <c r="I127" s="421">
        <f t="shared" si="6"/>
        <v>0</v>
      </c>
      <c r="J127" s="55">
        <f t="shared" si="7"/>
        <v>0</v>
      </c>
      <c r="K127" s="417">
        <f t="shared" si="8"/>
        <v>35.077387272878958</v>
      </c>
    </row>
    <row r="128" spans="1:11" x14ac:dyDescent="0.25">
      <c r="A128" s="49">
        <f>'A) Base RI'!A130</f>
        <v>5611</v>
      </c>
      <c r="B128" s="291" t="str">
        <f>'A) Base RI'!B130</f>
        <v>Savigny</v>
      </c>
      <c r="C128" s="95">
        <f>'B) D RI'!U130</f>
        <v>134511.88344270343</v>
      </c>
      <c r="D128" s="416">
        <f>'E) Part. coh. soc.'!G134/C128</f>
        <v>20.203691996590081</v>
      </c>
      <c r="E128" s="136">
        <f>'H) Péréquation directe'!I139/C128</f>
        <v>9.3478551766118336</v>
      </c>
      <c r="F128" s="110">
        <f>+'I) Dépenses thématiques'!O128/'J) Plafonnement effort'!C128</f>
        <v>-3.564395347935184</v>
      </c>
      <c r="G128" s="136">
        <f t="shared" si="5"/>
        <v>25.987151825266729</v>
      </c>
      <c r="H128" s="417">
        <f>G128-'C) Prél. conj.'!I128</f>
        <v>21.116408525630476</v>
      </c>
      <c r="I128" s="421">
        <f t="shared" si="6"/>
        <v>0</v>
      </c>
      <c r="J128" s="55">
        <f t="shared" si="7"/>
        <v>0</v>
      </c>
      <c r="K128" s="417">
        <f t="shared" si="8"/>
        <v>21.116408525630476</v>
      </c>
    </row>
    <row r="129" spans="1:11" x14ac:dyDescent="0.25">
      <c r="A129" s="49">
        <f>'A) Base RI'!A131</f>
        <v>5613</v>
      </c>
      <c r="B129" s="291" t="str">
        <f>'A) Base RI'!B131</f>
        <v>Bourg-en-Lavaux</v>
      </c>
      <c r="C129" s="95">
        <f>'B) D RI'!U131</f>
        <v>332932.37553055235</v>
      </c>
      <c r="D129" s="416">
        <f>'E) Part. coh. soc.'!G135/C129</f>
        <v>22.392294264311264</v>
      </c>
      <c r="E129" s="136">
        <f>'H) Péréquation directe'!I140/C129</f>
        <v>13.514681002697641</v>
      </c>
      <c r="F129" s="110">
        <f>+'I) Dépenses thématiques'!O129/'J) Plafonnement effort'!C129</f>
        <v>0</v>
      </c>
      <c r="G129" s="136">
        <f t="shared" si="5"/>
        <v>35.906975267008903</v>
      </c>
      <c r="H129" s="417">
        <f>G129-'C) Prél. conj.'!I129</f>
        <v>32.922991542335566</v>
      </c>
      <c r="I129" s="421">
        <f t="shared" si="6"/>
        <v>0</v>
      </c>
      <c r="J129" s="55">
        <f t="shared" si="7"/>
        <v>0</v>
      </c>
      <c r="K129" s="417">
        <f t="shared" si="8"/>
        <v>32.922991542335566</v>
      </c>
    </row>
    <row r="130" spans="1:11" x14ac:dyDescent="0.25">
      <c r="A130" s="49">
        <f>'A) Base RI'!A132</f>
        <v>5621</v>
      </c>
      <c r="B130" s="291" t="str">
        <f>'A) Base RI'!B132</f>
        <v>Aclens</v>
      </c>
      <c r="C130" s="95">
        <f>'B) D RI'!U132</f>
        <v>27011.410978345568</v>
      </c>
      <c r="D130" s="416">
        <f>'E) Part. coh. soc.'!G136/C130</f>
        <v>21.627904628042042</v>
      </c>
      <c r="E130" s="136">
        <f>'H) Péréquation directe'!I141/C130</f>
        <v>17.141860400548275</v>
      </c>
      <c r="F130" s="110">
        <f>+'I) Dépenses thématiques'!O130/'J) Plafonnement effort'!C130</f>
        <v>-0.12720328135929285</v>
      </c>
      <c r="G130" s="136">
        <f t="shared" si="5"/>
        <v>38.642561747231021</v>
      </c>
      <c r="H130" s="417">
        <f>G130-'C) Prél. conj.'!I130</f>
        <v>33.365397214275895</v>
      </c>
      <c r="I130" s="421">
        <f t="shared" si="6"/>
        <v>0</v>
      </c>
      <c r="J130" s="55">
        <f t="shared" si="7"/>
        <v>0</v>
      </c>
      <c r="K130" s="417">
        <f t="shared" si="8"/>
        <v>33.365397214275895</v>
      </c>
    </row>
    <row r="131" spans="1:11" x14ac:dyDescent="0.25">
      <c r="A131" s="49">
        <f>'A) Base RI'!A133</f>
        <v>5622</v>
      </c>
      <c r="B131" s="291" t="str">
        <f>'A) Base RI'!B133</f>
        <v>Bremblens</v>
      </c>
      <c r="C131" s="95">
        <f>'B) D RI'!U133</f>
        <v>26937.345606060608</v>
      </c>
      <c r="D131" s="416">
        <f>'E) Part. coh. soc.'!G137/C131</f>
        <v>20.0243590218073</v>
      </c>
      <c r="E131" s="136">
        <f>'H) Péréquation directe'!I142/C131</f>
        <v>16.957745559439168</v>
      </c>
      <c r="F131" s="110">
        <f>+'I) Dépenses thématiques'!O131/'J) Plafonnement effort'!C131</f>
        <v>0</v>
      </c>
      <c r="G131" s="136">
        <f t="shared" si="5"/>
        <v>36.982104581246467</v>
      </c>
      <c r="H131" s="417">
        <f>G131-'C) Prél. conj.'!I131</f>
        <v>32.484258291122757</v>
      </c>
      <c r="I131" s="421">
        <f t="shared" si="6"/>
        <v>0</v>
      </c>
      <c r="J131" s="55">
        <f t="shared" si="7"/>
        <v>0</v>
      </c>
      <c r="K131" s="417">
        <f t="shared" si="8"/>
        <v>32.484258291122757</v>
      </c>
    </row>
    <row r="132" spans="1:11" x14ac:dyDescent="0.25">
      <c r="A132" s="49">
        <f>'A) Base RI'!A134</f>
        <v>5623</v>
      </c>
      <c r="B132" s="291" t="str">
        <f>'A) Base RI'!B134</f>
        <v>Buchillon</v>
      </c>
      <c r="C132" s="95">
        <f>'B) D RI'!U134</f>
        <v>89461.877418085525</v>
      </c>
      <c r="D132" s="416">
        <f>'E) Part. coh. soc.'!G138/C132</f>
        <v>31.916453901058183</v>
      </c>
      <c r="E132" s="136">
        <f>'H) Péréquation directe'!I143/C132</f>
        <v>18.685393154036262</v>
      </c>
      <c r="F132" s="110">
        <f>+'I) Dépenses thématiques'!O132/'J) Plafonnement effort'!C132</f>
        <v>0</v>
      </c>
      <c r="G132" s="136">
        <f t="shared" si="5"/>
        <v>50.601847055094446</v>
      </c>
      <c r="H132" s="417">
        <f>G132-'C) Prél. conj.'!I132</f>
        <v>47.992695629519602</v>
      </c>
      <c r="I132" s="421">
        <f t="shared" si="6"/>
        <v>0</v>
      </c>
      <c r="J132" s="55">
        <f t="shared" si="7"/>
        <v>0</v>
      </c>
      <c r="K132" s="417">
        <f t="shared" si="8"/>
        <v>47.992695629519602</v>
      </c>
    </row>
    <row r="133" spans="1:11" x14ac:dyDescent="0.25">
      <c r="A133" s="49">
        <f>'A) Base RI'!A135</f>
        <v>5624</v>
      </c>
      <c r="B133" s="291" t="str">
        <f>'A) Base RI'!B135</f>
        <v>Bussigny</v>
      </c>
      <c r="C133" s="95">
        <f>'B) D RI'!U135</f>
        <v>400390.10765672859</v>
      </c>
      <c r="D133" s="416">
        <f>'E) Part. coh. soc.'!G139/C133</f>
        <v>20.157811956703085</v>
      </c>
      <c r="E133" s="136">
        <f>'H) Péréquation directe'!I144/C133</f>
        <v>8.6213348569298223</v>
      </c>
      <c r="F133" s="110">
        <f>+'I) Dépenses thématiques'!O133/'J) Plafonnement effort'!C133</f>
        <v>-2.4992625337144059</v>
      </c>
      <c r="G133" s="136">
        <f t="shared" ref="G133:G196" si="9">SUM(D133:F133)</f>
        <v>26.279884279918498</v>
      </c>
      <c r="H133" s="417">
        <f>G133-'C) Prél. conj.'!I133</f>
        <v>21.455021020169241</v>
      </c>
      <c r="I133" s="421">
        <f t="shared" ref="I133:I196" si="10">IF(H133&gt;I$4,I$4-H133,0)</f>
        <v>0</v>
      </c>
      <c r="J133" s="55">
        <f t="shared" ref="J133:J196" si="11">I133*C133</f>
        <v>0</v>
      </c>
      <c r="K133" s="417">
        <f t="shared" ref="K133:K196" si="12">H133+I133</f>
        <v>21.455021020169241</v>
      </c>
    </row>
    <row r="134" spans="1:11" x14ac:dyDescent="0.25">
      <c r="A134" s="49">
        <f>'A) Base RI'!A136</f>
        <v>5625</v>
      </c>
      <c r="B134" s="291" t="str">
        <f>'A) Base RI'!B136</f>
        <v>Bussy-Chardonney</v>
      </c>
      <c r="C134" s="95">
        <f>'B) D RI'!U136</f>
        <v>16815.127999439792</v>
      </c>
      <c r="D134" s="416">
        <f>'E) Part. coh. soc.'!G140/C134</f>
        <v>17.923528144309284</v>
      </c>
      <c r="E134" s="136">
        <f>'H) Péréquation directe'!I145/C134</f>
        <v>15.597699351632887</v>
      </c>
      <c r="F134" s="110">
        <f>+'I) Dépenses thématiques'!O134/'J) Plafonnement effort'!C134</f>
        <v>-1.9860254261515631</v>
      </c>
      <c r="G134" s="136">
        <f t="shared" si="9"/>
        <v>31.535202069790607</v>
      </c>
      <c r="H134" s="417">
        <f>G134-'C) Prél. conj.'!I134</f>
        <v>28.944622622435151</v>
      </c>
      <c r="I134" s="421">
        <f t="shared" si="10"/>
        <v>0</v>
      </c>
      <c r="J134" s="55">
        <f t="shared" si="11"/>
        <v>0</v>
      </c>
      <c r="K134" s="417">
        <f t="shared" si="12"/>
        <v>28.944622622435151</v>
      </c>
    </row>
    <row r="135" spans="1:11" x14ac:dyDescent="0.25">
      <c r="A135" s="49">
        <f>'A) Base RI'!A137</f>
        <v>5627</v>
      </c>
      <c r="B135" s="291" t="str">
        <f>'A) Base RI'!B137</f>
        <v>Chavannes-près-Renens</v>
      </c>
      <c r="C135" s="95">
        <f>'B) D RI'!U137</f>
        <v>214338.77376035714</v>
      </c>
      <c r="D135" s="416">
        <f>'E) Part. coh. soc.'!G141/C135</f>
        <v>21.952180299847345</v>
      </c>
      <c r="E135" s="136">
        <f>'H) Péréquation directe'!I146/C135</f>
        <v>-14.099553181134558</v>
      </c>
      <c r="F135" s="110">
        <f>+'I) Dépenses thématiques'!O135/'J) Plafonnement effort'!C135</f>
        <v>-5.8694954763548468</v>
      </c>
      <c r="G135" s="136">
        <f t="shared" si="9"/>
        <v>1.9831316423579404</v>
      </c>
      <c r="H135" s="417">
        <f>G135-'C) Prél. conj.'!I135</f>
        <v>-4.636099960535577</v>
      </c>
      <c r="I135" s="421">
        <f t="shared" si="10"/>
        <v>0</v>
      </c>
      <c r="J135" s="55">
        <f t="shared" si="11"/>
        <v>0</v>
      </c>
      <c r="K135" s="417">
        <f t="shared" si="12"/>
        <v>-4.636099960535577</v>
      </c>
    </row>
    <row r="136" spans="1:11" x14ac:dyDescent="0.25">
      <c r="A136" s="49">
        <f>'A) Base RI'!A138</f>
        <v>5628</v>
      </c>
      <c r="B136" s="291" t="str">
        <f>'A) Base RI'!B138</f>
        <v>Chigny</v>
      </c>
      <c r="C136" s="95">
        <f>'B) D RI'!U138</f>
        <v>22372.02129032258</v>
      </c>
      <c r="D136" s="416">
        <f>'E) Part. coh. soc.'!G142/C136</f>
        <v>21.90509747004532</v>
      </c>
      <c r="E136" s="136">
        <f>'H) Péréquation directe'!I147/C136</f>
        <v>17.503624881138421</v>
      </c>
      <c r="F136" s="110">
        <f>+'I) Dépenses thématiques'!O136/'J) Plafonnement effort'!C136</f>
        <v>0</v>
      </c>
      <c r="G136" s="136">
        <f t="shared" si="9"/>
        <v>39.408722351183741</v>
      </c>
      <c r="H136" s="417">
        <f>G136-'C) Prél. conj.'!I136</f>
        <v>35.853139511004301</v>
      </c>
      <c r="I136" s="421">
        <f t="shared" si="10"/>
        <v>0</v>
      </c>
      <c r="J136" s="55">
        <f t="shared" si="11"/>
        <v>0</v>
      </c>
      <c r="K136" s="417">
        <f t="shared" si="12"/>
        <v>35.853139511004301</v>
      </c>
    </row>
    <row r="137" spans="1:11" x14ac:dyDescent="0.25">
      <c r="A137" s="49">
        <f>'A) Base RI'!A139</f>
        <v>5629</v>
      </c>
      <c r="B137" s="291" t="str">
        <f>'A) Base RI'!B139</f>
        <v>Clarmont</v>
      </c>
      <c r="C137" s="95">
        <f>'B) D RI'!U139</f>
        <v>6749.9170666666651</v>
      </c>
      <c r="D137" s="416">
        <f>'E) Part. coh. soc.'!G143/C137</f>
        <v>22.93992734467173</v>
      </c>
      <c r="E137" s="136">
        <f>'H) Péréquation directe'!I148/C137</f>
        <v>9.3941343072973016</v>
      </c>
      <c r="F137" s="110">
        <f>+'I) Dépenses thématiques'!O137/'J) Plafonnement effort'!C137</f>
        <v>-6.7377834512565586</v>
      </c>
      <c r="G137" s="136">
        <f t="shared" si="9"/>
        <v>25.596278200712472</v>
      </c>
      <c r="H137" s="417">
        <f>G137-'C) Prél. conj.'!I137</f>
        <v>17.989299552994567</v>
      </c>
      <c r="I137" s="421">
        <f t="shared" si="10"/>
        <v>0</v>
      </c>
      <c r="J137" s="55">
        <f t="shared" si="11"/>
        <v>0</v>
      </c>
      <c r="K137" s="417">
        <f t="shared" si="12"/>
        <v>17.989299552994567</v>
      </c>
    </row>
    <row r="138" spans="1:11" x14ac:dyDescent="0.25">
      <c r="A138" s="49">
        <f>'A) Base RI'!A140</f>
        <v>5631</v>
      </c>
      <c r="B138" s="291" t="str">
        <f>'A) Base RI'!B140</f>
        <v>Denens</v>
      </c>
      <c r="C138" s="95">
        <f>'B) D RI'!U140</f>
        <v>51374.095571428574</v>
      </c>
      <c r="D138" s="416">
        <f>'E) Part. coh. soc.'!G144/C138</f>
        <v>22.486892229094209</v>
      </c>
      <c r="E138" s="136">
        <f>'H) Péréquation directe'!I149/C138</f>
        <v>17.834257470935444</v>
      </c>
      <c r="F138" s="110">
        <f>+'I) Dépenses thématiques'!O138/'J) Plafonnement effort'!C138</f>
        <v>0</v>
      </c>
      <c r="G138" s="136">
        <f t="shared" si="9"/>
        <v>40.32114970002965</v>
      </c>
      <c r="H138" s="417">
        <f>G138-'C) Prél. conj.'!I138</f>
        <v>39.308775673363087</v>
      </c>
      <c r="I138" s="421">
        <f t="shared" si="10"/>
        <v>0</v>
      </c>
      <c r="J138" s="55">
        <f t="shared" si="11"/>
        <v>0</v>
      </c>
      <c r="K138" s="417">
        <f t="shared" si="12"/>
        <v>39.308775673363087</v>
      </c>
    </row>
    <row r="139" spans="1:11" x14ac:dyDescent="0.25">
      <c r="A139" s="49">
        <f>'A) Base RI'!A141</f>
        <v>5632</v>
      </c>
      <c r="B139" s="291" t="str">
        <f>'A) Base RI'!B141</f>
        <v>Denges</v>
      </c>
      <c r="C139" s="95">
        <f>'B) D RI'!U141</f>
        <v>73160.20406689003</v>
      </c>
      <c r="D139" s="416">
        <f>'E) Part. coh. soc.'!G145/C139</f>
        <v>17.684581899653743</v>
      </c>
      <c r="E139" s="136">
        <f>'H) Péréquation directe'!I150/C139</f>
        <v>14.826106639710321</v>
      </c>
      <c r="F139" s="110">
        <f>+'I) Dépenses thématiques'!O139/'J) Plafonnement effort'!C139</f>
        <v>-2.0875298120593566</v>
      </c>
      <c r="G139" s="136">
        <f t="shared" si="9"/>
        <v>30.42315872730471</v>
      </c>
      <c r="H139" s="417">
        <f>G139-'C) Prél. conj.'!I139</f>
        <v>28.071525524604795</v>
      </c>
      <c r="I139" s="421">
        <f t="shared" si="10"/>
        <v>0</v>
      </c>
      <c r="J139" s="55">
        <f t="shared" si="11"/>
        <v>0</v>
      </c>
      <c r="K139" s="417">
        <f t="shared" si="12"/>
        <v>28.071525524604795</v>
      </c>
    </row>
    <row r="140" spans="1:11" x14ac:dyDescent="0.25">
      <c r="A140" s="49">
        <f>'A) Base RI'!A142</f>
        <v>5633</v>
      </c>
      <c r="B140" s="291" t="str">
        <f>'A) Base RI'!B142</f>
        <v>Echandens</v>
      </c>
      <c r="C140" s="95">
        <f>'B) D RI'!U142</f>
        <v>160114.83181506293</v>
      </c>
      <c r="D140" s="416">
        <f>'E) Part. coh. soc.'!G146/C140</f>
        <v>20.225024037655665</v>
      </c>
      <c r="E140" s="136">
        <f>'H) Péréquation directe'!I151/C140</f>
        <v>15.043651066085699</v>
      </c>
      <c r="F140" s="110">
        <f>+'I) Dépenses thématiques'!O140/'J) Plafonnement effort'!C140</f>
        <v>-3.3638133298787567</v>
      </c>
      <c r="G140" s="136">
        <f t="shared" si="9"/>
        <v>31.90486177386261</v>
      </c>
      <c r="H140" s="417">
        <f>G140-'C) Prél. conj.'!I140</f>
        <v>30.000536412223532</v>
      </c>
      <c r="I140" s="421">
        <f t="shared" si="10"/>
        <v>0</v>
      </c>
      <c r="J140" s="55">
        <f t="shared" si="11"/>
        <v>0</v>
      </c>
      <c r="K140" s="417">
        <f t="shared" si="12"/>
        <v>30.000536412223532</v>
      </c>
    </row>
    <row r="141" spans="1:11" x14ac:dyDescent="0.25">
      <c r="A141" s="49">
        <f>'A) Base RI'!A143</f>
        <v>5634</v>
      </c>
      <c r="B141" s="291" t="str">
        <f>'A) Base RI'!B143</f>
        <v>Echichens</v>
      </c>
      <c r="C141" s="95">
        <f>'B) D RI'!U143</f>
        <v>173888.96393435504</v>
      </c>
      <c r="D141" s="416">
        <f>'E) Part. coh. soc.'!G147/C141</f>
        <v>21.79026588369916</v>
      </c>
      <c r="E141" s="136">
        <f>'H) Péréquation directe'!I152/C141</f>
        <v>14.657931973394083</v>
      </c>
      <c r="F141" s="110">
        <f>+'I) Dépenses thématiques'!O141/'J) Plafonnement effort'!C141</f>
        <v>0</v>
      </c>
      <c r="G141" s="136">
        <f t="shared" si="9"/>
        <v>36.448197857093241</v>
      </c>
      <c r="H141" s="417">
        <f>G141-'C) Prél. conj.'!I141</f>
        <v>32.678467736397003</v>
      </c>
      <c r="I141" s="421">
        <f t="shared" si="10"/>
        <v>0</v>
      </c>
      <c r="J141" s="55">
        <f t="shared" si="11"/>
        <v>0</v>
      </c>
      <c r="K141" s="417">
        <f t="shared" si="12"/>
        <v>32.678467736397003</v>
      </c>
    </row>
    <row r="142" spans="1:11" x14ac:dyDescent="0.25">
      <c r="A142" s="49">
        <f>'A) Base RI'!A144</f>
        <v>5635</v>
      </c>
      <c r="B142" s="291" t="str">
        <f>'A) Base RI'!B144</f>
        <v>Ecublens</v>
      </c>
      <c r="C142" s="95">
        <f>'B) D RI'!U144</f>
        <v>488507.72683115519</v>
      </c>
      <c r="D142" s="416">
        <f>'E) Part. coh. soc.'!G148/C142</f>
        <v>19.28042906232891</v>
      </c>
      <c r="E142" s="136">
        <f>'H) Péréquation directe'!I153/C142</f>
        <v>-0.29085379713570569</v>
      </c>
      <c r="F142" s="110">
        <f>+'I) Dépenses thématiques'!O142/'J) Plafonnement effort'!C142</f>
        <v>-5.7490961861923857</v>
      </c>
      <c r="G142" s="136">
        <f t="shared" si="9"/>
        <v>13.240479079000817</v>
      </c>
      <c r="H142" s="417">
        <f>G142-'C) Prél. conj.'!I142</f>
        <v>9.2929987136257335</v>
      </c>
      <c r="I142" s="421">
        <f t="shared" si="10"/>
        <v>0</v>
      </c>
      <c r="J142" s="55">
        <f t="shared" si="11"/>
        <v>0</v>
      </c>
      <c r="K142" s="417">
        <f t="shared" si="12"/>
        <v>9.2929987136257335</v>
      </c>
    </row>
    <row r="143" spans="1:11" x14ac:dyDescent="0.25">
      <c r="A143" s="49">
        <f>'A) Base RI'!A145</f>
        <v>5636</v>
      </c>
      <c r="B143" s="291" t="str">
        <f>'A) Base RI'!B145</f>
        <v>Etoy</v>
      </c>
      <c r="C143" s="95">
        <f>'B) D RI'!U145</f>
        <v>176831.6240274295</v>
      </c>
      <c r="D143" s="416">
        <f>'E) Part. coh. soc.'!G149/C143</f>
        <v>22.374739585085745</v>
      </c>
      <c r="E143" s="136">
        <f>'H) Péréquation directe'!I154/C143</f>
        <v>15.093079380376958</v>
      </c>
      <c r="F143" s="110">
        <f>+'I) Dépenses thématiques'!O143/'J) Plafonnement effort'!C143</f>
        <v>-0.97932101296262264</v>
      </c>
      <c r="G143" s="136">
        <f t="shared" si="9"/>
        <v>36.488497952500083</v>
      </c>
      <c r="H143" s="417">
        <f>G143-'C) Prél. conj.'!I143</f>
        <v>32.853257403556832</v>
      </c>
      <c r="I143" s="421">
        <f t="shared" si="10"/>
        <v>0</v>
      </c>
      <c r="J143" s="55">
        <f t="shared" si="11"/>
        <v>0</v>
      </c>
      <c r="K143" s="417">
        <f t="shared" si="12"/>
        <v>32.853257403556832</v>
      </c>
    </row>
    <row r="144" spans="1:11" x14ac:dyDescent="0.25">
      <c r="A144" s="49">
        <f>'A) Base RI'!A146</f>
        <v>5637</v>
      </c>
      <c r="B144" s="291" t="str">
        <f>'A) Base RI'!B146</f>
        <v>Lavigny</v>
      </c>
      <c r="C144" s="95">
        <f>'B) D RI'!U146</f>
        <v>37137.682399987621</v>
      </c>
      <c r="D144" s="416">
        <f>'E) Part. coh. soc.'!G150/C144</f>
        <v>18.56588993725158</v>
      </c>
      <c r="E144" s="136">
        <f>'H) Péréquation directe'!I155/C144</f>
        <v>11.280333133144747</v>
      </c>
      <c r="F144" s="110">
        <f>+'I) Dépenses thématiques'!O144/'J) Plafonnement effort'!C144</f>
        <v>-4.7809309044947854</v>
      </c>
      <c r="G144" s="136">
        <f t="shared" si="9"/>
        <v>25.065292165901543</v>
      </c>
      <c r="H144" s="417">
        <f>G144-'C) Prél. conj.'!I144</f>
        <v>21.832350925603791</v>
      </c>
      <c r="I144" s="421">
        <f t="shared" si="10"/>
        <v>0</v>
      </c>
      <c r="J144" s="55">
        <f t="shared" si="11"/>
        <v>0</v>
      </c>
      <c r="K144" s="417">
        <f t="shared" si="12"/>
        <v>21.832350925603791</v>
      </c>
    </row>
    <row r="145" spans="1:11" x14ac:dyDescent="0.25">
      <c r="A145" s="49">
        <f>'A) Base RI'!A147</f>
        <v>5638</v>
      </c>
      <c r="B145" s="291" t="str">
        <f>'A) Base RI'!B147</f>
        <v>Lonay</v>
      </c>
      <c r="C145" s="95">
        <f>'B) D RI'!U147</f>
        <v>154797.39129324263</v>
      </c>
      <c r="D145" s="416">
        <f>'E) Part. coh. soc.'!G151/C145</f>
        <v>28.419198541007276</v>
      </c>
      <c r="E145" s="136">
        <f>'H) Péréquation directe'!I156/C145</f>
        <v>15.028623144376303</v>
      </c>
      <c r="F145" s="110">
        <f>+'I) Dépenses thématiques'!O145/'J) Plafonnement effort'!C145</f>
        <v>-2.4928403428913173</v>
      </c>
      <c r="G145" s="136">
        <f t="shared" si="9"/>
        <v>40.95498134249226</v>
      </c>
      <c r="H145" s="417">
        <f>G145-'C) Prél. conj.'!I145</f>
        <v>30.372906597467104</v>
      </c>
      <c r="I145" s="421">
        <f t="shared" si="10"/>
        <v>0</v>
      </c>
      <c r="J145" s="55">
        <f t="shared" si="11"/>
        <v>0</v>
      </c>
      <c r="K145" s="417">
        <f t="shared" si="12"/>
        <v>30.372906597467104</v>
      </c>
    </row>
    <row r="146" spans="1:11" x14ac:dyDescent="0.25">
      <c r="A146" s="49">
        <f>'A) Base RI'!A148</f>
        <v>5639</v>
      </c>
      <c r="B146" s="291" t="str">
        <f>'A) Base RI'!B148</f>
        <v>Lully</v>
      </c>
      <c r="C146" s="95">
        <f>'B) D RI'!U148</f>
        <v>46990.489786222082</v>
      </c>
      <c r="D146" s="416">
        <f>'E) Part. coh. soc.'!G152/C146</f>
        <v>19.388362725316906</v>
      </c>
      <c r="E146" s="136">
        <f>'H) Péréquation directe'!I157/C146</f>
        <v>17.461805716962878</v>
      </c>
      <c r="F146" s="110">
        <f>+'I) Dépenses thématiques'!O146/'J) Plafonnement effort'!C146</f>
        <v>0</v>
      </c>
      <c r="G146" s="136">
        <f t="shared" si="9"/>
        <v>36.850168442279781</v>
      </c>
      <c r="H146" s="417">
        <f>G146-'C) Prél. conj.'!I146</f>
        <v>35.46376365491998</v>
      </c>
      <c r="I146" s="421">
        <f t="shared" si="10"/>
        <v>0</v>
      </c>
      <c r="J146" s="55">
        <f t="shared" si="11"/>
        <v>0</v>
      </c>
      <c r="K146" s="417">
        <f t="shared" si="12"/>
        <v>35.46376365491998</v>
      </c>
    </row>
    <row r="147" spans="1:11" x14ac:dyDescent="0.25">
      <c r="A147" s="49">
        <f>'A) Base RI'!A149</f>
        <v>5640</v>
      </c>
      <c r="B147" s="291" t="str">
        <f>'A) Base RI'!B149</f>
        <v>Lussy-sur-Morges</v>
      </c>
      <c r="C147" s="95">
        <f>'B) D RI'!U149</f>
        <v>60932.654829076157</v>
      </c>
      <c r="D147" s="416">
        <f>'E) Part. coh. soc.'!G153/C147</f>
        <v>29.22548645501443</v>
      </c>
      <c r="E147" s="136">
        <f>'H) Péréquation directe'!I158/C147</f>
        <v>18.213735508020768</v>
      </c>
      <c r="F147" s="110">
        <f>+'I) Dépenses thématiques'!O147/'J) Plafonnement effort'!C147</f>
        <v>0</v>
      </c>
      <c r="G147" s="136">
        <f t="shared" si="9"/>
        <v>47.439221963035195</v>
      </c>
      <c r="H147" s="417">
        <f>G147-'C) Prél. conj.'!I147</f>
        <v>43.647559091163195</v>
      </c>
      <c r="I147" s="421">
        <f t="shared" si="10"/>
        <v>0</v>
      </c>
      <c r="J147" s="55">
        <f t="shared" si="11"/>
        <v>0</v>
      </c>
      <c r="K147" s="417">
        <f t="shared" si="12"/>
        <v>43.647559091163195</v>
      </c>
    </row>
    <row r="148" spans="1:11" x14ac:dyDescent="0.25">
      <c r="A148" s="49">
        <f>'A) Base RI'!A150</f>
        <v>5642</v>
      </c>
      <c r="B148" s="291" t="str">
        <f>'A) Base RI'!B150</f>
        <v>Morges</v>
      </c>
      <c r="C148" s="95">
        <f>'B) D RI'!U150</f>
        <v>860073.47085290938</v>
      </c>
      <c r="D148" s="416">
        <f>'E) Part. coh. soc.'!G154/C148</f>
        <v>21.340017289467319</v>
      </c>
      <c r="E148" s="136">
        <f>'H) Péréquation directe'!I159/C148</f>
        <v>7.1686003099883813</v>
      </c>
      <c r="F148" s="110">
        <f>+'I) Dépenses thématiques'!O148/'J) Plafonnement effort'!C148</f>
        <v>-0.97435503282197089</v>
      </c>
      <c r="G148" s="136">
        <f t="shared" si="9"/>
        <v>27.534262566633728</v>
      </c>
      <c r="H148" s="417">
        <f>G148-'C) Prél. conj.'!I148</f>
        <v>23.604512877170247</v>
      </c>
      <c r="I148" s="421">
        <f t="shared" si="10"/>
        <v>0</v>
      </c>
      <c r="J148" s="55">
        <f t="shared" si="11"/>
        <v>0</v>
      </c>
      <c r="K148" s="417">
        <f t="shared" si="12"/>
        <v>23.604512877170247</v>
      </c>
    </row>
    <row r="149" spans="1:11" x14ac:dyDescent="0.25">
      <c r="A149" s="49">
        <f>'A) Base RI'!A151</f>
        <v>5643</v>
      </c>
      <c r="B149" s="291" t="str">
        <f>'A) Base RI'!B151</f>
        <v>Préverenges</v>
      </c>
      <c r="C149" s="95">
        <f>'B) D RI'!U151</f>
        <v>258751.58879529274</v>
      </c>
      <c r="D149" s="416">
        <f>'E) Part. coh. soc.'!G155/C149</f>
        <v>19.786800661204634</v>
      </c>
      <c r="E149" s="136">
        <f>'H) Péréquation directe'!I160/C149</f>
        <v>11.993839139138705</v>
      </c>
      <c r="F149" s="110">
        <f>+'I) Dépenses thématiques'!O149/'J) Plafonnement effort'!C149</f>
        <v>0</v>
      </c>
      <c r="G149" s="136">
        <f t="shared" si="9"/>
        <v>31.780639800343337</v>
      </c>
      <c r="H149" s="417">
        <f>G149-'C) Prél. conj.'!I149</f>
        <v>28.195971415045779</v>
      </c>
      <c r="I149" s="421">
        <f t="shared" si="10"/>
        <v>0</v>
      </c>
      <c r="J149" s="55">
        <f t="shared" si="11"/>
        <v>0</v>
      </c>
      <c r="K149" s="417">
        <f t="shared" si="12"/>
        <v>28.195971415045779</v>
      </c>
    </row>
    <row r="150" spans="1:11" x14ac:dyDescent="0.25">
      <c r="A150" s="49">
        <f>'A) Base RI'!A152</f>
        <v>5644</v>
      </c>
      <c r="B150" s="291" t="str">
        <f>'A) Base RI'!B152</f>
        <v>Reverolle</v>
      </c>
      <c r="C150" s="95">
        <f>'B) D RI'!U152</f>
        <v>16806.032344441897</v>
      </c>
      <c r="D150" s="416">
        <f>'E) Part. coh. soc.'!G156/C150</f>
        <v>17.760056069116548</v>
      </c>
      <c r="E150" s="136">
        <f>'H) Péréquation directe'!I161/C150</f>
        <v>13.586662853443014</v>
      </c>
      <c r="F150" s="110">
        <f>+'I) Dépenses thématiques'!O150/'J) Plafonnement effort'!C150</f>
        <v>-2.9022100099642882</v>
      </c>
      <c r="G150" s="136">
        <f t="shared" si="9"/>
        <v>28.444508912595271</v>
      </c>
      <c r="H150" s="417">
        <f>G150-'C) Prél. conj.'!I150</f>
        <v>26.017401540432555</v>
      </c>
      <c r="I150" s="421">
        <f t="shared" si="10"/>
        <v>0</v>
      </c>
      <c r="J150" s="55">
        <f t="shared" si="11"/>
        <v>0</v>
      </c>
      <c r="K150" s="417">
        <f t="shared" si="12"/>
        <v>26.017401540432555</v>
      </c>
    </row>
    <row r="151" spans="1:11" x14ac:dyDescent="0.25">
      <c r="A151" s="49">
        <f>'A) Base RI'!A153</f>
        <v>5645</v>
      </c>
      <c r="B151" s="291" t="str">
        <f>'A) Base RI'!B153</f>
        <v>Romanel-sur-Morges</v>
      </c>
      <c r="C151" s="95">
        <f>'B) D RI'!U153</f>
        <v>30104.624556076433</v>
      </c>
      <c r="D151" s="416">
        <f>'E) Part. coh. soc.'!G157/C151</f>
        <v>22.253782883213585</v>
      </c>
      <c r="E151" s="136">
        <f>'H) Péréquation directe'!I162/C151</f>
        <v>17.687379516525638</v>
      </c>
      <c r="F151" s="110">
        <f>+'I) Dépenses thématiques'!O151/'J) Plafonnement effort'!C151</f>
        <v>0</v>
      </c>
      <c r="G151" s="136">
        <f t="shared" si="9"/>
        <v>39.941162399739227</v>
      </c>
      <c r="H151" s="417">
        <f>G151-'C) Prél. conj.'!I151</f>
        <v>36.950699760608636</v>
      </c>
      <c r="I151" s="421">
        <f t="shared" si="10"/>
        <v>0</v>
      </c>
      <c r="J151" s="55">
        <f t="shared" si="11"/>
        <v>0</v>
      </c>
      <c r="K151" s="417">
        <f t="shared" si="12"/>
        <v>36.950699760608636</v>
      </c>
    </row>
    <row r="152" spans="1:11" x14ac:dyDescent="0.25">
      <c r="A152" s="49">
        <f>'A) Base RI'!A154</f>
        <v>5646</v>
      </c>
      <c r="B152" s="291" t="str">
        <f>'A) Base RI'!B154</f>
        <v>Saint-Prex</v>
      </c>
      <c r="C152" s="95">
        <f>'B) D RI'!U154</f>
        <v>410896.75287158613</v>
      </c>
      <c r="D152" s="416">
        <f>'E) Part. coh. soc.'!G158/C152</f>
        <v>22.901584261766157</v>
      </c>
      <c r="E152" s="136">
        <f>'H) Péréquation directe'!I163/C152</f>
        <v>14.048980752860277</v>
      </c>
      <c r="F152" s="110">
        <f>+'I) Dépenses thématiques'!O152/'J) Plafonnement effort'!C152</f>
        <v>0</v>
      </c>
      <c r="G152" s="136">
        <f t="shared" si="9"/>
        <v>36.950565014626434</v>
      </c>
      <c r="H152" s="417">
        <f>G152-'C) Prél. conj.'!I152</f>
        <v>34.672255382200191</v>
      </c>
      <c r="I152" s="421">
        <f t="shared" si="10"/>
        <v>0</v>
      </c>
      <c r="J152" s="55">
        <f t="shared" si="11"/>
        <v>0</v>
      </c>
      <c r="K152" s="417">
        <f t="shared" si="12"/>
        <v>34.672255382200191</v>
      </c>
    </row>
    <row r="153" spans="1:11" x14ac:dyDescent="0.25">
      <c r="A153" s="49">
        <f>'A) Base RI'!A155</f>
        <v>5648</v>
      </c>
      <c r="B153" s="291" t="str">
        <f>'A) Base RI'!B155</f>
        <v>Saint-Sulpice</v>
      </c>
      <c r="C153" s="95">
        <f>'B) D RI'!U155</f>
        <v>382700.93610668415</v>
      </c>
      <c r="D153" s="416">
        <f>'E) Part. coh. soc.'!G159/C153</f>
        <v>25.781813133077076</v>
      </c>
      <c r="E153" s="136">
        <f>'H) Péréquation directe'!I164/C153</f>
        <v>15.227599420268785</v>
      </c>
      <c r="F153" s="110">
        <f>+'I) Dépenses thématiques'!O153/'J) Plafonnement effort'!C153</f>
        <v>0</v>
      </c>
      <c r="G153" s="136">
        <f t="shared" si="9"/>
        <v>41.009412553345861</v>
      </c>
      <c r="H153" s="417">
        <f>G153-'C) Prél. conj.'!I153</f>
        <v>37.904048526567763</v>
      </c>
      <c r="I153" s="421">
        <f t="shared" si="10"/>
        <v>0</v>
      </c>
      <c r="J153" s="55">
        <f t="shared" si="11"/>
        <v>0</v>
      </c>
      <c r="K153" s="417">
        <f t="shared" si="12"/>
        <v>37.904048526567763</v>
      </c>
    </row>
    <row r="154" spans="1:11" x14ac:dyDescent="0.25">
      <c r="A154" s="49">
        <f>'A) Base RI'!A156</f>
        <v>5649</v>
      </c>
      <c r="B154" s="291" t="str">
        <f>'A) Base RI'!B156</f>
        <v>Tolochenaz</v>
      </c>
      <c r="C154" s="95">
        <f>'B) D RI'!U156</f>
        <v>102752.22096213103</v>
      </c>
      <c r="D154" s="416">
        <f>'E) Part. coh. soc.'!G160/C154</f>
        <v>19.027300357675543</v>
      </c>
      <c r="E154" s="136">
        <f>'H) Péréquation directe'!I165/C154</f>
        <v>15.321073905245655</v>
      </c>
      <c r="F154" s="110">
        <f>+'I) Dépenses thématiques'!O154/'J) Plafonnement effort'!C154</f>
        <v>-4.8848900171336718</v>
      </c>
      <c r="G154" s="136">
        <f t="shared" si="9"/>
        <v>29.463484245787527</v>
      </c>
      <c r="H154" s="417">
        <f>G154-'C) Prél. conj.'!I154</f>
        <v>27.67058397292729</v>
      </c>
      <c r="I154" s="421">
        <f t="shared" si="10"/>
        <v>0</v>
      </c>
      <c r="J154" s="55">
        <f t="shared" si="11"/>
        <v>0</v>
      </c>
      <c r="K154" s="417">
        <f t="shared" si="12"/>
        <v>27.67058397292729</v>
      </c>
    </row>
    <row r="155" spans="1:11" x14ac:dyDescent="0.25">
      <c r="A155" s="49">
        <f>'A) Base RI'!A157</f>
        <v>5650</v>
      </c>
      <c r="B155" s="291" t="str">
        <f>'A) Base RI'!B157</f>
        <v>Vaux-sur-Morges</v>
      </c>
      <c r="C155" s="95">
        <f>'B) D RI'!U157</f>
        <v>91360.78017857144</v>
      </c>
      <c r="D155" s="416">
        <f>'E) Part. coh. soc.'!G161/C155</f>
        <v>43.648067651450503</v>
      </c>
      <c r="E155" s="136">
        <f>'H) Péréquation directe'!I166/C155</f>
        <v>19.379206944274408</v>
      </c>
      <c r="F155" s="110">
        <f>+'I) Dépenses thématiques'!O155/'J) Plafonnement effort'!C155</f>
        <v>0</v>
      </c>
      <c r="G155" s="136">
        <f t="shared" si="9"/>
        <v>63.027274595724911</v>
      </c>
      <c r="H155" s="417">
        <f>G155-'C) Prél. conj.'!I155</f>
        <v>62.951481679043752</v>
      </c>
      <c r="I155" s="421">
        <f t="shared" si="10"/>
        <v>-14.951481679043752</v>
      </c>
      <c r="J155" s="55">
        <f t="shared" si="11"/>
        <v>-1365979.0310230544</v>
      </c>
      <c r="K155" s="417">
        <f t="shared" si="12"/>
        <v>48</v>
      </c>
    </row>
    <row r="156" spans="1:11" x14ac:dyDescent="0.25">
      <c r="A156" s="49">
        <f>'A) Base RI'!A158</f>
        <v>5651</v>
      </c>
      <c r="B156" s="291" t="str">
        <f>'A) Base RI'!B158</f>
        <v>Villars-Sainte-Croix</v>
      </c>
      <c r="C156" s="95">
        <f>'B) D RI'!U158</f>
        <v>58663.104123472025</v>
      </c>
      <c r="D156" s="416">
        <f>'E) Part. coh. soc.'!G162/C156</f>
        <v>21.195813624882181</v>
      </c>
      <c r="E156" s="136">
        <f>'H) Péréquation directe'!I167/C156</f>
        <v>17.565015183468095</v>
      </c>
      <c r="F156" s="110">
        <f>+'I) Dépenses thématiques'!O156/'J) Plafonnement effort'!C156</f>
        <v>0</v>
      </c>
      <c r="G156" s="136">
        <f t="shared" si="9"/>
        <v>38.760828808350276</v>
      </c>
      <c r="H156" s="417">
        <f>G156-'C) Prél. conj.'!I156</f>
        <v>36.360510122458237</v>
      </c>
      <c r="I156" s="421">
        <f t="shared" si="10"/>
        <v>0</v>
      </c>
      <c r="J156" s="55">
        <f t="shared" si="11"/>
        <v>0</v>
      </c>
      <c r="K156" s="417">
        <f t="shared" si="12"/>
        <v>36.360510122458237</v>
      </c>
    </row>
    <row r="157" spans="1:11" x14ac:dyDescent="0.25">
      <c r="A157" s="49">
        <f>'A) Base RI'!A159</f>
        <v>5652</v>
      </c>
      <c r="B157" s="291" t="str">
        <f>'A) Base RI'!B159</f>
        <v>Villars-sous-Yens</v>
      </c>
      <c r="C157" s="95">
        <f>'B) D RI'!U159</f>
        <v>32914.720873332524</v>
      </c>
      <c r="D157" s="416">
        <f>'E) Part. coh. soc.'!G163/C157</f>
        <v>18.747913073748848</v>
      </c>
      <c r="E157" s="136">
        <f>'H) Péréquation directe'!I168/C157</f>
        <v>17.34719551793312</v>
      </c>
      <c r="F157" s="110">
        <f>+'I) Dépenses thématiques'!O157/'J) Plafonnement effort'!C157</f>
        <v>0</v>
      </c>
      <c r="G157" s="136">
        <f t="shared" si="9"/>
        <v>36.095108591681964</v>
      </c>
      <c r="H157" s="417">
        <f>G157-'C) Prél. conj.'!I157</f>
        <v>35.070587978860317</v>
      </c>
      <c r="I157" s="421">
        <f t="shared" si="10"/>
        <v>0</v>
      </c>
      <c r="J157" s="55">
        <f t="shared" si="11"/>
        <v>0</v>
      </c>
      <c r="K157" s="417">
        <f t="shared" si="12"/>
        <v>35.070587978860317</v>
      </c>
    </row>
    <row r="158" spans="1:11" x14ac:dyDescent="0.25">
      <c r="A158" s="49">
        <f>'A) Base RI'!A160</f>
        <v>5653</v>
      </c>
      <c r="B158" s="291" t="str">
        <f>'A) Base RI'!B160</f>
        <v>Vufflens-le-Château</v>
      </c>
      <c r="C158" s="95">
        <f>'B) D RI'!U160</f>
        <v>71945.00670599271</v>
      </c>
      <c r="D158" s="416">
        <f>'E) Part. coh. soc.'!G164/C158</f>
        <v>36.108664147355519</v>
      </c>
      <c r="E158" s="136">
        <f>'H) Péréquation directe'!I169/C158</f>
        <v>18.106848476747469</v>
      </c>
      <c r="F158" s="110">
        <f>+'I) Dépenses thématiques'!O158/'J) Plafonnement effort'!C158</f>
        <v>0</v>
      </c>
      <c r="G158" s="136">
        <f t="shared" si="9"/>
        <v>54.215512624102985</v>
      </c>
      <c r="H158" s="417">
        <f>G158-'C) Prél. conj.'!I158</f>
        <v>41.51871750483987</v>
      </c>
      <c r="I158" s="421">
        <f t="shared" si="10"/>
        <v>0</v>
      </c>
      <c r="J158" s="55">
        <f t="shared" si="11"/>
        <v>0</v>
      </c>
      <c r="K158" s="417">
        <f t="shared" si="12"/>
        <v>41.51871750483987</v>
      </c>
    </row>
    <row r="159" spans="1:11" x14ac:dyDescent="0.25">
      <c r="A159" s="49">
        <f>'A) Base RI'!A161</f>
        <v>5654</v>
      </c>
      <c r="B159" s="291" t="str">
        <f>'A) Base RI'!B161</f>
        <v>Vullierens</v>
      </c>
      <c r="C159" s="95">
        <f>'B) D RI'!U161</f>
        <v>18024.22731423103</v>
      </c>
      <c r="D159" s="416">
        <f>'E) Part. coh. soc.'!G165/C159</f>
        <v>16.821491841259189</v>
      </c>
      <c r="E159" s="136">
        <f>'H) Péréquation directe'!I170/C159</f>
        <v>9.0204031873125423</v>
      </c>
      <c r="F159" s="110">
        <f>+'I) Dépenses thématiques'!O159/'J) Plafonnement effort'!C159</f>
        <v>-1.0889872061246895</v>
      </c>
      <c r="G159" s="136">
        <f t="shared" si="9"/>
        <v>24.752907822447042</v>
      </c>
      <c r="H159" s="417">
        <f>G159-'C) Prél. conj.'!I159</f>
        <v>23.264364678141682</v>
      </c>
      <c r="I159" s="421">
        <f t="shared" si="10"/>
        <v>0</v>
      </c>
      <c r="J159" s="55">
        <f t="shared" si="11"/>
        <v>0</v>
      </c>
      <c r="K159" s="417">
        <f t="shared" si="12"/>
        <v>23.264364678141682</v>
      </c>
    </row>
    <row r="160" spans="1:11" x14ac:dyDescent="0.25">
      <c r="A160" s="49">
        <f>'A) Base RI'!A162</f>
        <v>5655</v>
      </c>
      <c r="B160" s="291" t="str">
        <f>'A) Base RI'!B162</f>
        <v>Yens</v>
      </c>
      <c r="C160" s="95">
        <f>'B) D RI'!U162</f>
        <v>77001.825217451595</v>
      </c>
      <c r="D160" s="416">
        <f>'E) Part. coh. soc.'!G166/C160</f>
        <v>20.482768360872196</v>
      </c>
      <c r="E160" s="136">
        <f>'H) Péréquation directe'!I171/C160</f>
        <v>15.838183121558792</v>
      </c>
      <c r="F160" s="110">
        <f>+'I) Dépenses thématiques'!O160/'J) Plafonnement effort'!C160</f>
        <v>0</v>
      </c>
      <c r="G160" s="136">
        <f t="shared" si="9"/>
        <v>36.320951482430985</v>
      </c>
      <c r="H160" s="417">
        <f>G160-'C) Prél. conj.'!I160</f>
        <v>32.88876407318886</v>
      </c>
      <c r="I160" s="421">
        <f t="shared" si="10"/>
        <v>0</v>
      </c>
      <c r="J160" s="55">
        <f t="shared" si="11"/>
        <v>0</v>
      </c>
      <c r="K160" s="417">
        <f t="shared" si="12"/>
        <v>32.88876407318886</v>
      </c>
    </row>
    <row r="161" spans="1:11" x14ac:dyDescent="0.25">
      <c r="A161" s="49">
        <f>'A) Base RI'!A163</f>
        <v>5661</v>
      </c>
      <c r="B161" s="291" t="str">
        <f>'A) Base RI'!B163</f>
        <v>Boulens</v>
      </c>
      <c r="C161" s="95">
        <f>'B) D RI'!U163</f>
        <v>10064.101124681909</v>
      </c>
      <c r="D161" s="416">
        <f>'E) Part. coh. soc.'!G167/C161</f>
        <v>15.947166988624199</v>
      </c>
      <c r="E161" s="136">
        <f>'H) Péréquation directe'!I172/C161</f>
        <v>1.465071986193039</v>
      </c>
      <c r="F161" s="110">
        <f>+'I) Dépenses thématiques'!O161/'J) Plafonnement effort'!C161</f>
        <v>-7.3389979594244847</v>
      </c>
      <c r="G161" s="136">
        <f t="shared" si="9"/>
        <v>10.073241015392753</v>
      </c>
      <c r="H161" s="417">
        <f>G161-'C) Prél. conj.'!I161</f>
        <v>9.4590227237223807</v>
      </c>
      <c r="I161" s="421">
        <f t="shared" si="10"/>
        <v>0</v>
      </c>
      <c r="J161" s="55">
        <f t="shared" si="11"/>
        <v>0</v>
      </c>
      <c r="K161" s="417">
        <f t="shared" si="12"/>
        <v>9.4590227237223807</v>
      </c>
    </row>
    <row r="162" spans="1:11" x14ac:dyDescent="0.25">
      <c r="A162" s="49">
        <f>'A) Base RI'!A164</f>
        <v>5663</v>
      </c>
      <c r="B162" s="291" t="str">
        <f>'A) Base RI'!B164</f>
        <v>Bussy-sur-Moudon</v>
      </c>
      <c r="C162" s="95">
        <f>'B) D RI'!U164</f>
        <v>6370.1104534474161</v>
      </c>
      <c r="D162" s="416">
        <f>'E) Part. coh. soc.'!G168/C162</f>
        <v>18.896007009030136</v>
      </c>
      <c r="E162" s="136">
        <f>'H) Péréquation directe'!I173/C162</f>
        <v>0.83860075857592742</v>
      </c>
      <c r="F162" s="110">
        <f>+'I) Dépenses thématiques'!O162/'J) Plafonnement effort'!C162</f>
        <v>-4.5183708156850324</v>
      </c>
      <c r="G162" s="136">
        <f t="shared" si="9"/>
        <v>15.216236951921033</v>
      </c>
      <c r="H162" s="417">
        <f>G162-'C) Prél. conj.'!I162</f>
        <v>11.653178639844725</v>
      </c>
      <c r="I162" s="421">
        <f t="shared" si="10"/>
        <v>0</v>
      </c>
      <c r="J162" s="55">
        <f t="shared" si="11"/>
        <v>0</v>
      </c>
      <c r="K162" s="417">
        <f t="shared" si="12"/>
        <v>11.653178639844725</v>
      </c>
    </row>
    <row r="163" spans="1:11" x14ac:dyDescent="0.25">
      <c r="A163" s="49">
        <f>'A) Base RI'!A165</f>
        <v>5665</v>
      </c>
      <c r="B163" s="291" t="str">
        <f>'A) Base RI'!B165</f>
        <v>Chavannes-sur-Moudon</v>
      </c>
      <c r="C163" s="95">
        <f>'B) D RI'!U165</f>
        <v>4725.8157534246584</v>
      </c>
      <c r="D163" s="416">
        <f>'E) Part. coh. soc.'!G169/C163</f>
        <v>18.454245795620999</v>
      </c>
      <c r="E163" s="136">
        <f>'H) Péréquation directe'!I174/C163</f>
        <v>-7.9027047933729575</v>
      </c>
      <c r="F163" s="110">
        <f>+'I) Dépenses thématiques'!O163/'J) Plafonnement effort'!C163</f>
        <v>-4.2701791308485131</v>
      </c>
      <c r="G163" s="136">
        <f t="shared" si="9"/>
        <v>6.2813618713995272</v>
      </c>
      <c r="H163" s="417">
        <f>G163-'C) Prél. conj.'!I163</f>
        <v>3.1600647727323556</v>
      </c>
      <c r="I163" s="421">
        <f t="shared" si="10"/>
        <v>0</v>
      </c>
      <c r="J163" s="55">
        <f t="shared" si="11"/>
        <v>0</v>
      </c>
      <c r="K163" s="417">
        <f t="shared" si="12"/>
        <v>3.1600647727323556</v>
      </c>
    </row>
    <row r="164" spans="1:11" x14ac:dyDescent="0.25">
      <c r="A164" s="49">
        <f>'A) Base RI'!A166</f>
        <v>5669</v>
      </c>
      <c r="B164" s="291" t="str">
        <f>'A) Base RI'!B166</f>
        <v>Curtilles</v>
      </c>
      <c r="C164" s="95">
        <f>'B) D RI'!U166</f>
        <v>9981.2313977454014</v>
      </c>
      <c r="D164" s="416">
        <f>'E) Part. coh. soc.'!G170/C164</f>
        <v>16.096035904983133</v>
      </c>
      <c r="E164" s="136">
        <f>'H) Péréquation directe'!I175/C164</f>
        <v>6.2257750895078603</v>
      </c>
      <c r="F164" s="110">
        <f>+'I) Dépenses thématiques'!O164/'J) Plafonnement effort'!C164</f>
        <v>0</v>
      </c>
      <c r="G164" s="136">
        <f t="shared" si="9"/>
        <v>22.321810994490992</v>
      </c>
      <c r="H164" s="417">
        <f>G164-'C) Prél. conj.'!I164</f>
        <v>21.558723786461684</v>
      </c>
      <c r="I164" s="421">
        <f t="shared" si="10"/>
        <v>0</v>
      </c>
      <c r="J164" s="55">
        <f t="shared" si="11"/>
        <v>0</v>
      </c>
      <c r="K164" s="417">
        <f t="shared" si="12"/>
        <v>21.558723786461684</v>
      </c>
    </row>
    <row r="165" spans="1:11" x14ac:dyDescent="0.25">
      <c r="A165" s="49">
        <f>'A) Base RI'!A167</f>
        <v>5671</v>
      </c>
      <c r="B165" s="291" t="str">
        <f>'A) Base RI'!B167</f>
        <v>Dompierre</v>
      </c>
      <c r="C165" s="95">
        <f>'B) D RI'!U167</f>
        <v>6546.2666570185083</v>
      </c>
      <c r="D165" s="416">
        <f>'E) Part. coh. soc.'!G171/C165</f>
        <v>19.000233617934114</v>
      </c>
      <c r="E165" s="136">
        <f>'H) Péréquation directe'!I176/C165</f>
        <v>-0.72986106536308859</v>
      </c>
      <c r="F165" s="110">
        <f>+'I) Dépenses thématiques'!O165/'J) Plafonnement effort'!C165</f>
        <v>-5.8994534169897559</v>
      </c>
      <c r="G165" s="136">
        <f t="shared" si="9"/>
        <v>12.37091913558127</v>
      </c>
      <c r="H165" s="417">
        <f>G165-'C) Prél. conj.'!I165</f>
        <v>8.7036342146009833</v>
      </c>
      <c r="I165" s="421">
        <f t="shared" si="10"/>
        <v>0</v>
      </c>
      <c r="J165" s="55">
        <f t="shared" si="11"/>
        <v>0</v>
      </c>
      <c r="K165" s="417">
        <f t="shared" si="12"/>
        <v>8.7036342146009833</v>
      </c>
    </row>
    <row r="166" spans="1:11" x14ac:dyDescent="0.25">
      <c r="A166" s="49">
        <f>'A) Base RI'!A168</f>
        <v>5673</v>
      </c>
      <c r="B166" s="291" t="str">
        <f>'A) Base RI'!B168</f>
        <v>Hermenches</v>
      </c>
      <c r="C166" s="95">
        <f>'B) D RI'!U168</f>
        <v>9911.4858119507371</v>
      </c>
      <c r="D166" s="416">
        <f>'E) Part. coh. soc.'!G172/C166</f>
        <v>17.684950247709398</v>
      </c>
      <c r="E166" s="136">
        <f>'H) Péréquation directe'!I177/C166</f>
        <v>-0.62280962424007424</v>
      </c>
      <c r="F166" s="110">
        <f>+'I) Dépenses thématiques'!O166/'J) Plafonnement effort'!C166</f>
        <v>-8.9971909060534756</v>
      </c>
      <c r="G166" s="136">
        <f t="shared" si="9"/>
        <v>8.0649497174158498</v>
      </c>
      <c r="H166" s="417">
        <f>G166-'C) Prél. conj.'!I166</f>
        <v>5.7129481666602757</v>
      </c>
      <c r="I166" s="421">
        <f t="shared" si="10"/>
        <v>0</v>
      </c>
      <c r="J166" s="55">
        <f t="shared" si="11"/>
        <v>0</v>
      </c>
      <c r="K166" s="417">
        <f t="shared" si="12"/>
        <v>5.7129481666602757</v>
      </c>
    </row>
    <row r="167" spans="1:11" x14ac:dyDescent="0.25">
      <c r="A167" s="49">
        <f>'A) Base RI'!A169</f>
        <v>5674</v>
      </c>
      <c r="B167" s="291" t="str">
        <f>'A) Base RI'!B169</f>
        <v>Lovatens</v>
      </c>
      <c r="C167" s="95">
        <f>'B) D RI'!U169</f>
        <v>3212.7201333333333</v>
      </c>
      <c r="D167" s="416">
        <f>'E) Part. coh. soc.'!G173/C167</f>
        <v>15.362417494754705</v>
      </c>
      <c r="E167" s="136">
        <f>'H) Péréquation directe'!I178/C167</f>
        <v>-6.7079146083430219</v>
      </c>
      <c r="F167" s="110">
        <f>+'I) Dépenses thématiques'!O167/'J) Plafonnement effort'!C167</f>
        <v>-3.7496077979429066</v>
      </c>
      <c r="G167" s="136">
        <f t="shared" si="9"/>
        <v>4.9048950884687779</v>
      </c>
      <c r="H167" s="417">
        <f>G167-'C) Prél. conj.'!I167</f>
        <v>4.8754262906679031</v>
      </c>
      <c r="I167" s="421">
        <f t="shared" si="10"/>
        <v>0</v>
      </c>
      <c r="J167" s="55">
        <f t="shared" si="11"/>
        <v>0</v>
      </c>
      <c r="K167" s="417">
        <f t="shared" si="12"/>
        <v>4.8754262906679031</v>
      </c>
    </row>
    <row r="168" spans="1:11" x14ac:dyDescent="0.25">
      <c r="A168" s="49">
        <f>'A) Base RI'!A170</f>
        <v>5675</v>
      </c>
      <c r="B168" s="291" t="str">
        <f>'A) Base RI'!B170</f>
        <v>Lucens</v>
      </c>
      <c r="C168" s="95">
        <f>'B) D RI'!U170</f>
        <v>97171.957057014763</v>
      </c>
      <c r="D168" s="416">
        <f>'E) Part. coh. soc.'!G174/C168</f>
        <v>20.060958803104448</v>
      </c>
      <c r="E168" s="136">
        <f>'H) Péréquation directe'!I179/C168</f>
        <v>-13.948337748194701</v>
      </c>
      <c r="F168" s="110">
        <f>+'I) Dépenses thématiques'!O168/'J) Plafonnement effort'!C168</f>
        <v>-4.788498773401769</v>
      </c>
      <c r="G168" s="136">
        <f t="shared" si="9"/>
        <v>1.3241222815079778</v>
      </c>
      <c r="H168" s="417">
        <f>G168-'C) Prél. conj.'!I168</f>
        <v>-3.4038878246426432</v>
      </c>
      <c r="I168" s="421">
        <f t="shared" si="10"/>
        <v>0</v>
      </c>
      <c r="J168" s="55">
        <f t="shared" si="11"/>
        <v>0</v>
      </c>
      <c r="K168" s="417">
        <f t="shared" si="12"/>
        <v>-3.4038878246426432</v>
      </c>
    </row>
    <row r="169" spans="1:11" x14ac:dyDescent="0.25">
      <c r="A169" s="49">
        <f>'A) Base RI'!A171</f>
        <v>5678</v>
      </c>
      <c r="B169" s="291" t="str">
        <f>'A) Base RI'!B171</f>
        <v>Moudon</v>
      </c>
      <c r="C169" s="95">
        <f>'B) D RI'!U171</f>
        <v>124990.90700543707</v>
      </c>
      <c r="D169" s="416">
        <f>'E) Part. coh. soc.'!G175/C169</f>
        <v>21.366164136915369</v>
      </c>
      <c r="E169" s="136">
        <f>'H) Péréquation directe'!I180/C169</f>
        <v>-27.723206477709468</v>
      </c>
      <c r="F169" s="110">
        <f>+'I) Dépenses thématiques'!O169/'J) Plafonnement effort'!C169</f>
        <v>-8.6395606155199403</v>
      </c>
      <c r="G169" s="136">
        <f t="shared" si="9"/>
        <v>-14.996602956314039</v>
      </c>
      <c r="H169" s="417">
        <f>G169-'C) Prél. conj.'!I169</f>
        <v>-21.02981839627558</v>
      </c>
      <c r="I169" s="421">
        <f t="shared" si="10"/>
        <v>0</v>
      </c>
      <c r="J169" s="55">
        <f t="shared" si="11"/>
        <v>0</v>
      </c>
      <c r="K169" s="417">
        <f t="shared" si="12"/>
        <v>-21.02981839627558</v>
      </c>
    </row>
    <row r="170" spans="1:11" x14ac:dyDescent="0.25">
      <c r="A170" s="49">
        <f>'A) Base RI'!A172</f>
        <v>5680</v>
      </c>
      <c r="B170" s="291" t="str">
        <f>'A) Base RI'!B172</f>
        <v>Ogens</v>
      </c>
      <c r="C170" s="95">
        <f>'B) D RI'!U172</f>
        <v>6319.984442335237</v>
      </c>
      <c r="D170" s="416">
        <f>'E) Part. coh. soc.'!G176/C170</f>
        <v>21.135973266813142</v>
      </c>
      <c r="E170" s="136">
        <f>'H) Péréquation directe'!I181/C170</f>
        <v>-13.967239725466335</v>
      </c>
      <c r="F170" s="110">
        <f>+'I) Dépenses thématiques'!O170/'J) Plafonnement effort'!C170</f>
        <v>-4.3307789268816563</v>
      </c>
      <c r="G170" s="136">
        <f t="shared" si="9"/>
        <v>2.8379546144651506</v>
      </c>
      <c r="H170" s="417">
        <f>G170-'C) Prél. conj.'!I170</f>
        <v>-2.9650699553941644</v>
      </c>
      <c r="I170" s="421">
        <f t="shared" si="10"/>
        <v>0</v>
      </c>
      <c r="J170" s="55">
        <f t="shared" si="11"/>
        <v>0</v>
      </c>
      <c r="K170" s="417">
        <f t="shared" si="12"/>
        <v>-2.9650699553941644</v>
      </c>
    </row>
    <row r="171" spans="1:11" x14ac:dyDescent="0.25">
      <c r="A171" s="49">
        <f>'A) Base RI'!A173</f>
        <v>5683</v>
      </c>
      <c r="B171" s="291" t="str">
        <f>'A) Base RI'!B173</f>
        <v>Prévonloup</v>
      </c>
      <c r="C171" s="95">
        <f>'B) D RI'!U173</f>
        <v>4554.1237837837825</v>
      </c>
      <c r="D171" s="416">
        <f>'E) Part. coh. soc.'!G177/C171</f>
        <v>16.239083487293534</v>
      </c>
      <c r="E171" s="136">
        <f>'H) Péréquation directe'!I182/C171</f>
        <v>-6.4497500933442931</v>
      </c>
      <c r="F171" s="110">
        <f>+'I) Dépenses thématiques'!O171/'J) Plafonnement effort'!C171</f>
        <v>-4.6951186344585594</v>
      </c>
      <c r="G171" s="136">
        <f t="shared" si="9"/>
        <v>5.0942147594906828</v>
      </c>
      <c r="H171" s="417">
        <f>G171-'C) Prél. conj.'!I171</f>
        <v>4.1880799691509738</v>
      </c>
      <c r="I171" s="421">
        <f t="shared" si="10"/>
        <v>0</v>
      </c>
      <c r="J171" s="55">
        <f t="shared" si="11"/>
        <v>0</v>
      </c>
      <c r="K171" s="417">
        <f t="shared" si="12"/>
        <v>4.1880799691509738</v>
      </c>
    </row>
    <row r="172" spans="1:11" x14ac:dyDescent="0.25">
      <c r="A172" s="49">
        <f>'A) Base RI'!A174</f>
        <v>5684</v>
      </c>
      <c r="B172" s="291" t="str">
        <f>'A) Base RI'!B174</f>
        <v>Rossenges</v>
      </c>
      <c r="C172" s="95">
        <f>'B) D RI'!U174</f>
        <v>3099.5946967890927</v>
      </c>
      <c r="D172" s="416">
        <f>'E) Part. coh. soc.'!G178/C172</f>
        <v>15.332948696953828</v>
      </c>
      <c r="E172" s="136">
        <f>'H) Péréquation directe'!I183/C172</f>
        <v>10.76664529656324</v>
      </c>
      <c r="F172" s="110">
        <f>+'I) Dépenses thématiques'!O172/'J) Plafonnement effort'!C172</f>
        <v>-3.665061079591553</v>
      </c>
      <c r="G172" s="136">
        <f t="shared" si="9"/>
        <v>22.434532913925516</v>
      </c>
      <c r="H172" s="417">
        <f>G172-'C) Prél. conj.'!I172</f>
        <v>22.434532913925516</v>
      </c>
      <c r="I172" s="421">
        <f t="shared" si="10"/>
        <v>0</v>
      </c>
      <c r="J172" s="55">
        <f t="shared" si="11"/>
        <v>0</v>
      </c>
      <c r="K172" s="417">
        <f t="shared" si="12"/>
        <v>22.434532913925516</v>
      </c>
    </row>
    <row r="173" spans="1:11" x14ac:dyDescent="0.25">
      <c r="A173" s="49">
        <f>'A) Base RI'!A175</f>
        <v>5688</v>
      </c>
      <c r="B173" s="291" t="str">
        <f>'A) Base RI'!B175</f>
        <v>Syens</v>
      </c>
      <c r="C173" s="95">
        <f>'B) D RI'!U175</f>
        <v>2722.3146828511958</v>
      </c>
      <c r="D173" s="416">
        <f>'E) Part. coh. soc.'!G179/C173</f>
        <v>15.377614730886631</v>
      </c>
      <c r="E173" s="136">
        <f>'H) Péréquation directe'!I184/C173</f>
        <v>-24.041595873945713</v>
      </c>
      <c r="F173" s="110">
        <f>+'I) Dépenses thématiques'!O173/'J) Plafonnement effort'!C173</f>
        <v>-14.955513272178484</v>
      </c>
      <c r="G173" s="136">
        <f t="shared" si="9"/>
        <v>-23.619494415237568</v>
      </c>
      <c r="H173" s="417">
        <f>G173-'C) Prél. conj.'!I173</f>
        <v>-23.664160449170371</v>
      </c>
      <c r="I173" s="421">
        <f t="shared" si="10"/>
        <v>0</v>
      </c>
      <c r="J173" s="55">
        <f t="shared" si="11"/>
        <v>0</v>
      </c>
      <c r="K173" s="417">
        <f t="shared" si="12"/>
        <v>-23.664160449170371</v>
      </c>
    </row>
    <row r="174" spans="1:11" x14ac:dyDescent="0.25">
      <c r="A174" s="49">
        <f>'A) Base RI'!A176</f>
        <v>5690</v>
      </c>
      <c r="B174" s="291" t="str">
        <f>'A) Base RI'!B176</f>
        <v>Villars-le-Comte</v>
      </c>
      <c r="C174" s="95">
        <f>'B) D RI'!U176</f>
        <v>3015.9771931576993</v>
      </c>
      <c r="D174" s="416">
        <f>'E) Part. coh. soc.'!G180/C174</f>
        <v>19.244516737575658</v>
      </c>
      <c r="E174" s="136">
        <f>'H) Péréquation directe'!I185/C174</f>
        <v>-2.0864611195364531</v>
      </c>
      <c r="F174" s="110">
        <f>+'I) Dépenses thématiques'!O174/'J) Plafonnement effort'!C174</f>
        <v>0</v>
      </c>
      <c r="G174" s="136">
        <f t="shared" si="9"/>
        <v>17.158055618039207</v>
      </c>
      <c r="H174" s="417">
        <f>G174-'C) Prél. conj.'!I174</f>
        <v>13.246487577417374</v>
      </c>
      <c r="I174" s="421">
        <f t="shared" si="10"/>
        <v>0</v>
      </c>
      <c r="J174" s="55">
        <f t="shared" si="11"/>
        <v>0</v>
      </c>
      <c r="K174" s="417">
        <f t="shared" si="12"/>
        <v>13.246487577417374</v>
      </c>
    </row>
    <row r="175" spans="1:11" x14ac:dyDescent="0.25">
      <c r="A175" s="49">
        <f>'A) Base RI'!A177</f>
        <v>5692</v>
      </c>
      <c r="B175" s="291" t="str">
        <f>'A) Base RI'!B177</f>
        <v>Vucherens</v>
      </c>
      <c r="C175" s="95">
        <f>'B) D RI'!U177</f>
        <v>15976.51835443038</v>
      </c>
      <c r="D175" s="416">
        <f>'E) Part. coh. soc.'!G181/C175</f>
        <v>18.499597016546598</v>
      </c>
      <c r="E175" s="136">
        <f>'H) Péréquation directe'!I186/C175</f>
        <v>-1.421132132934422</v>
      </c>
      <c r="F175" s="110">
        <f>+'I) Dépenses thématiques'!O175/'J) Plafonnement effort'!C175</f>
        <v>-4.1067581188998901</v>
      </c>
      <c r="G175" s="136">
        <f t="shared" si="9"/>
        <v>12.971706764712287</v>
      </c>
      <c r="H175" s="417">
        <f>G175-'C) Prél. conj.'!I175</f>
        <v>9.8050584451195171</v>
      </c>
      <c r="I175" s="421">
        <f t="shared" si="10"/>
        <v>0</v>
      </c>
      <c r="J175" s="55">
        <f t="shared" si="11"/>
        <v>0</v>
      </c>
      <c r="K175" s="417">
        <f t="shared" si="12"/>
        <v>9.8050584451195171</v>
      </c>
    </row>
    <row r="176" spans="1:11" x14ac:dyDescent="0.25">
      <c r="A176" s="49">
        <f>'A) Base RI'!A178</f>
        <v>5693</v>
      </c>
      <c r="B176" s="291" t="str">
        <f>'A) Base RI'!B178</f>
        <v>Montanaire</v>
      </c>
      <c r="C176" s="95">
        <f>'B) D RI'!U178</f>
        <v>70480.928098220116</v>
      </c>
      <c r="D176" s="416">
        <f>'E) Part. coh. soc.'!G182/C176</f>
        <v>17.724769499385303</v>
      </c>
      <c r="E176" s="136">
        <f>'H) Péréquation directe'!I187/C176</f>
        <v>-6.5309664447981293</v>
      </c>
      <c r="F176" s="110">
        <f>+'I) Dépenses thématiques'!O176/'J) Plafonnement effort'!C176</f>
        <v>-7.9204167946465187</v>
      </c>
      <c r="G176" s="136">
        <f t="shared" si="9"/>
        <v>3.273386259940656</v>
      </c>
      <c r="H176" s="417">
        <f>G176-'C) Prél. conj.'!I176</f>
        <v>0.88156545750918047</v>
      </c>
      <c r="I176" s="421">
        <f t="shared" si="10"/>
        <v>0</v>
      </c>
      <c r="J176" s="55">
        <f t="shared" si="11"/>
        <v>0</v>
      </c>
      <c r="K176" s="417">
        <f t="shared" si="12"/>
        <v>0.88156545750918047</v>
      </c>
    </row>
    <row r="177" spans="1:11" x14ac:dyDescent="0.25">
      <c r="A177" s="49">
        <f>'A) Base RI'!A179</f>
        <v>5701</v>
      </c>
      <c r="B177" s="291" t="str">
        <f>'A) Base RI'!B179</f>
        <v>Arnex-sur-Nyon</v>
      </c>
      <c r="C177" s="95">
        <f>'B) D RI'!U179</f>
        <v>12114.196611371119</v>
      </c>
      <c r="D177" s="416">
        <f>'E) Part. coh. soc.'!G183/C177</f>
        <v>18.8971780293022</v>
      </c>
      <c r="E177" s="136">
        <f>'H) Péréquation directe'!I188/C177</f>
        <v>17.273907381128755</v>
      </c>
      <c r="F177" s="110">
        <f>+'I) Dépenses thématiques'!O177/'J) Plafonnement effort'!C177</f>
        <v>-13.754136321641466</v>
      </c>
      <c r="G177" s="136">
        <f t="shared" si="9"/>
        <v>22.416949088789487</v>
      </c>
      <c r="H177" s="417">
        <f>G177-'C) Prél. conj.'!I177</f>
        <v>20.678748803990185</v>
      </c>
      <c r="I177" s="421">
        <f t="shared" si="10"/>
        <v>0</v>
      </c>
      <c r="J177" s="55">
        <f t="shared" si="11"/>
        <v>0</v>
      </c>
      <c r="K177" s="417">
        <f t="shared" si="12"/>
        <v>20.678748803990185</v>
      </c>
    </row>
    <row r="178" spans="1:11" x14ac:dyDescent="0.25">
      <c r="A178" s="49">
        <f>'A) Base RI'!A180</f>
        <v>5702</v>
      </c>
      <c r="B178" s="291" t="str">
        <f>'A) Base RI'!B180</f>
        <v>Arzier-Le Muids</v>
      </c>
      <c r="C178" s="95">
        <f>'B) D RI'!U180</f>
        <v>174460.56839607147</v>
      </c>
      <c r="D178" s="416">
        <f>'E) Part. coh. soc.'!G184/C178</f>
        <v>23.260219278752434</v>
      </c>
      <c r="E178" s="136">
        <f>'H) Péréquation directe'!I189/C178</f>
        <v>15.297312973886497</v>
      </c>
      <c r="F178" s="110">
        <f>+'I) Dépenses thématiques'!O178/'J) Plafonnement effort'!C178</f>
        <v>-1.5278308126309921</v>
      </c>
      <c r="G178" s="136">
        <f t="shared" si="9"/>
        <v>37.029701440007933</v>
      </c>
      <c r="H178" s="417">
        <f>G178-'C) Prél. conj.'!I178</f>
        <v>33.176951783283009</v>
      </c>
      <c r="I178" s="421">
        <f t="shared" si="10"/>
        <v>0</v>
      </c>
      <c r="J178" s="55">
        <f t="shared" si="11"/>
        <v>0</v>
      </c>
      <c r="K178" s="417">
        <f t="shared" si="12"/>
        <v>33.176951783283009</v>
      </c>
    </row>
    <row r="179" spans="1:11" x14ac:dyDescent="0.25">
      <c r="A179" s="49">
        <f>'A) Base RI'!A181</f>
        <v>5703</v>
      </c>
      <c r="B179" s="291" t="str">
        <f>'A) Base RI'!B181</f>
        <v>Bassins</v>
      </c>
      <c r="C179" s="95">
        <f>'B) D RI'!U181</f>
        <v>58935.560453684549</v>
      </c>
      <c r="D179" s="416">
        <f>'E) Part. coh. soc.'!G185/C179</f>
        <v>18.306654955974281</v>
      </c>
      <c r="E179" s="136">
        <f>'H) Péréquation directe'!I190/C179</f>
        <v>13.238911621557159</v>
      </c>
      <c r="F179" s="110">
        <f>+'I) Dépenses thématiques'!O179/'J) Plafonnement effort'!C179</f>
        <v>-5.7733521558683689</v>
      </c>
      <c r="G179" s="136">
        <f t="shared" si="9"/>
        <v>25.772214421663069</v>
      </c>
      <c r="H179" s="417">
        <f>G179-'C) Prél. conj.'!I179</f>
        <v>22.798508162642616</v>
      </c>
      <c r="I179" s="421">
        <f t="shared" si="10"/>
        <v>0</v>
      </c>
      <c r="J179" s="55">
        <f t="shared" si="11"/>
        <v>0</v>
      </c>
      <c r="K179" s="417">
        <f t="shared" si="12"/>
        <v>22.798508162642616</v>
      </c>
    </row>
    <row r="180" spans="1:11" x14ac:dyDescent="0.25">
      <c r="A180" s="49">
        <f>'A) Base RI'!A182</f>
        <v>5704</v>
      </c>
      <c r="B180" s="291" t="str">
        <f>'A) Base RI'!B182</f>
        <v>Begnins</v>
      </c>
      <c r="C180" s="95">
        <f>'B) D RI'!U182</f>
        <v>129508.82887740067</v>
      </c>
      <c r="D180" s="416">
        <f>'E) Part. coh. soc.'!G186/C180</f>
        <v>22.920824299949885</v>
      </c>
      <c r="E180" s="136">
        <f>'H) Péréquation directe'!I191/C180</f>
        <v>16.149982403803424</v>
      </c>
      <c r="F180" s="110">
        <f>+'I) Dépenses thématiques'!O180/'J) Plafonnement effort'!C180</f>
        <v>0</v>
      </c>
      <c r="G180" s="136">
        <f t="shared" si="9"/>
        <v>39.070806703753306</v>
      </c>
      <c r="H180" s="417">
        <f>G180-'C) Prél. conj.'!I180</f>
        <v>36.63616952316012</v>
      </c>
      <c r="I180" s="421">
        <f t="shared" si="10"/>
        <v>0</v>
      </c>
      <c r="J180" s="55">
        <f t="shared" si="11"/>
        <v>0</v>
      </c>
      <c r="K180" s="417">
        <f t="shared" si="12"/>
        <v>36.63616952316012</v>
      </c>
    </row>
    <row r="181" spans="1:11" x14ac:dyDescent="0.25">
      <c r="A181" s="49">
        <f>'A) Base RI'!A183</f>
        <v>5705</v>
      </c>
      <c r="B181" s="291" t="str">
        <f>'A) Base RI'!B183</f>
        <v>Bogis-Bossey</v>
      </c>
      <c r="C181" s="95">
        <f>'B) D RI'!U183</f>
        <v>47399.998914219243</v>
      </c>
      <c r="D181" s="416">
        <f>'E) Part. coh. soc.'!G187/C181</f>
        <v>22.083727213501369</v>
      </c>
      <c r="E181" s="136">
        <f>'H) Péréquation directe'!I192/C181</f>
        <v>17.462146674160497</v>
      </c>
      <c r="F181" s="110">
        <f>+'I) Dépenses thématiques'!O181/'J) Plafonnement effort'!C181</f>
        <v>0</v>
      </c>
      <c r="G181" s="136">
        <f t="shared" si="9"/>
        <v>39.54587388766187</v>
      </c>
      <c r="H181" s="417">
        <f>G181-'C) Prél. conj.'!I181</f>
        <v>36.123454610953075</v>
      </c>
      <c r="I181" s="421">
        <f t="shared" si="10"/>
        <v>0</v>
      </c>
      <c r="J181" s="55">
        <f t="shared" si="11"/>
        <v>0</v>
      </c>
      <c r="K181" s="417">
        <f t="shared" si="12"/>
        <v>36.123454610953075</v>
      </c>
    </row>
    <row r="182" spans="1:11" x14ac:dyDescent="0.25">
      <c r="A182" s="49">
        <f>'A) Base RI'!A184</f>
        <v>5706</v>
      </c>
      <c r="B182" s="291" t="str">
        <f>'A) Base RI'!B184</f>
        <v>Borex</v>
      </c>
      <c r="C182" s="95">
        <f>'B) D RI'!U184</f>
        <v>76732.339331916941</v>
      </c>
      <c r="D182" s="416">
        <f>'E) Part. coh. soc.'!G188/C182</f>
        <v>21.708610559316259</v>
      </c>
      <c r="E182" s="136">
        <f>'H) Péréquation directe'!I193/C182</f>
        <v>17.406368173331654</v>
      </c>
      <c r="F182" s="110">
        <f>+'I) Dépenses thématiques'!O182/'J) Plafonnement effort'!C182</f>
        <v>0</v>
      </c>
      <c r="G182" s="136">
        <f t="shared" si="9"/>
        <v>39.114978732647913</v>
      </c>
      <c r="H182" s="417">
        <f>G182-'C) Prél. conj.'!I182</f>
        <v>37.543993525503851</v>
      </c>
      <c r="I182" s="421">
        <f t="shared" si="10"/>
        <v>0</v>
      </c>
      <c r="J182" s="55">
        <f t="shared" si="11"/>
        <v>0</v>
      </c>
      <c r="K182" s="417">
        <f t="shared" si="12"/>
        <v>37.543993525503851</v>
      </c>
    </row>
    <row r="183" spans="1:11" x14ac:dyDescent="0.25">
      <c r="A183" s="49">
        <f>'A) Base RI'!A185</f>
        <v>5707</v>
      </c>
      <c r="B183" s="291" t="str">
        <f>'A) Base RI'!B185</f>
        <v>Chavannes-de-Bogis</v>
      </c>
      <c r="C183" s="95">
        <f>'B) D RI'!U185</f>
        <v>80433.672291066076</v>
      </c>
      <c r="D183" s="416">
        <f>'E) Part. coh. soc.'!G189/C183</f>
        <v>23.138239773459507</v>
      </c>
      <c r="E183" s="136">
        <f>'H) Péréquation directe'!I194/C183</f>
        <v>16.525562644972613</v>
      </c>
      <c r="F183" s="110">
        <f>+'I) Dépenses thématiques'!O183/'J) Plafonnement effort'!C183</f>
        <v>0</v>
      </c>
      <c r="G183" s="136">
        <f t="shared" si="9"/>
        <v>39.66380241843212</v>
      </c>
      <c r="H183" s="417">
        <f>G183-'C) Prél. conj.'!I183</f>
        <v>34.906160760405967</v>
      </c>
      <c r="I183" s="421">
        <f t="shared" si="10"/>
        <v>0</v>
      </c>
      <c r="J183" s="55">
        <f t="shared" si="11"/>
        <v>0</v>
      </c>
      <c r="K183" s="417">
        <f t="shared" si="12"/>
        <v>34.906160760405967</v>
      </c>
    </row>
    <row r="184" spans="1:11" x14ac:dyDescent="0.25">
      <c r="A184" s="49">
        <f>'A) Base RI'!A186</f>
        <v>5708</v>
      </c>
      <c r="B184" s="291" t="str">
        <f>'A) Base RI'!B186</f>
        <v>Chavannes-des-Bois</v>
      </c>
      <c r="C184" s="95">
        <f>'B) D RI'!U186</f>
        <v>64673.600200081586</v>
      </c>
      <c r="D184" s="416">
        <f>'E) Part. coh. soc.'!G190/C184</f>
        <v>24.571506204407495</v>
      </c>
      <c r="E184" s="136">
        <f>'H) Péréquation directe'!I195/C184</f>
        <v>17.783918946987807</v>
      </c>
      <c r="F184" s="110">
        <f>+'I) Dépenses thématiques'!O184/'J) Plafonnement effort'!C184</f>
        <v>0</v>
      </c>
      <c r="G184" s="136">
        <f t="shared" si="9"/>
        <v>42.355425151395302</v>
      </c>
      <c r="H184" s="417">
        <f>G184-'C) Prél. conj.'!I184</f>
        <v>38.658659171763041</v>
      </c>
      <c r="I184" s="421">
        <f t="shared" si="10"/>
        <v>0</v>
      </c>
      <c r="J184" s="55">
        <f t="shared" si="11"/>
        <v>0</v>
      </c>
      <c r="K184" s="417">
        <f t="shared" si="12"/>
        <v>38.658659171763041</v>
      </c>
    </row>
    <row r="185" spans="1:11" x14ac:dyDescent="0.25">
      <c r="A185" s="49">
        <f>'A) Base RI'!A187</f>
        <v>5709</v>
      </c>
      <c r="B185" s="291" t="str">
        <f>'A) Base RI'!B187</f>
        <v>Chéserex</v>
      </c>
      <c r="C185" s="95">
        <f>'B) D RI'!U187</f>
        <v>96665.564675304791</v>
      </c>
      <c r="D185" s="416">
        <f>'E) Part. coh. soc.'!G191/C185</f>
        <v>25.612037466365102</v>
      </c>
      <c r="E185" s="136">
        <f>'H) Péréquation directe'!I196/C185</f>
        <v>17.483032015297677</v>
      </c>
      <c r="F185" s="110">
        <f>+'I) Dépenses thématiques'!O185/'J) Plafonnement effort'!C185</f>
        <v>0</v>
      </c>
      <c r="G185" s="136">
        <f t="shared" si="9"/>
        <v>43.095069481662776</v>
      </c>
      <c r="H185" s="417">
        <f>G185-'C) Prél. conj.'!I185</f>
        <v>39.83314895123263</v>
      </c>
      <c r="I185" s="421">
        <f t="shared" si="10"/>
        <v>0</v>
      </c>
      <c r="J185" s="55">
        <f t="shared" si="11"/>
        <v>0</v>
      </c>
      <c r="K185" s="417">
        <f t="shared" si="12"/>
        <v>39.83314895123263</v>
      </c>
    </row>
    <row r="186" spans="1:11" x14ac:dyDescent="0.25">
      <c r="A186" s="49">
        <f>'A) Base RI'!A188</f>
        <v>5710</v>
      </c>
      <c r="B186" s="291" t="str">
        <f>'A) Base RI'!B188</f>
        <v>Coinsins</v>
      </c>
      <c r="C186" s="95">
        <f>'B) D RI'!U188</f>
        <v>116722.0098047505</v>
      </c>
      <c r="D186" s="416">
        <f>'E) Part. coh. soc.'!G192/C186</f>
        <v>36.948977083790929</v>
      </c>
      <c r="E186" s="136">
        <f>'H) Péréquation directe'!I197/C186</f>
        <v>19.117027566339633</v>
      </c>
      <c r="F186" s="110">
        <f>+'I) Dépenses thématiques'!O186/'J) Plafonnement effort'!C186</f>
        <v>0</v>
      </c>
      <c r="G186" s="136">
        <f t="shared" si="9"/>
        <v>56.066004650130566</v>
      </c>
      <c r="H186" s="417">
        <f>G186-'C) Prél. conj.'!I186</f>
        <v>55.418797065833765</v>
      </c>
      <c r="I186" s="421">
        <f t="shared" si="10"/>
        <v>-7.4187970658337647</v>
      </c>
      <c r="J186" s="55">
        <f t="shared" si="11"/>
        <v>-865936.90385770297</v>
      </c>
      <c r="K186" s="417">
        <f t="shared" si="12"/>
        <v>48</v>
      </c>
    </row>
    <row r="187" spans="1:11" x14ac:dyDescent="0.25">
      <c r="A187" s="49">
        <f>'A) Base RI'!A189</f>
        <v>5711</v>
      </c>
      <c r="B187" s="291" t="str">
        <f>'A) Base RI'!B189</f>
        <v>Commugny</v>
      </c>
      <c r="C187" s="95">
        <f>'B) D RI'!U189</f>
        <v>257446.98641964147</v>
      </c>
      <c r="D187" s="416">
        <f>'E) Part. coh. soc.'!G193/C187</f>
        <v>26.777861961919577</v>
      </c>
      <c r="E187" s="136">
        <f>'H) Péréquation directe'!I198/C187</f>
        <v>16.516873003423843</v>
      </c>
      <c r="F187" s="110">
        <f>+'I) Dépenses thématiques'!O187/'J) Plafonnement effort'!C187</f>
        <v>0</v>
      </c>
      <c r="G187" s="136">
        <f t="shared" si="9"/>
        <v>43.294734965343423</v>
      </c>
      <c r="H187" s="417">
        <f>G187-'C) Prél. conj.'!I187</f>
        <v>40.600467304080638</v>
      </c>
      <c r="I187" s="421">
        <f t="shared" si="10"/>
        <v>0</v>
      </c>
      <c r="J187" s="55">
        <f t="shared" si="11"/>
        <v>0</v>
      </c>
      <c r="K187" s="417">
        <f t="shared" si="12"/>
        <v>40.600467304080638</v>
      </c>
    </row>
    <row r="188" spans="1:11" x14ac:dyDescent="0.25">
      <c r="A188" s="49">
        <f>'A) Base RI'!A190</f>
        <v>5712</v>
      </c>
      <c r="B188" s="291" t="str">
        <f>'A) Base RI'!B190</f>
        <v>Coppet</v>
      </c>
      <c r="C188" s="95">
        <f>'B) D RI'!U190</f>
        <v>389580.29972433241</v>
      </c>
      <c r="D188" s="416">
        <f>'E) Part. coh. soc.'!G194/C188</f>
        <v>31.316556845107506</v>
      </c>
      <c r="E188" s="136">
        <f>'H) Péréquation directe'!I199/C188</f>
        <v>17.24824124123603</v>
      </c>
      <c r="F188" s="110">
        <f>+'I) Dépenses thématiques'!O188/'J) Plafonnement effort'!C188</f>
        <v>0</v>
      </c>
      <c r="G188" s="136">
        <f t="shared" si="9"/>
        <v>48.564798086343536</v>
      </c>
      <c r="H188" s="417">
        <f>G188-'C) Prél. conj.'!I188</f>
        <v>45.617709255587933</v>
      </c>
      <c r="I188" s="421">
        <f t="shared" si="10"/>
        <v>0</v>
      </c>
      <c r="J188" s="55">
        <f t="shared" si="11"/>
        <v>0</v>
      </c>
      <c r="K188" s="417">
        <f t="shared" si="12"/>
        <v>45.617709255587933</v>
      </c>
    </row>
    <row r="189" spans="1:11" x14ac:dyDescent="0.25">
      <c r="A189" s="49">
        <f>'A) Base RI'!A191</f>
        <v>5713</v>
      </c>
      <c r="B189" s="291" t="str">
        <f>'A) Base RI'!B191</f>
        <v>Crans-près-Céligny</v>
      </c>
      <c r="C189" s="95">
        <f>'B) D RI'!U191</f>
        <v>285688.37252656295</v>
      </c>
      <c r="D189" s="416">
        <f>'E) Part. coh. soc.'!G195/C189</f>
        <v>31.403243374242827</v>
      </c>
      <c r="E189" s="136">
        <f>'H) Péréquation directe'!I200/C189</f>
        <v>17.625564970462051</v>
      </c>
      <c r="F189" s="110">
        <f>+'I) Dépenses thématiques'!O189/'J) Plafonnement effort'!C189</f>
        <v>0</v>
      </c>
      <c r="G189" s="136">
        <f t="shared" si="9"/>
        <v>49.028808344704878</v>
      </c>
      <c r="H189" s="417">
        <f>G189-'C) Prél. conj.'!I189</f>
        <v>47.14799937005877</v>
      </c>
      <c r="I189" s="421">
        <f t="shared" si="10"/>
        <v>0</v>
      </c>
      <c r="J189" s="55">
        <f t="shared" si="11"/>
        <v>0</v>
      </c>
      <c r="K189" s="417">
        <f t="shared" si="12"/>
        <v>47.14799937005877</v>
      </c>
    </row>
    <row r="190" spans="1:11" x14ac:dyDescent="0.25">
      <c r="A190" s="49">
        <f>'A) Base RI'!A192</f>
        <v>5714</v>
      </c>
      <c r="B190" s="291" t="str">
        <f>'A) Base RI'!B192</f>
        <v>Crassier</v>
      </c>
      <c r="C190" s="95">
        <f>'B) D RI'!U192</f>
        <v>69464.601004636497</v>
      </c>
      <c r="D190" s="416">
        <f>'E) Part. coh. soc.'!G196/C190</f>
        <v>21.432424781357735</v>
      </c>
      <c r="E190" s="136">
        <f>'H) Péréquation directe'!I201/C190</f>
        <v>16.984397962541887</v>
      </c>
      <c r="F190" s="110">
        <f>+'I) Dépenses thématiques'!O190/'J) Plafonnement effort'!C190</f>
        <v>0</v>
      </c>
      <c r="G190" s="136">
        <f t="shared" si="9"/>
        <v>38.416822743899623</v>
      </c>
      <c r="H190" s="417">
        <f>G190-'C) Prél. conj.'!I190</f>
        <v>35.872261234243759</v>
      </c>
      <c r="I190" s="421">
        <f t="shared" si="10"/>
        <v>0</v>
      </c>
      <c r="J190" s="55">
        <f t="shared" si="11"/>
        <v>0</v>
      </c>
      <c r="K190" s="417">
        <f t="shared" si="12"/>
        <v>35.872261234243759</v>
      </c>
    </row>
    <row r="191" spans="1:11" x14ac:dyDescent="0.25">
      <c r="A191" s="49">
        <f>'A) Base RI'!A193</f>
        <v>5715</v>
      </c>
      <c r="B191" s="291" t="str">
        <f>'A) Base RI'!B193</f>
        <v>Duillier</v>
      </c>
      <c r="C191" s="95">
        <f>'B) D RI'!U193</f>
        <v>70057.743908647069</v>
      </c>
      <c r="D191" s="416">
        <f>'E) Part. coh. soc.'!G197/C191</f>
        <v>22.402259013843864</v>
      </c>
      <c r="E191" s="136">
        <f>'H) Péréquation directe'!I202/C191</f>
        <v>17.40361514872485</v>
      </c>
      <c r="F191" s="110">
        <f>+'I) Dépenses thématiques'!O191/'J) Plafonnement effort'!C191</f>
        <v>0</v>
      </c>
      <c r="G191" s="136">
        <f t="shared" si="9"/>
        <v>39.805874162568713</v>
      </c>
      <c r="H191" s="417">
        <f>G191-'C) Prél. conj.'!I191</f>
        <v>37.420886070204851</v>
      </c>
      <c r="I191" s="421">
        <f t="shared" si="10"/>
        <v>0</v>
      </c>
      <c r="J191" s="55">
        <f t="shared" si="11"/>
        <v>0</v>
      </c>
      <c r="K191" s="417">
        <f t="shared" si="12"/>
        <v>37.420886070204851</v>
      </c>
    </row>
    <row r="192" spans="1:11" x14ac:dyDescent="0.25">
      <c r="A192" s="49">
        <f>'A) Base RI'!A194</f>
        <v>5716</v>
      </c>
      <c r="B192" s="291" t="str">
        <f>'A) Base RI'!B194</f>
        <v>Eysins</v>
      </c>
      <c r="C192" s="95">
        <f>'B) D RI'!U194</f>
        <v>215421.00462875623</v>
      </c>
      <c r="D192" s="416">
        <f>'E) Part. coh. soc.'!G198/C192</f>
        <v>32.563259014832511</v>
      </c>
      <c r="E192" s="136">
        <f>'H) Péréquation directe'!I203/C192</f>
        <v>17.862099598370964</v>
      </c>
      <c r="F192" s="110">
        <f>+'I) Dépenses thématiques'!O192/'J) Plafonnement effort'!C192</f>
        <v>0</v>
      </c>
      <c r="G192" s="136">
        <f t="shared" si="9"/>
        <v>50.425358613203471</v>
      </c>
      <c r="H192" s="417">
        <f>G192-'C) Prél. conj.'!I192</f>
        <v>48.535726561298809</v>
      </c>
      <c r="I192" s="421">
        <f t="shared" si="10"/>
        <v>-0.53572656129880869</v>
      </c>
      <c r="J192" s="55">
        <f t="shared" si="11"/>
        <v>-115406.75404129832</v>
      </c>
      <c r="K192" s="417">
        <f t="shared" si="12"/>
        <v>48</v>
      </c>
    </row>
    <row r="193" spans="1:11" x14ac:dyDescent="0.25">
      <c r="A193" s="49">
        <f>'A) Base RI'!A195</f>
        <v>5717</v>
      </c>
      <c r="B193" s="291" t="str">
        <f>'A) Base RI'!B195</f>
        <v>Founex</v>
      </c>
      <c r="C193" s="95">
        <f>'B) D RI'!U195</f>
        <v>344785.57941848523</v>
      </c>
      <c r="D193" s="416">
        <f>'E) Part. coh. soc.'!G199/C193</f>
        <v>28.257784388076651</v>
      </c>
      <c r="E193" s="136">
        <f>'H) Péréquation directe'!I204/C193</f>
        <v>16.118727947257938</v>
      </c>
      <c r="F193" s="110">
        <f>+'I) Dépenses thématiques'!O193/'J) Plafonnement effort'!C193</f>
        <v>0</v>
      </c>
      <c r="G193" s="136">
        <f t="shared" si="9"/>
        <v>44.376512335334588</v>
      </c>
      <c r="H193" s="417">
        <f>G193-'C) Prél. conj.'!I193</f>
        <v>40.769541831819019</v>
      </c>
      <c r="I193" s="421">
        <f t="shared" si="10"/>
        <v>0</v>
      </c>
      <c r="J193" s="55">
        <f t="shared" si="11"/>
        <v>0</v>
      </c>
      <c r="K193" s="417">
        <f t="shared" si="12"/>
        <v>40.769541831819019</v>
      </c>
    </row>
    <row r="194" spans="1:11" x14ac:dyDescent="0.25">
      <c r="A194" s="49">
        <f>'A) Base RI'!A196</f>
        <v>5718</v>
      </c>
      <c r="B194" s="291" t="str">
        <f>'A) Base RI'!B196</f>
        <v>Genolier</v>
      </c>
      <c r="C194" s="95">
        <f>'B) D RI'!U196</f>
        <v>170276.54994177341</v>
      </c>
      <c r="D194" s="416">
        <f>'E) Part. coh. soc.'!G200/C194</f>
        <v>28.056316655156248</v>
      </c>
      <c r="E194" s="136">
        <f>'H) Péréquation directe'!I205/C194</f>
        <v>16.845111714044034</v>
      </c>
      <c r="F194" s="110">
        <f>+'I) Dépenses thématiques'!O194/'J) Plafonnement effort'!C194</f>
        <v>0</v>
      </c>
      <c r="G194" s="136">
        <f t="shared" si="9"/>
        <v>44.901428369200282</v>
      </c>
      <c r="H194" s="417">
        <f>G194-'C) Prél. conj.'!I194</f>
        <v>40.211191338481157</v>
      </c>
      <c r="I194" s="421">
        <f t="shared" si="10"/>
        <v>0</v>
      </c>
      <c r="J194" s="55">
        <f t="shared" si="11"/>
        <v>0</v>
      </c>
      <c r="K194" s="417">
        <f t="shared" si="12"/>
        <v>40.211191338481157</v>
      </c>
    </row>
    <row r="195" spans="1:11" x14ac:dyDescent="0.25">
      <c r="A195" s="49">
        <f>'A) Base RI'!A197</f>
        <v>5719</v>
      </c>
      <c r="B195" s="291" t="str">
        <f>'A) Base RI'!B197</f>
        <v>Gingins</v>
      </c>
      <c r="C195" s="95">
        <f>'B) D RI'!U197</f>
        <v>142327.02027947939</v>
      </c>
      <c r="D195" s="416">
        <f>'E) Part. coh. soc.'!G201/C195</f>
        <v>29.901797405300609</v>
      </c>
      <c r="E195" s="136">
        <f>'H) Péréquation directe'!I206/C195</f>
        <v>18.175359186499215</v>
      </c>
      <c r="F195" s="110">
        <f>+'I) Dépenses thématiques'!O195/'J) Plafonnement effort'!C195</f>
        <v>0</v>
      </c>
      <c r="G195" s="136">
        <f t="shared" si="9"/>
        <v>48.07715659179982</v>
      </c>
      <c r="H195" s="417">
        <f>G195-'C) Prél. conj.'!I195</f>
        <v>46.715157165272451</v>
      </c>
      <c r="I195" s="421">
        <f t="shared" si="10"/>
        <v>0</v>
      </c>
      <c r="J195" s="55">
        <f t="shared" si="11"/>
        <v>0</v>
      </c>
      <c r="K195" s="417">
        <f t="shared" si="12"/>
        <v>46.715157165272451</v>
      </c>
    </row>
    <row r="196" spans="1:11" x14ac:dyDescent="0.25">
      <c r="A196" s="49">
        <f>'A) Base RI'!A198</f>
        <v>5720</v>
      </c>
      <c r="B196" s="291" t="str">
        <f>'A) Base RI'!B198</f>
        <v>Givrins</v>
      </c>
      <c r="C196" s="95">
        <f>'B) D RI'!U198</f>
        <v>82417.202201596621</v>
      </c>
      <c r="D196" s="416">
        <f>'E) Part. coh. soc.'!G202/C196</f>
        <v>27.556535935589356</v>
      </c>
      <c r="E196" s="136">
        <f>'H) Péréquation directe'!I207/C196</f>
        <v>17.987843124987901</v>
      </c>
      <c r="F196" s="110">
        <f>+'I) Dépenses thématiques'!O196/'J) Plafonnement effort'!C196</f>
        <v>-0.47126582792865529</v>
      </c>
      <c r="G196" s="136">
        <f t="shared" si="9"/>
        <v>45.073113232648602</v>
      </c>
      <c r="H196" s="417">
        <f>G196-'C) Prél. conj.'!I196</f>
        <v>41.511172919727947</v>
      </c>
      <c r="I196" s="421">
        <f t="shared" si="10"/>
        <v>0</v>
      </c>
      <c r="J196" s="55">
        <f t="shared" si="11"/>
        <v>0</v>
      </c>
      <c r="K196" s="417">
        <f t="shared" si="12"/>
        <v>41.511172919727947</v>
      </c>
    </row>
    <row r="197" spans="1:11" x14ac:dyDescent="0.25">
      <c r="A197" s="49">
        <f>'A) Base RI'!A199</f>
        <v>5721</v>
      </c>
      <c r="B197" s="291" t="str">
        <f>'A) Base RI'!B199</f>
        <v>Gland</v>
      </c>
      <c r="C197" s="95">
        <f>'B) D RI'!U199</f>
        <v>657906.43691215932</v>
      </c>
      <c r="D197" s="416">
        <f>'E) Part. coh. soc.'!G203/C197</f>
        <v>19.754443352598127</v>
      </c>
      <c r="E197" s="136">
        <f>'H) Péréquation directe'!I208/C197</f>
        <v>7.4751299797659048</v>
      </c>
      <c r="F197" s="110">
        <f>+'I) Dépenses thématiques'!O197/'J) Plafonnement effort'!C197</f>
        <v>0</v>
      </c>
      <c r="G197" s="136">
        <f t="shared" ref="G197:G260" si="13">SUM(D197:F197)</f>
        <v>27.229573332364033</v>
      </c>
      <c r="H197" s="417">
        <f>G197-'C) Prél. conj.'!I197</f>
        <v>23.776580934748516</v>
      </c>
      <c r="I197" s="421">
        <f t="shared" ref="I197:I260" si="14">IF(H197&gt;I$4,I$4-H197,0)</f>
        <v>0</v>
      </c>
      <c r="J197" s="55">
        <f t="shared" ref="J197:J260" si="15">I197*C197</f>
        <v>0</v>
      </c>
      <c r="K197" s="417">
        <f t="shared" ref="K197:K260" si="16">H197+I197</f>
        <v>23.776580934748516</v>
      </c>
    </row>
    <row r="198" spans="1:11" x14ac:dyDescent="0.25">
      <c r="A198" s="49">
        <f>'A) Base RI'!A200</f>
        <v>5722</v>
      </c>
      <c r="B198" s="291" t="str">
        <f>'A) Base RI'!B200</f>
        <v>Grens</v>
      </c>
      <c r="C198" s="95">
        <f>'B) D RI'!U200</f>
        <v>20260.981774193551</v>
      </c>
      <c r="D198" s="416">
        <f>'E) Part. coh. soc.'!G204/C198</f>
        <v>20.352558983754317</v>
      </c>
      <c r="E198" s="136">
        <f>'H) Péréquation directe'!I209/C198</f>
        <v>17.273921469075308</v>
      </c>
      <c r="F198" s="110">
        <f>+'I) Dépenses thématiques'!O198/'J) Plafonnement effort'!C198</f>
        <v>-9.9235545857069933</v>
      </c>
      <c r="G198" s="136">
        <f t="shared" si="13"/>
        <v>27.70292586712263</v>
      </c>
      <c r="H198" s="417">
        <f>G198-'C) Prél. conj.'!I198</f>
        <v>24.300719559045355</v>
      </c>
      <c r="I198" s="421">
        <f t="shared" si="14"/>
        <v>0</v>
      </c>
      <c r="J198" s="55">
        <f t="shared" si="15"/>
        <v>0</v>
      </c>
      <c r="K198" s="417">
        <f t="shared" si="16"/>
        <v>24.300719559045355</v>
      </c>
    </row>
    <row r="199" spans="1:11" x14ac:dyDescent="0.25">
      <c r="A199" s="49">
        <f>'A) Base RI'!A201</f>
        <v>5723</v>
      </c>
      <c r="B199" s="291" t="str">
        <f>'A) Base RI'!B201</f>
        <v>Mies</v>
      </c>
      <c r="C199" s="95">
        <f>'B) D RI'!U201</f>
        <v>196584.50934585766</v>
      </c>
      <c r="D199" s="416">
        <f>'E) Part. coh. soc.'!G205/C199</f>
        <v>27.062814206503958</v>
      </c>
      <c r="E199" s="136">
        <f>'H) Péréquation directe'!I210/C199</f>
        <v>17.012739767943902</v>
      </c>
      <c r="F199" s="110">
        <f>+'I) Dépenses thématiques'!O199/'J) Plafonnement effort'!C199</f>
        <v>0</v>
      </c>
      <c r="G199" s="136">
        <f t="shared" si="13"/>
        <v>44.075553974447857</v>
      </c>
      <c r="H199" s="417">
        <f>G199-'C) Prél. conj.'!I199</f>
        <v>41.263197462535082</v>
      </c>
      <c r="I199" s="421">
        <f t="shared" si="14"/>
        <v>0</v>
      </c>
      <c r="J199" s="55">
        <f t="shared" si="15"/>
        <v>0</v>
      </c>
      <c r="K199" s="417">
        <f t="shared" si="16"/>
        <v>41.263197462535082</v>
      </c>
    </row>
    <row r="200" spans="1:11" x14ac:dyDescent="0.25">
      <c r="A200" s="49">
        <f>'A) Base RI'!A202</f>
        <v>5724</v>
      </c>
      <c r="B200" s="291" t="str">
        <f>'A) Base RI'!B202</f>
        <v>Nyon</v>
      </c>
      <c r="C200" s="95">
        <f>'B) D RI'!U202</f>
        <v>1385271.3719392153</v>
      </c>
      <c r="D200" s="416">
        <f>'E) Part. coh. soc.'!G206/C200</f>
        <v>23.781207554197167</v>
      </c>
      <c r="E200" s="136">
        <f>'H) Péréquation directe'!I211/C200</f>
        <v>7.6692242255267029</v>
      </c>
      <c r="F200" s="110">
        <f>+'I) Dépenses thématiques'!O200/'J) Plafonnement effort'!C200</f>
        <v>-0.48962654249866377</v>
      </c>
      <c r="G200" s="136">
        <f t="shared" si="13"/>
        <v>30.960805237225209</v>
      </c>
      <c r="H200" s="417">
        <f>G200-'C) Prél. conj.'!I200</f>
        <v>26.930717921420225</v>
      </c>
      <c r="I200" s="421">
        <f t="shared" si="14"/>
        <v>0</v>
      </c>
      <c r="J200" s="55">
        <f t="shared" si="15"/>
        <v>0</v>
      </c>
      <c r="K200" s="417">
        <f t="shared" si="16"/>
        <v>26.930717921420225</v>
      </c>
    </row>
    <row r="201" spans="1:11" x14ac:dyDescent="0.25">
      <c r="A201" s="49">
        <f>'A) Base RI'!A203</f>
        <v>5725</v>
      </c>
      <c r="B201" s="291" t="str">
        <f>'A) Base RI'!B203</f>
        <v>Prangins</v>
      </c>
      <c r="C201" s="95">
        <f>'B) D RI'!U203</f>
        <v>342757.72234116954</v>
      </c>
      <c r="D201" s="416">
        <f>'E) Part. coh. soc.'!G207/C201</f>
        <v>28.088914002997594</v>
      </c>
      <c r="E201" s="136">
        <f>'H) Péréquation directe'!I212/C201</f>
        <v>15.634557688837603</v>
      </c>
      <c r="F201" s="110">
        <f>+'I) Dépenses thématiques'!O201/'J) Plafonnement effort'!C201</f>
        <v>0</v>
      </c>
      <c r="G201" s="136">
        <f t="shared" si="13"/>
        <v>43.723471691835201</v>
      </c>
      <c r="H201" s="417">
        <f>G201-'C) Prél. conj.'!I201</f>
        <v>38.927317140534683</v>
      </c>
      <c r="I201" s="421">
        <f t="shared" si="14"/>
        <v>0</v>
      </c>
      <c r="J201" s="55">
        <f t="shared" si="15"/>
        <v>0</v>
      </c>
      <c r="K201" s="417">
        <f t="shared" si="16"/>
        <v>38.927317140534683</v>
      </c>
    </row>
    <row r="202" spans="1:11" x14ac:dyDescent="0.25">
      <c r="A202" s="49">
        <f>'A) Base RI'!A204</f>
        <v>5726</v>
      </c>
      <c r="B202" s="291" t="str">
        <f>'A) Base RI'!B204</f>
        <v>La Rippe</v>
      </c>
      <c r="C202" s="95">
        <f>'B) D RI'!U204</f>
        <v>61259.007150466066</v>
      </c>
      <c r="D202" s="416">
        <f>'E) Part. coh. soc.'!G208/C202</f>
        <v>19.418534073186411</v>
      </c>
      <c r="E202" s="136">
        <f>'H) Péréquation directe'!I213/C202</f>
        <v>16.81700585419992</v>
      </c>
      <c r="F202" s="110">
        <f>+'I) Dépenses thématiques'!O202/'J) Plafonnement effort'!C202</f>
        <v>-1.7161231127333563E-2</v>
      </c>
      <c r="G202" s="136">
        <f t="shared" si="13"/>
        <v>36.218378696258995</v>
      </c>
      <c r="H202" s="417">
        <f>G202-'C) Prél. conj.'!I202</f>
        <v>34.043213505078022</v>
      </c>
      <c r="I202" s="421">
        <f t="shared" si="14"/>
        <v>0</v>
      </c>
      <c r="J202" s="55">
        <f t="shared" si="15"/>
        <v>0</v>
      </c>
      <c r="K202" s="417">
        <f t="shared" si="16"/>
        <v>34.043213505078022</v>
      </c>
    </row>
    <row r="203" spans="1:11" x14ac:dyDescent="0.25">
      <c r="A203" s="49">
        <f>'A) Base RI'!A205</f>
        <v>5727</v>
      </c>
      <c r="B203" s="291" t="str">
        <f>'A) Base RI'!B205</f>
        <v>Saint-Cergue</v>
      </c>
      <c r="C203" s="95">
        <f>'B) D RI'!U205</f>
        <v>96033.059668733855</v>
      </c>
      <c r="D203" s="416">
        <f>'E) Part. coh. soc.'!G209/C203</f>
        <v>19.204899838390393</v>
      </c>
      <c r="E203" s="136">
        <f>'H) Péréquation directe'!I214/C203</f>
        <v>8.2232177340083314</v>
      </c>
      <c r="F203" s="110">
        <f>+'I) Dépenses thématiques'!O203/'J) Plafonnement effort'!C203</f>
        <v>-3.5653392415854195</v>
      </c>
      <c r="G203" s="136">
        <f t="shared" si="13"/>
        <v>23.862778330813306</v>
      </c>
      <c r="H203" s="417">
        <f>G203-'C) Prél. conj.'!I203</f>
        <v>19.990827189376738</v>
      </c>
      <c r="I203" s="421">
        <f t="shared" si="14"/>
        <v>0</v>
      </c>
      <c r="J203" s="55">
        <f t="shared" si="15"/>
        <v>0</v>
      </c>
      <c r="K203" s="417">
        <f t="shared" si="16"/>
        <v>19.990827189376738</v>
      </c>
    </row>
    <row r="204" spans="1:11" x14ac:dyDescent="0.25">
      <c r="A204" s="49">
        <f>'A) Base RI'!A206</f>
        <v>5728</v>
      </c>
      <c r="B204" s="291" t="str">
        <f>'A) Base RI'!B206</f>
        <v>Signy-Avenex</v>
      </c>
      <c r="C204" s="95">
        <f>'B) D RI'!U206</f>
        <v>43425.016490818416</v>
      </c>
      <c r="D204" s="416">
        <f>'E) Part. coh. soc.'!G210/C204</f>
        <v>24.081590898585556</v>
      </c>
      <c r="E204" s="136">
        <f>'H) Péréquation directe'!I215/C204</f>
        <v>17.953422765230528</v>
      </c>
      <c r="F204" s="110">
        <f>+'I) Dépenses thématiques'!O204/'J) Plafonnement effort'!C204</f>
        <v>0</v>
      </c>
      <c r="G204" s="136">
        <f t="shared" si="13"/>
        <v>42.035013663816088</v>
      </c>
      <c r="H204" s="417">
        <f>G204-'C) Prél. conj.'!I204</f>
        <v>39.564560600829168</v>
      </c>
      <c r="I204" s="421">
        <f t="shared" si="14"/>
        <v>0</v>
      </c>
      <c r="J204" s="55">
        <f t="shared" si="15"/>
        <v>0</v>
      </c>
      <c r="K204" s="417">
        <f t="shared" si="16"/>
        <v>39.564560600829168</v>
      </c>
    </row>
    <row r="205" spans="1:11" x14ac:dyDescent="0.25">
      <c r="A205" s="49">
        <f>'A) Base RI'!A207</f>
        <v>5729</v>
      </c>
      <c r="B205" s="291" t="str">
        <f>'A) Base RI'!B207</f>
        <v>Tannay</v>
      </c>
      <c r="C205" s="95">
        <f>'B) D RI'!U207</f>
        <v>176785.12407552512</v>
      </c>
      <c r="D205" s="416">
        <f>'E) Part. coh. soc.'!G211/C205</f>
        <v>31.519248201012449</v>
      </c>
      <c r="E205" s="136">
        <f>'H) Péréquation directe'!I216/C205</f>
        <v>17.744235670851623</v>
      </c>
      <c r="F205" s="110">
        <f>+'I) Dépenses thématiques'!O205/'J) Plafonnement effort'!C205</f>
        <v>0</v>
      </c>
      <c r="G205" s="136">
        <f t="shared" si="13"/>
        <v>49.263483871864068</v>
      </c>
      <c r="H205" s="417">
        <f>G205-'C) Prél. conj.'!I205</f>
        <v>46.561780419734504</v>
      </c>
      <c r="I205" s="421">
        <f t="shared" si="14"/>
        <v>0</v>
      </c>
      <c r="J205" s="55">
        <f t="shared" si="15"/>
        <v>0</v>
      </c>
      <c r="K205" s="417">
        <f t="shared" si="16"/>
        <v>46.561780419734504</v>
      </c>
    </row>
    <row r="206" spans="1:11" x14ac:dyDescent="0.25">
      <c r="A206" s="49">
        <f>'A) Base RI'!A208</f>
        <v>5730</v>
      </c>
      <c r="B206" s="291" t="str">
        <f>'A) Base RI'!B208</f>
        <v>Trélex</v>
      </c>
      <c r="C206" s="95">
        <f>'B) D RI'!U208</f>
        <v>134389.74453035684</v>
      </c>
      <c r="D206" s="416">
        <f>'E) Part. coh. soc.'!G212/C206</f>
        <v>27.043745571336864</v>
      </c>
      <c r="E206" s="136">
        <f>'H) Péréquation directe'!I217/C206</f>
        <v>17.577934072830651</v>
      </c>
      <c r="F206" s="110">
        <f>+'I) Dépenses thématiques'!O206/'J) Plafonnement effort'!C206</f>
        <v>0</v>
      </c>
      <c r="G206" s="136">
        <f t="shared" si="13"/>
        <v>44.621679644167514</v>
      </c>
      <c r="H206" s="417">
        <f>G206-'C) Prél. conj.'!I206</f>
        <v>42.665425348731944</v>
      </c>
      <c r="I206" s="421">
        <f t="shared" si="14"/>
        <v>0</v>
      </c>
      <c r="J206" s="55">
        <f t="shared" si="15"/>
        <v>0</v>
      </c>
      <c r="K206" s="417">
        <f t="shared" si="16"/>
        <v>42.665425348731944</v>
      </c>
    </row>
    <row r="207" spans="1:11" x14ac:dyDescent="0.25">
      <c r="A207" s="49">
        <f>'A) Base RI'!A209</f>
        <v>5731</v>
      </c>
      <c r="B207" s="291" t="str">
        <f>'A) Base RI'!B209</f>
        <v>Le Vaud</v>
      </c>
      <c r="C207" s="95">
        <f>'B) D RI'!U209</f>
        <v>61951.44694342916</v>
      </c>
      <c r="D207" s="416">
        <f>'E) Part. coh. soc.'!G213/C207</f>
        <v>21.321304228645708</v>
      </c>
      <c r="E207" s="136">
        <f>'H) Péréquation directe'!I218/C207</f>
        <v>15.313996143404697</v>
      </c>
      <c r="F207" s="110">
        <f>+'I) Dépenses thématiques'!O207/'J) Plafonnement effort'!C207</f>
        <v>-1.6672690555563749</v>
      </c>
      <c r="G207" s="136">
        <f t="shared" si="13"/>
        <v>34.968031316494034</v>
      </c>
      <c r="H207" s="417">
        <f>G207-'C) Prél. conj.'!I207</f>
        <v>28.979675784802154</v>
      </c>
      <c r="I207" s="421">
        <f t="shared" si="14"/>
        <v>0</v>
      </c>
      <c r="J207" s="55">
        <f t="shared" si="15"/>
        <v>0</v>
      </c>
      <c r="K207" s="417">
        <f t="shared" si="16"/>
        <v>28.979675784802154</v>
      </c>
    </row>
    <row r="208" spans="1:11" x14ac:dyDescent="0.25">
      <c r="A208" s="49">
        <f>'A) Base RI'!A210</f>
        <v>5732</v>
      </c>
      <c r="B208" s="291" t="str">
        <f>'A) Base RI'!B210</f>
        <v>Vich</v>
      </c>
      <c r="C208" s="95">
        <f>'B) D RI'!U210</f>
        <v>62590.343939393941</v>
      </c>
      <c r="D208" s="416">
        <f>'E) Part. coh. soc.'!G214/C208</f>
        <v>21.629232024096474</v>
      </c>
      <c r="E208" s="136">
        <f>'H) Péréquation directe'!I219/C208</f>
        <v>17.17510070201741</v>
      </c>
      <c r="F208" s="110">
        <f>+'I) Dépenses thématiques'!O208/'J) Plafonnement effort'!C208</f>
        <v>0</v>
      </c>
      <c r="G208" s="136">
        <f t="shared" si="13"/>
        <v>38.804332726113884</v>
      </c>
      <c r="H208" s="417">
        <f>G208-'C) Prél. conj.'!I208</f>
        <v>35.49763600624275</v>
      </c>
      <c r="I208" s="421">
        <f t="shared" si="14"/>
        <v>0</v>
      </c>
      <c r="J208" s="55">
        <f t="shared" si="15"/>
        <v>0</v>
      </c>
      <c r="K208" s="417">
        <f t="shared" si="16"/>
        <v>35.49763600624275</v>
      </c>
    </row>
    <row r="209" spans="1:11" x14ac:dyDescent="0.25">
      <c r="A209" s="49">
        <f>'A) Base RI'!A211</f>
        <v>5741</v>
      </c>
      <c r="B209" s="291" t="str">
        <f>'A) Base RI'!B211</f>
        <v>L'Abergement</v>
      </c>
      <c r="C209" s="95">
        <f>'B) D RI'!U211</f>
        <v>7136.3252688010616</v>
      </c>
      <c r="D209" s="416">
        <f>'E) Part. coh. soc.'!G215/C209</f>
        <v>18.677882412960074</v>
      </c>
      <c r="E209" s="136">
        <f>'H) Péréquation directe'!I220/C209</f>
        <v>0.5144774593721585</v>
      </c>
      <c r="F209" s="110">
        <f>+'I) Dépenses thématiques'!O209/'J) Plafonnement effort'!C209</f>
        <v>-16.156637610525095</v>
      </c>
      <c r="G209" s="136">
        <f t="shared" si="13"/>
        <v>3.0357222618071376</v>
      </c>
      <c r="H209" s="417">
        <f>G209-'C) Prél. conj.'!I209</f>
        <v>-0.30921145419910756</v>
      </c>
      <c r="I209" s="421">
        <f t="shared" si="14"/>
        <v>0</v>
      </c>
      <c r="J209" s="55">
        <f t="shared" si="15"/>
        <v>0</v>
      </c>
      <c r="K209" s="417">
        <f t="shared" si="16"/>
        <v>-0.30921145419910756</v>
      </c>
    </row>
    <row r="210" spans="1:11" x14ac:dyDescent="0.25">
      <c r="A210" s="49">
        <f>'A) Base RI'!A212</f>
        <v>5742</v>
      </c>
      <c r="B210" s="291" t="str">
        <f>'A) Base RI'!B212</f>
        <v>Agiez</v>
      </c>
      <c r="C210" s="95">
        <f>'B) D RI'!U212</f>
        <v>9012.3275646255879</v>
      </c>
      <c r="D210" s="416">
        <f>'E) Part. coh. soc.'!G216/C210</f>
        <v>19.045244411916553</v>
      </c>
      <c r="E210" s="136">
        <f>'H) Péréquation directe'!I221/C210</f>
        <v>-3.6872756712763284</v>
      </c>
      <c r="F210" s="110">
        <f>+'I) Dépenses thématiques'!O210/'J) Plafonnement effort'!C210</f>
        <v>-1.8023530765699727</v>
      </c>
      <c r="G210" s="136">
        <f t="shared" si="13"/>
        <v>13.555615664070253</v>
      </c>
      <c r="H210" s="417">
        <f>G210-'C) Prél. conj.'!I210</f>
        <v>9.8433199491075296</v>
      </c>
      <c r="I210" s="421">
        <f t="shared" si="14"/>
        <v>0</v>
      </c>
      <c r="J210" s="55">
        <f t="shared" si="15"/>
        <v>0</v>
      </c>
      <c r="K210" s="417">
        <f t="shared" si="16"/>
        <v>9.8433199491075296</v>
      </c>
    </row>
    <row r="211" spans="1:11" x14ac:dyDescent="0.25">
      <c r="A211" s="49">
        <f>'A) Base RI'!A213</f>
        <v>5743</v>
      </c>
      <c r="B211" s="291" t="str">
        <f>'A) Base RI'!B213</f>
        <v>Arnex-sur-Orbe</v>
      </c>
      <c r="C211" s="95">
        <f>'B) D RI'!U213</f>
        <v>18985.341168070638</v>
      </c>
      <c r="D211" s="416">
        <f>'E) Part. coh. soc.'!G217/C211</f>
        <v>21.067398188074762</v>
      </c>
      <c r="E211" s="136">
        <f>'H) Péréquation directe'!I222/C211</f>
        <v>4.230073185937349</v>
      </c>
      <c r="F211" s="110">
        <f>+'I) Dépenses thématiques'!O211/'J) Plafonnement effort'!C211</f>
        <v>-3.803049732798323</v>
      </c>
      <c r="G211" s="136">
        <f t="shared" si="13"/>
        <v>21.494421641213791</v>
      </c>
      <c r="H211" s="417">
        <f>G211-'C) Prél. conj.'!I211</f>
        <v>15.759972150092857</v>
      </c>
      <c r="I211" s="421">
        <f t="shared" si="14"/>
        <v>0</v>
      </c>
      <c r="J211" s="55">
        <f t="shared" si="15"/>
        <v>0</v>
      </c>
      <c r="K211" s="417">
        <f t="shared" si="16"/>
        <v>15.759972150092857</v>
      </c>
    </row>
    <row r="212" spans="1:11" x14ac:dyDescent="0.25">
      <c r="A212" s="49">
        <f>'A) Base RI'!A214</f>
        <v>5744</v>
      </c>
      <c r="B212" s="291" t="str">
        <f>'A) Base RI'!B214</f>
        <v>Ballaigues</v>
      </c>
      <c r="C212" s="95">
        <f>'B) D RI'!U214</f>
        <v>59853.218669078378</v>
      </c>
      <c r="D212" s="416">
        <f>'E) Part. coh. soc.'!G218/C212</f>
        <v>26.645944066432925</v>
      </c>
      <c r="E212" s="136">
        <f>'H) Péréquation directe'!I223/C212</f>
        <v>16.915054044554928</v>
      </c>
      <c r="F212" s="110">
        <f>+'I) Dépenses thématiques'!O212/'J) Plafonnement effort'!C212</f>
        <v>-4.739864742551541</v>
      </c>
      <c r="G212" s="136">
        <f t="shared" si="13"/>
        <v>38.821133368436314</v>
      </c>
      <c r="H212" s="417">
        <f>G212-'C) Prél. conj.'!I212</f>
        <v>29.467536729042408</v>
      </c>
      <c r="I212" s="421">
        <f t="shared" si="14"/>
        <v>0</v>
      </c>
      <c r="J212" s="55">
        <f t="shared" si="15"/>
        <v>0</v>
      </c>
      <c r="K212" s="417">
        <f t="shared" si="16"/>
        <v>29.467536729042408</v>
      </c>
    </row>
    <row r="213" spans="1:11" x14ac:dyDescent="0.25">
      <c r="A213" s="49">
        <f>'A) Base RI'!A215</f>
        <v>5745</v>
      </c>
      <c r="B213" s="291" t="str">
        <f>'A) Base RI'!B215</f>
        <v>Baulmes</v>
      </c>
      <c r="C213" s="95">
        <f>'B) D RI'!U215</f>
        <v>27688.42729631942</v>
      </c>
      <c r="D213" s="416">
        <f>'E) Part. coh. soc.'!G219/C213</f>
        <v>19.495115755655611</v>
      </c>
      <c r="E213" s="136">
        <f>'H) Péréquation directe'!I224/C213</f>
        <v>-2.9853068893043644</v>
      </c>
      <c r="F213" s="110">
        <f>+'I) Dépenses thématiques'!O213/'J) Plafonnement effort'!C213</f>
        <v>-10.028034831056306</v>
      </c>
      <c r="G213" s="136">
        <f t="shared" si="13"/>
        <v>6.48177403529494</v>
      </c>
      <c r="H213" s="417">
        <f>G213-'C) Prél. conj.'!I213</f>
        <v>2.319606976593156</v>
      </c>
      <c r="I213" s="421">
        <f t="shared" si="14"/>
        <v>0</v>
      </c>
      <c r="J213" s="55">
        <f t="shared" si="15"/>
        <v>0</v>
      </c>
      <c r="K213" s="417">
        <f t="shared" si="16"/>
        <v>2.319606976593156</v>
      </c>
    </row>
    <row r="214" spans="1:11" x14ac:dyDescent="0.25">
      <c r="A214" s="49">
        <f>'A) Base RI'!A216</f>
        <v>5746</v>
      </c>
      <c r="B214" s="291" t="str">
        <f>'A) Base RI'!B216</f>
        <v>Bavois</v>
      </c>
      <c r="C214" s="95">
        <f>'B) D RI'!U216</f>
        <v>26210.064905994277</v>
      </c>
      <c r="D214" s="416">
        <f>'E) Part. coh. soc.'!G220/C214</f>
        <v>19.333843596531796</v>
      </c>
      <c r="E214" s="136">
        <f>'H) Péréquation directe'!I225/C214</f>
        <v>0.97096320250715162</v>
      </c>
      <c r="F214" s="110">
        <f>+'I) Dépenses thématiques'!O214/'J) Plafonnement effort'!C214</f>
        <v>-7.3132452196149744</v>
      </c>
      <c r="G214" s="136">
        <f t="shared" si="13"/>
        <v>12.991561579423973</v>
      </c>
      <c r="H214" s="417">
        <f>G214-'C) Prél. conj.'!I214</f>
        <v>8.9906666798460044</v>
      </c>
      <c r="I214" s="421">
        <f t="shared" si="14"/>
        <v>0</v>
      </c>
      <c r="J214" s="55">
        <f t="shared" si="15"/>
        <v>0</v>
      </c>
      <c r="K214" s="417">
        <f t="shared" si="16"/>
        <v>8.9906666798460044</v>
      </c>
    </row>
    <row r="215" spans="1:11" x14ac:dyDescent="0.25">
      <c r="A215" s="49">
        <f>'A) Base RI'!A217</f>
        <v>5747</v>
      </c>
      <c r="B215" s="291" t="str">
        <f>'A) Base RI'!B217</f>
        <v>Bofflens</v>
      </c>
      <c r="C215" s="95">
        <f>'B) D RI'!U217</f>
        <v>5918.808029883834</v>
      </c>
      <c r="D215" s="416">
        <f>'E) Part. coh. soc.'!G221/C215</f>
        <v>16.530102746253021</v>
      </c>
      <c r="E215" s="136">
        <f>'H) Péréquation directe'!I226/C215</f>
        <v>5.9862330884834538</v>
      </c>
      <c r="F215" s="110">
        <f>+'I) Dépenses thématiques'!O215/'J) Plafonnement effort'!C215</f>
        <v>-38.256216844679201</v>
      </c>
      <c r="G215" s="136">
        <f t="shared" si="13"/>
        <v>-15.739881009942728</v>
      </c>
      <c r="H215" s="417">
        <f>G215-'C) Prél. conj.'!I215</f>
        <v>-16.937035059241918</v>
      </c>
      <c r="I215" s="421">
        <f t="shared" si="14"/>
        <v>0</v>
      </c>
      <c r="J215" s="55">
        <f t="shared" si="15"/>
        <v>0</v>
      </c>
      <c r="K215" s="417">
        <f t="shared" si="16"/>
        <v>-16.937035059241918</v>
      </c>
    </row>
    <row r="216" spans="1:11" x14ac:dyDescent="0.25">
      <c r="A216" s="49">
        <f>'A) Base RI'!A218</f>
        <v>5748</v>
      </c>
      <c r="B216" s="291" t="str">
        <f>'A) Base RI'!B218</f>
        <v>Bretonnières</v>
      </c>
      <c r="C216" s="95">
        <f>'B) D RI'!U218</f>
        <v>7309.8392085479882</v>
      </c>
      <c r="D216" s="416">
        <f>'E) Part. coh. soc.'!G222/C216</f>
        <v>17.55935676636371</v>
      </c>
      <c r="E216" s="136">
        <f>'H) Péréquation directe'!I227/C216</f>
        <v>0.8451323551801263</v>
      </c>
      <c r="F216" s="110">
        <f>+'I) Dépenses thématiques'!O216/'J) Plafonnement effort'!C216</f>
        <v>-6.9522978335239403</v>
      </c>
      <c r="G216" s="136">
        <f t="shared" si="13"/>
        <v>11.452191288019897</v>
      </c>
      <c r="H216" s="417">
        <f>G216-'C) Prél. conj.'!I216</f>
        <v>9.2257832186100135</v>
      </c>
      <c r="I216" s="421">
        <f t="shared" si="14"/>
        <v>0</v>
      </c>
      <c r="J216" s="55">
        <f t="shared" si="15"/>
        <v>0</v>
      </c>
      <c r="K216" s="417">
        <f t="shared" si="16"/>
        <v>9.2257832186100135</v>
      </c>
    </row>
    <row r="217" spans="1:11" x14ac:dyDescent="0.25">
      <c r="A217" s="49">
        <f>'A) Base RI'!A219</f>
        <v>5749</v>
      </c>
      <c r="B217" s="291" t="str">
        <f>'A) Base RI'!B219</f>
        <v>Chavornay</v>
      </c>
      <c r="C217" s="95">
        <f>'B) D RI'!U219</f>
        <v>132437.33386463847</v>
      </c>
      <c r="D217" s="416">
        <f>'E) Part. coh. soc.'!G223/C217</f>
        <v>19.970635760540929</v>
      </c>
      <c r="E217" s="136">
        <f>'H) Péréquation directe'!I228/C217</f>
        <v>-10.853859139648696</v>
      </c>
      <c r="F217" s="110">
        <f>+'I) Dépenses thématiques'!O217/'J) Plafonnement effort'!C217</f>
        <v>-4.533895584512635</v>
      </c>
      <c r="G217" s="136">
        <f t="shared" si="13"/>
        <v>4.5828810363795984</v>
      </c>
      <c r="H217" s="417">
        <f>G217-'C) Prél. conj.'!I217</f>
        <v>-5.4806027207504826E-2</v>
      </c>
      <c r="I217" s="421">
        <f t="shared" si="14"/>
        <v>0</v>
      </c>
      <c r="J217" s="55">
        <f t="shared" si="15"/>
        <v>0</v>
      </c>
      <c r="K217" s="417">
        <f t="shared" si="16"/>
        <v>-5.4806027207504826E-2</v>
      </c>
    </row>
    <row r="218" spans="1:11" x14ac:dyDescent="0.25">
      <c r="A218" s="49">
        <f>'A) Base RI'!A220</f>
        <v>5750</v>
      </c>
      <c r="B218" s="291" t="str">
        <f>'A) Base RI'!B220</f>
        <v>Les Clées</v>
      </c>
      <c r="C218" s="95">
        <f>'B) D RI'!U220</f>
        <v>5045.6080220470376</v>
      </c>
      <c r="D218" s="416">
        <f>'E) Part. coh. soc.'!G224/C218</f>
        <v>16.073004203383174</v>
      </c>
      <c r="E218" s="136">
        <f>'H) Péréquation directe'!I229/C218</f>
        <v>-2.3083479787873458</v>
      </c>
      <c r="F218" s="110">
        <f>+'I) Dépenses thématiques'!O218/'J) Plafonnement effort'!C218</f>
        <v>-11.114704792168821</v>
      </c>
      <c r="G218" s="136">
        <f t="shared" si="13"/>
        <v>2.6499514324270077</v>
      </c>
      <c r="H218" s="417">
        <f>G218-'C) Prél. conj.'!I218</f>
        <v>1.90989592599766</v>
      </c>
      <c r="I218" s="421">
        <f t="shared" si="14"/>
        <v>0</v>
      </c>
      <c r="J218" s="55">
        <f t="shared" si="15"/>
        <v>0</v>
      </c>
      <c r="K218" s="417">
        <f t="shared" si="16"/>
        <v>1.90989592599766</v>
      </c>
    </row>
    <row r="219" spans="1:11" x14ac:dyDescent="0.25">
      <c r="A219" s="49">
        <f>'A) Base RI'!A221</f>
        <v>5752</v>
      </c>
      <c r="B219" s="291" t="str">
        <f>'A) Base RI'!B221</f>
        <v>Croy</v>
      </c>
      <c r="C219" s="95">
        <f>'B) D RI'!U221</f>
        <v>9708.3693774468666</v>
      </c>
      <c r="D219" s="416">
        <f>'E) Part. coh. soc.'!G225/C219</f>
        <v>17.876124490960652</v>
      </c>
      <c r="E219" s="136">
        <f>'H) Péréquation directe'!I230/C219</f>
        <v>-5.2307624526627814</v>
      </c>
      <c r="F219" s="110">
        <f>+'I) Dépenses thématiques'!O219/'J) Plafonnement effort'!C219</f>
        <v>-8.538610705672129</v>
      </c>
      <c r="G219" s="136">
        <f t="shared" si="13"/>
        <v>4.106751332625743</v>
      </c>
      <c r="H219" s="417">
        <f>G219-'C) Prél. conj.'!I219</f>
        <v>1.5635755386189159</v>
      </c>
      <c r="I219" s="421">
        <f t="shared" si="14"/>
        <v>0</v>
      </c>
      <c r="J219" s="55">
        <f t="shared" si="15"/>
        <v>0</v>
      </c>
      <c r="K219" s="417">
        <f t="shared" si="16"/>
        <v>1.5635755386189159</v>
      </c>
    </row>
    <row r="220" spans="1:11" x14ac:dyDescent="0.25">
      <c r="A220" s="49">
        <f>'A) Base RI'!A222</f>
        <v>5754</v>
      </c>
      <c r="B220" s="291" t="str">
        <f>'A) Base RI'!B222</f>
        <v>Juriens</v>
      </c>
      <c r="C220" s="95">
        <f>'B) D RI'!U222</f>
        <v>9236.0554663405946</v>
      </c>
      <c r="D220" s="416">
        <f>'E) Part. coh. soc.'!G226/C220</f>
        <v>15.648583440662771</v>
      </c>
      <c r="E220" s="136">
        <f>'H) Péréquation directe'!I231/C220</f>
        <v>-0.42604558314658242</v>
      </c>
      <c r="F220" s="110">
        <f>+'I) Dépenses thématiques'!O220/'J) Plafonnement effort'!C220</f>
        <v>-3.5643349039007761</v>
      </c>
      <c r="G220" s="136">
        <f t="shared" si="13"/>
        <v>11.658202953615412</v>
      </c>
      <c r="H220" s="417">
        <f>G220-'C) Prél. conj.'!I220</f>
        <v>11.342568209906469</v>
      </c>
      <c r="I220" s="421">
        <f t="shared" si="14"/>
        <v>0</v>
      </c>
      <c r="J220" s="55">
        <f t="shared" si="15"/>
        <v>0</v>
      </c>
      <c r="K220" s="417">
        <f t="shared" si="16"/>
        <v>11.342568209906469</v>
      </c>
    </row>
    <row r="221" spans="1:11" x14ac:dyDescent="0.25">
      <c r="A221" s="49">
        <f>'A) Base RI'!A223</f>
        <v>5755</v>
      </c>
      <c r="B221" s="291" t="str">
        <f>'A) Base RI'!B223</f>
        <v>Lignerolle</v>
      </c>
      <c r="C221" s="95">
        <f>'B) D RI'!U223</f>
        <v>9814.7983020645443</v>
      </c>
      <c r="D221" s="416">
        <f>'E) Part. coh. soc.'!G227/C221</f>
        <v>21.143420623616247</v>
      </c>
      <c r="E221" s="136">
        <f>'H) Péréquation directe'!I232/C221</f>
        <v>-12.431048616678037</v>
      </c>
      <c r="F221" s="110">
        <f>+'I) Dépenses thématiques'!O221/'J) Plafonnement effort'!C221</f>
        <v>-13.358222356504804</v>
      </c>
      <c r="G221" s="136">
        <f t="shared" si="13"/>
        <v>-4.6458503495665937</v>
      </c>
      <c r="H221" s="417">
        <f>G221-'C) Prél. conj.'!I221</f>
        <v>-10.456322276229011</v>
      </c>
      <c r="I221" s="421">
        <f t="shared" si="14"/>
        <v>0</v>
      </c>
      <c r="J221" s="55">
        <f t="shared" si="15"/>
        <v>0</v>
      </c>
      <c r="K221" s="417">
        <f t="shared" si="16"/>
        <v>-10.456322276229011</v>
      </c>
    </row>
    <row r="222" spans="1:11" x14ac:dyDescent="0.25">
      <c r="A222" s="49">
        <f>'A) Base RI'!A224</f>
        <v>5756</v>
      </c>
      <c r="B222" s="291" t="str">
        <f>'A) Base RI'!B224</f>
        <v>Montcherand</v>
      </c>
      <c r="C222" s="95">
        <f>'B) D RI'!U224</f>
        <v>16245.150277777775</v>
      </c>
      <c r="D222" s="416">
        <f>'E) Part. coh. soc.'!G228/C222</f>
        <v>17.080856811958611</v>
      </c>
      <c r="E222" s="136">
        <f>'H) Péréquation directe'!I233/C222</f>
        <v>6.9424486923687914</v>
      </c>
      <c r="F222" s="110">
        <f>+'I) Dépenses thématiques'!O222/'J) Plafonnement effort'!C222</f>
        <v>-3.7779870982696995</v>
      </c>
      <c r="G222" s="136">
        <f t="shared" si="13"/>
        <v>20.245318406057706</v>
      </c>
      <c r="H222" s="417">
        <f>G222-'C) Prél. conj.'!I222</f>
        <v>18.497410291052923</v>
      </c>
      <c r="I222" s="421">
        <f t="shared" si="14"/>
        <v>0</v>
      </c>
      <c r="J222" s="55">
        <f t="shared" si="15"/>
        <v>0</v>
      </c>
      <c r="K222" s="417">
        <f t="shared" si="16"/>
        <v>18.497410291052923</v>
      </c>
    </row>
    <row r="223" spans="1:11" x14ac:dyDescent="0.25">
      <c r="A223" s="49">
        <f>'A) Base RI'!A225</f>
        <v>5757</v>
      </c>
      <c r="B223" s="291" t="str">
        <f>'A) Base RI'!B225</f>
        <v>Orbe</v>
      </c>
      <c r="C223" s="95">
        <f>'B) D RI'!U225</f>
        <v>201366.36924156587</v>
      </c>
      <c r="D223" s="416">
        <f>'E) Part. coh. soc.'!G229/C223</f>
        <v>21.401743201233668</v>
      </c>
      <c r="E223" s="136">
        <f>'H) Péréquation directe'!I234/C223</f>
        <v>-9.7240890437999923</v>
      </c>
      <c r="F223" s="110">
        <f>+'I) Dépenses thématiques'!O223/'J) Plafonnement effort'!C223</f>
        <v>-7.559005381425294</v>
      </c>
      <c r="G223" s="136">
        <f t="shared" si="13"/>
        <v>4.1186487760083814</v>
      </c>
      <c r="H223" s="417">
        <f>G223-'C) Prél. conj.'!I223</f>
        <v>-1.9501457282714583</v>
      </c>
      <c r="I223" s="421">
        <f t="shared" si="14"/>
        <v>0</v>
      </c>
      <c r="J223" s="55">
        <f t="shared" si="15"/>
        <v>0</v>
      </c>
      <c r="K223" s="417">
        <f t="shared" si="16"/>
        <v>-1.9501457282714583</v>
      </c>
    </row>
    <row r="224" spans="1:11" x14ac:dyDescent="0.25">
      <c r="A224" s="49">
        <f>'A) Base RI'!A226</f>
        <v>5758</v>
      </c>
      <c r="B224" s="291" t="str">
        <f>'A) Base RI'!B226</f>
        <v>La Praz</v>
      </c>
      <c r="C224" s="95">
        <f>'B) D RI'!U226</f>
        <v>4518.3622106026551</v>
      </c>
      <c r="D224" s="416">
        <f>'E) Part. coh. soc.'!G230/C224</f>
        <v>21.947170533767107</v>
      </c>
      <c r="E224" s="136">
        <f>'H) Péréquation directe'!I235/C224</f>
        <v>-3.4304312159713324</v>
      </c>
      <c r="F224" s="110">
        <f>+'I) Dépenses thématiques'!O224/'J) Plafonnement effort'!C224</f>
        <v>-6.7855353685090742</v>
      </c>
      <c r="G224" s="136">
        <f t="shared" si="13"/>
        <v>11.731203949286702</v>
      </c>
      <c r="H224" s="417">
        <f>G224-'C) Prél. conj.'!I224</f>
        <v>5.1169821124734227</v>
      </c>
      <c r="I224" s="421">
        <f t="shared" si="14"/>
        <v>0</v>
      </c>
      <c r="J224" s="55">
        <f t="shared" si="15"/>
        <v>0</v>
      </c>
      <c r="K224" s="417">
        <f t="shared" si="16"/>
        <v>5.1169821124734227</v>
      </c>
    </row>
    <row r="225" spans="1:11" x14ac:dyDescent="0.25">
      <c r="A225" s="49">
        <f>'A) Base RI'!A227</f>
        <v>5759</v>
      </c>
      <c r="B225" s="291" t="str">
        <f>'A) Base RI'!B227</f>
        <v>Premier</v>
      </c>
      <c r="C225" s="95">
        <f>'B) D RI'!U227</f>
        <v>5274.1329854177848</v>
      </c>
      <c r="D225" s="416">
        <f>'E) Part. coh. soc.'!G231/C225</f>
        <v>17.702660464661552</v>
      </c>
      <c r="E225" s="136">
        <f>'H) Péréquation directe'!I236/C225</f>
        <v>-8.144912605062629</v>
      </c>
      <c r="F225" s="110">
        <f>+'I) Dépenses thématiques'!O225/'J) Plafonnement effort'!C225</f>
        <v>-9.486169686177913</v>
      </c>
      <c r="G225" s="136">
        <f t="shared" si="13"/>
        <v>7.1578173421009694E-2</v>
      </c>
      <c r="H225" s="417">
        <f>G225-'C) Prél. conj.'!I225</f>
        <v>-2.2981335942867154</v>
      </c>
      <c r="I225" s="421">
        <f t="shared" si="14"/>
        <v>0</v>
      </c>
      <c r="J225" s="55">
        <f t="shared" si="15"/>
        <v>0</v>
      </c>
      <c r="K225" s="417">
        <f t="shared" si="16"/>
        <v>-2.2981335942867154</v>
      </c>
    </row>
    <row r="226" spans="1:11" x14ac:dyDescent="0.25">
      <c r="A226" s="49">
        <f>'A) Base RI'!A228</f>
        <v>5760</v>
      </c>
      <c r="B226" s="291" t="str">
        <f>'A) Base RI'!B228</f>
        <v>Rances</v>
      </c>
      <c r="C226" s="95">
        <f>'B) D RI'!U228</f>
        <v>12374.249316544765</v>
      </c>
      <c r="D226" s="416">
        <f>'E) Part. coh. soc.'!G232/C226</f>
        <v>16.65104966475899</v>
      </c>
      <c r="E226" s="136">
        <f>'H) Péréquation directe'!I237/C226</f>
        <v>-6.5526484192159931</v>
      </c>
      <c r="F226" s="110">
        <f>+'I) Dépenses thématiques'!O226/'J) Plafonnement effort'!C226</f>
        <v>-9.2909874717066341</v>
      </c>
      <c r="G226" s="136">
        <f t="shared" si="13"/>
        <v>0.80741377383636248</v>
      </c>
      <c r="H226" s="417">
        <f>G226-'C) Prél. conj.'!I226</f>
        <v>-0.51068719396879803</v>
      </c>
      <c r="I226" s="421">
        <f t="shared" si="14"/>
        <v>0</v>
      </c>
      <c r="J226" s="55">
        <f t="shared" si="15"/>
        <v>0</v>
      </c>
      <c r="K226" s="417">
        <f t="shared" si="16"/>
        <v>-0.51068719396879803</v>
      </c>
    </row>
    <row r="227" spans="1:11" x14ac:dyDescent="0.25">
      <c r="A227" s="49">
        <f>'A) Base RI'!A229</f>
        <v>5761</v>
      </c>
      <c r="B227" s="291" t="str">
        <f>'A) Base RI'!B229</f>
        <v>Romainmôtier-Envy</v>
      </c>
      <c r="C227" s="95">
        <f>'B) D RI'!U229</f>
        <v>12292.452150942587</v>
      </c>
      <c r="D227" s="416">
        <f>'E) Part. coh. soc.'!G233/C227</f>
        <v>21.176899449651415</v>
      </c>
      <c r="E227" s="136">
        <f>'H) Péréquation directe'!I238/C227</f>
        <v>-11.777486823985052</v>
      </c>
      <c r="F227" s="110">
        <f>+'I) Dépenses thématiques'!O227/'J) Plafonnement effort'!C227</f>
        <v>-10.662069238428852</v>
      </c>
      <c r="G227" s="136">
        <f t="shared" si="13"/>
        <v>-1.2626566127624894</v>
      </c>
      <c r="H227" s="417">
        <f>G227-'C) Prél. conj.'!I227</f>
        <v>-7.1066073654600759</v>
      </c>
      <c r="I227" s="421">
        <f t="shared" si="14"/>
        <v>0</v>
      </c>
      <c r="J227" s="55">
        <f t="shared" si="15"/>
        <v>0</v>
      </c>
      <c r="K227" s="417">
        <f t="shared" si="16"/>
        <v>-7.1066073654600759</v>
      </c>
    </row>
    <row r="228" spans="1:11" x14ac:dyDescent="0.25">
      <c r="A228" s="49">
        <f>'A) Base RI'!A230</f>
        <v>5762</v>
      </c>
      <c r="B228" s="291" t="str">
        <f>'A) Base RI'!B230</f>
        <v>Sergey</v>
      </c>
      <c r="C228" s="95">
        <f>'B) D RI'!U230</f>
        <v>3995.7603289795202</v>
      </c>
      <c r="D228" s="416">
        <f>'E) Part. coh. soc.'!G234/C228</f>
        <v>16.234685714028675</v>
      </c>
      <c r="E228" s="136">
        <f>'H) Péréquation directe'!I239/C228</f>
        <v>-0.98759188356873351</v>
      </c>
      <c r="F228" s="110">
        <f>+'I) Dépenses thématiques'!O228/'J) Plafonnement effort'!C228</f>
        <v>-0.37001793118911275</v>
      </c>
      <c r="G228" s="136">
        <f t="shared" si="13"/>
        <v>14.87707589927083</v>
      </c>
      <c r="H228" s="417">
        <f>G228-'C) Prél. conj.'!I228</f>
        <v>13.975338882195983</v>
      </c>
      <c r="I228" s="421">
        <f t="shared" si="14"/>
        <v>0</v>
      </c>
      <c r="J228" s="55">
        <f t="shared" si="15"/>
        <v>0</v>
      </c>
      <c r="K228" s="417">
        <f t="shared" si="16"/>
        <v>13.975338882195983</v>
      </c>
    </row>
    <row r="229" spans="1:11" x14ac:dyDescent="0.25">
      <c r="A229" s="49">
        <f>'A) Base RI'!A231</f>
        <v>5763</v>
      </c>
      <c r="B229" s="291" t="str">
        <f>'A) Base RI'!B231</f>
        <v>Valeyres-sous-Rances</v>
      </c>
      <c r="C229" s="95">
        <f>'B) D RI'!U231</f>
        <v>21943.401480636676</v>
      </c>
      <c r="D229" s="416">
        <f>'E) Part. coh. soc.'!G235/C229</f>
        <v>16.66192953092952</v>
      </c>
      <c r="E229" s="136">
        <f>'H) Péréquation directe'!I240/C229</f>
        <v>10.627067400384197</v>
      </c>
      <c r="F229" s="110">
        <f>+'I) Dépenses thématiques'!O229/'J) Plafonnement effort'!C229</f>
        <v>-4.3855703108904152</v>
      </c>
      <c r="G229" s="136">
        <f t="shared" si="13"/>
        <v>22.903426620423303</v>
      </c>
      <c r="H229" s="417">
        <f>G229-'C) Prél. conj.'!I229</f>
        <v>21.574445786447608</v>
      </c>
      <c r="I229" s="421">
        <f t="shared" si="14"/>
        <v>0</v>
      </c>
      <c r="J229" s="55">
        <f t="shared" si="15"/>
        <v>0</v>
      </c>
      <c r="K229" s="417">
        <f t="shared" si="16"/>
        <v>21.574445786447608</v>
      </c>
    </row>
    <row r="230" spans="1:11" x14ac:dyDescent="0.25">
      <c r="A230" s="49">
        <f>'A) Base RI'!A232</f>
        <v>5764</v>
      </c>
      <c r="B230" s="291" t="str">
        <f>'A) Base RI'!B232</f>
        <v>Vallorbe</v>
      </c>
      <c r="C230" s="95">
        <f>'B) D RI'!U232</f>
        <v>87589.078285934462</v>
      </c>
      <c r="D230" s="416">
        <f>'E) Part. coh. soc.'!G236/C230</f>
        <v>26.695240942467919</v>
      </c>
      <c r="E230" s="136">
        <f>'H) Péréquation directe'!I241/C230</f>
        <v>-16.314597124730447</v>
      </c>
      <c r="F230" s="110">
        <f>+'I) Dépenses thématiques'!O230/'J) Plafonnement effort'!C230</f>
        <v>-24.719308412185285</v>
      </c>
      <c r="G230" s="136">
        <f t="shared" si="13"/>
        <v>-14.338664594447813</v>
      </c>
      <c r="H230" s="417">
        <f>G230-'C) Prél. conj.'!I230</f>
        <v>-25.700956839961908</v>
      </c>
      <c r="I230" s="421">
        <f t="shared" si="14"/>
        <v>0</v>
      </c>
      <c r="J230" s="55">
        <f t="shared" si="15"/>
        <v>0</v>
      </c>
      <c r="K230" s="417">
        <f t="shared" si="16"/>
        <v>-25.700956839961908</v>
      </c>
    </row>
    <row r="231" spans="1:11" x14ac:dyDescent="0.25">
      <c r="A231" s="49">
        <f>'A) Base RI'!A233</f>
        <v>5765</v>
      </c>
      <c r="B231" s="291" t="str">
        <f>'A) Base RI'!B233</f>
        <v>Vaulion</v>
      </c>
      <c r="C231" s="95">
        <f>'B) D RI'!U233</f>
        <v>11954.157309155948</v>
      </c>
      <c r="D231" s="416">
        <f>'E) Part. coh. soc.'!G237/C231</f>
        <v>19.522627961224469</v>
      </c>
      <c r="E231" s="136">
        <f>'H) Péréquation directe'!I242/C231</f>
        <v>-9.1023686291196562</v>
      </c>
      <c r="F231" s="110">
        <f>+'I) Dépenses thématiques'!O231/'J) Plafonnement effort'!C231</f>
        <v>-10.69627476703776</v>
      </c>
      <c r="G231" s="136">
        <f t="shared" si="13"/>
        <v>-0.27601543493294756</v>
      </c>
      <c r="H231" s="417">
        <f>G231-'C) Prél. conj.'!I231</f>
        <v>-4.4656946992035884</v>
      </c>
      <c r="I231" s="421">
        <f t="shared" si="14"/>
        <v>0</v>
      </c>
      <c r="J231" s="55">
        <f t="shared" si="15"/>
        <v>0</v>
      </c>
      <c r="K231" s="417">
        <f t="shared" si="16"/>
        <v>-4.4656946992035884</v>
      </c>
    </row>
    <row r="232" spans="1:11" x14ac:dyDescent="0.25">
      <c r="A232" s="49">
        <f>'A) Base RI'!A234</f>
        <v>5766</v>
      </c>
      <c r="B232" s="291" t="str">
        <f>'A) Base RI'!B234</f>
        <v>Vuiteboeuf</v>
      </c>
      <c r="C232" s="95">
        <f>'B) D RI'!U234</f>
        <v>13945.258329251963</v>
      </c>
      <c r="D232" s="416">
        <f>'E) Part. coh. soc.'!G238/C232</f>
        <v>18.742729561339626</v>
      </c>
      <c r="E232" s="136">
        <f>'H) Péréquation directe'!I243/C232</f>
        <v>-6.6095373725243025</v>
      </c>
      <c r="F232" s="110">
        <f>+'I) Dépenses thématiques'!O232/'J) Plafonnement effort'!C232</f>
        <v>-6.6977928322471429</v>
      </c>
      <c r="G232" s="136">
        <f t="shared" si="13"/>
        <v>5.4353993565681806</v>
      </c>
      <c r="H232" s="417">
        <f>G232-'C) Prél. conj.'!I232</f>
        <v>2.0256184921823834</v>
      </c>
      <c r="I232" s="421">
        <f t="shared" si="14"/>
        <v>0</v>
      </c>
      <c r="J232" s="55">
        <f t="shared" si="15"/>
        <v>0</v>
      </c>
      <c r="K232" s="417">
        <f t="shared" si="16"/>
        <v>2.0256184921823834</v>
      </c>
    </row>
    <row r="233" spans="1:11" x14ac:dyDescent="0.25">
      <c r="A233" s="49">
        <f>'A) Base RI'!A235</f>
        <v>5785</v>
      </c>
      <c r="B233" s="291" t="str">
        <f>'A) Base RI'!B235</f>
        <v>Corcelles-le-Jorat</v>
      </c>
      <c r="C233" s="95">
        <f>'B) D RI'!U235</f>
        <v>16950.059611084645</v>
      </c>
      <c r="D233" s="416">
        <f>'E) Part. coh. soc.'!G239/C233</f>
        <v>18.017588222955361</v>
      </c>
      <c r="E233" s="136">
        <f>'H) Péréquation directe'!I244/C233</f>
        <v>10.566531278100882</v>
      </c>
      <c r="F233" s="110">
        <f>+'I) Dépenses thématiques'!O233/'J) Plafonnement effort'!C233</f>
        <v>-4.3311681331208707</v>
      </c>
      <c r="G233" s="136">
        <f t="shared" si="13"/>
        <v>24.252951367935374</v>
      </c>
      <c r="H233" s="417">
        <f>G233-'C) Prél. conj.'!I233</f>
        <v>21.568311841933841</v>
      </c>
      <c r="I233" s="421">
        <f t="shared" si="14"/>
        <v>0</v>
      </c>
      <c r="J233" s="55">
        <f t="shared" si="15"/>
        <v>0</v>
      </c>
      <c r="K233" s="417">
        <f t="shared" si="16"/>
        <v>21.568311841933841</v>
      </c>
    </row>
    <row r="234" spans="1:11" x14ac:dyDescent="0.25">
      <c r="A234" s="49">
        <f>'A) Base RI'!A236</f>
        <v>5788</v>
      </c>
      <c r="B234" s="291" t="str">
        <f>'A) Base RI'!B236</f>
        <v>Essertes</v>
      </c>
      <c r="C234" s="95">
        <f>'B) D RI'!U236</f>
        <v>12357.652912226366</v>
      </c>
      <c r="D234" s="416">
        <f>'E) Part. coh. soc.'!G240/C234</f>
        <v>19.351867204598854</v>
      </c>
      <c r="E234" s="136">
        <f>'H) Péréquation directe'!I245/C234</f>
        <v>7.3010456924765528</v>
      </c>
      <c r="F234" s="110">
        <f>+'I) Dépenses thématiques'!O234/'J) Plafonnement effort'!C234</f>
        <v>-2.5024010319495558</v>
      </c>
      <c r="G234" s="136">
        <f t="shared" si="13"/>
        <v>24.15051186512585</v>
      </c>
      <c r="H234" s="417">
        <f>G234-'C) Prél. conj.'!I234</f>
        <v>20.131593357480824</v>
      </c>
      <c r="I234" s="421">
        <f t="shared" si="14"/>
        <v>0</v>
      </c>
      <c r="J234" s="55">
        <f t="shared" si="15"/>
        <v>0</v>
      </c>
      <c r="K234" s="417">
        <f t="shared" si="16"/>
        <v>20.131593357480824</v>
      </c>
    </row>
    <row r="235" spans="1:11" x14ac:dyDescent="0.25">
      <c r="A235" s="49">
        <f>'A) Base RI'!A237</f>
        <v>5790</v>
      </c>
      <c r="B235" s="291" t="str">
        <f>'A) Base RI'!B237</f>
        <v>Maracon</v>
      </c>
      <c r="C235" s="95">
        <f>'B) D RI'!U237</f>
        <v>14432.201593410035</v>
      </c>
      <c r="D235" s="416">
        <f>'E) Part. coh. soc.'!G241/C235</f>
        <v>23.767959752757431</v>
      </c>
      <c r="E235" s="136">
        <f>'H) Péréquation directe'!I246/C235</f>
        <v>-1.3357901379815393</v>
      </c>
      <c r="F235" s="110">
        <f>+'I) Dépenses thématiques'!O235/'J) Plafonnement effort'!C235</f>
        <v>-6.498587759744451</v>
      </c>
      <c r="G235" s="136">
        <f t="shared" si="13"/>
        <v>15.93358185503144</v>
      </c>
      <c r="H235" s="417">
        <f>G235-'C) Prél. conj.'!I235</f>
        <v>7.4985707992278385</v>
      </c>
      <c r="I235" s="421">
        <f t="shared" si="14"/>
        <v>0</v>
      </c>
      <c r="J235" s="55">
        <f t="shared" si="15"/>
        <v>0</v>
      </c>
      <c r="K235" s="417">
        <f t="shared" si="16"/>
        <v>7.4985707992278385</v>
      </c>
    </row>
    <row r="236" spans="1:11" x14ac:dyDescent="0.25">
      <c r="A236" s="49">
        <f>'A) Base RI'!A238</f>
        <v>5792</v>
      </c>
      <c r="B236" s="291" t="str">
        <f>'A) Base RI'!B238</f>
        <v>Montpreveyres</v>
      </c>
      <c r="C236" s="95">
        <f>'B) D RI'!U238</f>
        <v>20198.938593400278</v>
      </c>
      <c r="D236" s="416">
        <f>'E) Part. coh. soc.'!G242/C236</f>
        <v>18.331194110689953</v>
      </c>
      <c r="E236" s="136">
        <f>'H) Péréquation directe'!I247/C236</f>
        <v>3.9457585632344574</v>
      </c>
      <c r="F236" s="110">
        <f>+'I) Dépenses thématiques'!O236/'J) Plafonnement effort'!C236</f>
        <v>-6.0950917240527192</v>
      </c>
      <c r="G236" s="136">
        <f t="shared" si="13"/>
        <v>16.181860949871691</v>
      </c>
      <c r="H236" s="417">
        <f>G236-'C) Prél. conj.'!I236</f>
        <v>13.183615536135566</v>
      </c>
      <c r="I236" s="421">
        <f t="shared" si="14"/>
        <v>0</v>
      </c>
      <c r="J236" s="55">
        <f t="shared" si="15"/>
        <v>0</v>
      </c>
      <c r="K236" s="417">
        <f t="shared" si="16"/>
        <v>13.183615536135566</v>
      </c>
    </row>
    <row r="237" spans="1:11" x14ac:dyDescent="0.25">
      <c r="A237" s="49">
        <f>'A) Base RI'!A239</f>
        <v>5798</v>
      </c>
      <c r="B237" s="291" t="str">
        <f>'A) Base RI'!B239</f>
        <v>Ropraz</v>
      </c>
      <c r="C237" s="95">
        <f>'B) D RI'!U239</f>
        <v>14359.812261053485</v>
      </c>
      <c r="D237" s="416">
        <f>'E) Part. coh. soc.'!G243/C237</f>
        <v>15.913321883489386</v>
      </c>
      <c r="E237" s="136">
        <f>'H) Péréquation directe'!I248/C237</f>
        <v>2.0216108984107377</v>
      </c>
      <c r="F237" s="110">
        <f>+'I) Dépenses thématiques'!O237/'J) Plafonnement effort'!C237</f>
        <v>-3.7367331085925399</v>
      </c>
      <c r="G237" s="136">
        <f t="shared" si="13"/>
        <v>14.198199673307583</v>
      </c>
      <c r="H237" s="417">
        <f>G237-'C) Prél. conj.'!I237</f>
        <v>13.617826486772024</v>
      </c>
      <c r="I237" s="421">
        <f t="shared" si="14"/>
        <v>0</v>
      </c>
      <c r="J237" s="55">
        <f t="shared" si="15"/>
        <v>0</v>
      </c>
      <c r="K237" s="417">
        <f t="shared" si="16"/>
        <v>13.617826486772024</v>
      </c>
    </row>
    <row r="238" spans="1:11" x14ac:dyDescent="0.25">
      <c r="A238" s="49">
        <f>'A) Base RI'!A240</f>
        <v>5799</v>
      </c>
      <c r="B238" s="291" t="str">
        <f>'A) Base RI'!B240</f>
        <v>Servion</v>
      </c>
      <c r="C238" s="95">
        <f>'B) D RI'!U240</f>
        <v>70991.881594202918</v>
      </c>
      <c r="D238" s="416">
        <f>'E) Part. coh. soc.'!G244/C238</f>
        <v>18.465066130761315</v>
      </c>
      <c r="E238" s="136">
        <f>'H) Péréquation directe'!I249/C238</f>
        <v>7.4125057546102333</v>
      </c>
      <c r="F238" s="110">
        <f>+'I) Dépenses thématiques'!O238/'J) Plafonnement effort'!C238</f>
        <v>-3.3760737233773095</v>
      </c>
      <c r="G238" s="136">
        <f t="shared" si="13"/>
        <v>22.501498161994238</v>
      </c>
      <c r="H238" s="417">
        <f>G238-'C) Prél. conj.'!I238</f>
        <v>19.369380728186748</v>
      </c>
      <c r="I238" s="421">
        <f t="shared" si="14"/>
        <v>0</v>
      </c>
      <c r="J238" s="55">
        <f t="shared" si="15"/>
        <v>0</v>
      </c>
      <c r="K238" s="417">
        <f t="shared" si="16"/>
        <v>19.369380728186748</v>
      </c>
    </row>
    <row r="239" spans="1:11" x14ac:dyDescent="0.25">
      <c r="A239" s="49">
        <f>'A) Base RI'!A241</f>
        <v>5803</v>
      </c>
      <c r="B239" s="291" t="str">
        <f>'A) Base RI'!B241</f>
        <v>Vulliens</v>
      </c>
      <c r="C239" s="95">
        <f>'B) D RI'!U241</f>
        <v>17439.644358974365</v>
      </c>
      <c r="D239" s="416">
        <f>'E) Part. coh. soc.'!G245/C239</f>
        <v>15.919038630303886</v>
      </c>
      <c r="E239" s="136">
        <f>'H) Péréquation directe'!I250/C239</f>
        <v>0.34312416765299836</v>
      </c>
      <c r="F239" s="110">
        <f>+'I) Dépenses thématiques'!O239/'J) Plafonnement effort'!C239</f>
        <v>-5.7860179127955158</v>
      </c>
      <c r="G239" s="136">
        <f t="shared" si="13"/>
        <v>10.476144885161368</v>
      </c>
      <c r="H239" s="417">
        <f>G239-'C) Prél. conj.'!I239</f>
        <v>9.8900549518113099</v>
      </c>
      <c r="I239" s="421">
        <f t="shared" si="14"/>
        <v>0</v>
      </c>
      <c r="J239" s="55">
        <f t="shared" si="15"/>
        <v>0</v>
      </c>
      <c r="K239" s="417">
        <f t="shared" si="16"/>
        <v>9.8900549518113099</v>
      </c>
    </row>
    <row r="240" spans="1:11" x14ac:dyDescent="0.25">
      <c r="A240" s="49">
        <f>'A) Base RI'!A242</f>
        <v>5804</v>
      </c>
      <c r="B240" s="291" t="str">
        <f>'A) Base RI'!B242</f>
        <v>Jorat-Menthue</v>
      </c>
      <c r="C240" s="95">
        <f>'B) D RI'!U242</f>
        <v>44226.697072071111</v>
      </c>
      <c r="D240" s="416">
        <f>'E) Part. coh. soc.'!G246/C240</f>
        <v>17.377122374510488</v>
      </c>
      <c r="E240" s="136">
        <f>'H) Péréquation directe'!I251/C240</f>
        <v>-1.2952076178917751</v>
      </c>
      <c r="F240" s="110">
        <f>+'I) Dépenses thématiques'!O240/'J) Plafonnement effort'!C240</f>
        <v>-26.074287047214192</v>
      </c>
      <c r="G240" s="136">
        <f t="shared" si="13"/>
        <v>-9.9923722905954797</v>
      </c>
      <c r="H240" s="417">
        <f>G240-'C) Prél. conj.'!I240</f>
        <v>-12.03654596815214</v>
      </c>
      <c r="I240" s="421">
        <f t="shared" si="14"/>
        <v>0</v>
      </c>
      <c r="J240" s="55">
        <f t="shared" si="15"/>
        <v>0</v>
      </c>
      <c r="K240" s="417">
        <f t="shared" si="16"/>
        <v>-12.03654596815214</v>
      </c>
    </row>
    <row r="241" spans="1:11" x14ac:dyDescent="0.25">
      <c r="A241" s="49">
        <f>'A) Base RI'!A243</f>
        <v>5805</v>
      </c>
      <c r="B241" s="291" t="str">
        <f>'A) Base RI'!B243</f>
        <v>Oron</v>
      </c>
      <c r="C241" s="95">
        <f>'B) D RI'!U243</f>
        <v>157769.23671351318</v>
      </c>
      <c r="D241" s="416">
        <f>'E) Part. coh. soc.'!G247/C241</f>
        <v>19.661317929290426</v>
      </c>
      <c r="E241" s="136">
        <f>'H) Péréquation directe'!I252/C241</f>
        <v>-6.8072778779284668</v>
      </c>
      <c r="F241" s="110">
        <f>+'I) Dépenses thématiques'!O241/'J) Plafonnement effort'!C241</f>
        <v>-4.9085785672749447</v>
      </c>
      <c r="G241" s="136">
        <f t="shared" si="13"/>
        <v>7.9454614840870148</v>
      </c>
      <c r="H241" s="417">
        <f>G241-'C) Prél. conj.'!I241</f>
        <v>3.6170922517504174</v>
      </c>
      <c r="I241" s="421">
        <f t="shared" si="14"/>
        <v>0</v>
      </c>
      <c r="J241" s="55">
        <f t="shared" si="15"/>
        <v>0</v>
      </c>
      <c r="K241" s="417">
        <f t="shared" si="16"/>
        <v>3.6170922517504174</v>
      </c>
    </row>
    <row r="242" spans="1:11" x14ac:dyDescent="0.25">
      <c r="A242" s="49">
        <f>'A) Base RI'!A244</f>
        <v>5806</v>
      </c>
      <c r="B242" s="291" t="str">
        <f>'A) Base RI'!B244</f>
        <v>Jorat-Mézières</v>
      </c>
      <c r="C242" s="95">
        <f>'B) D RI'!U244</f>
        <v>91829.883122314393</v>
      </c>
      <c r="D242" s="416">
        <f>'E) Part. coh. soc.'!G248/C242</f>
        <v>17.293602232363252</v>
      </c>
      <c r="E242" s="136">
        <f>'H) Péréquation directe'!I253/C242</f>
        <v>-6.9060267445260184E-2</v>
      </c>
      <c r="F242" s="110">
        <f>+'I) Dépenses thématiques'!O242/'J) Plafonnement effort'!C242</f>
        <v>-3.6565405796714718</v>
      </c>
      <c r="G242" s="136">
        <f t="shared" si="13"/>
        <v>13.568001385246522</v>
      </c>
      <c r="H242" s="417">
        <f>G242-'C) Prél. conj.'!I242</f>
        <v>11.607347849837097</v>
      </c>
      <c r="I242" s="421">
        <f t="shared" si="14"/>
        <v>0</v>
      </c>
      <c r="J242" s="55">
        <f t="shared" si="15"/>
        <v>0</v>
      </c>
      <c r="K242" s="417">
        <f t="shared" si="16"/>
        <v>11.607347849837097</v>
      </c>
    </row>
    <row r="243" spans="1:11" x14ac:dyDescent="0.25">
      <c r="A243" s="49">
        <f>'A) Base RI'!A245</f>
        <v>5812</v>
      </c>
      <c r="B243" s="291" t="str">
        <f>'A) Base RI'!B245</f>
        <v>Champtauroz</v>
      </c>
      <c r="C243" s="95">
        <f>'B) D RI'!U245</f>
        <v>3710.6575152359092</v>
      </c>
      <c r="D243" s="416">
        <f>'E) Part. coh. soc.'!G249/C243</f>
        <v>23.74493494786374</v>
      </c>
      <c r="E243" s="136">
        <f>'H) Péréquation directe'!I254/C243</f>
        <v>0.93021336861058446</v>
      </c>
      <c r="F243" s="110">
        <f>+'I) Dépenses thématiques'!O243/'J) Plafonnement effort'!C243</f>
        <v>-3.4718422516581433</v>
      </c>
      <c r="G243" s="136">
        <f t="shared" si="13"/>
        <v>21.203306064816182</v>
      </c>
      <c r="H243" s="417">
        <f>G243-'C) Prél. conj.'!I243</f>
        <v>12.791319813906272</v>
      </c>
      <c r="I243" s="421">
        <f t="shared" si="14"/>
        <v>0</v>
      </c>
      <c r="J243" s="55">
        <f t="shared" si="15"/>
        <v>0</v>
      </c>
      <c r="K243" s="417">
        <f t="shared" si="16"/>
        <v>12.791319813906272</v>
      </c>
    </row>
    <row r="244" spans="1:11" x14ac:dyDescent="0.25">
      <c r="A244" s="49">
        <f>'A) Base RI'!A246</f>
        <v>5813</v>
      </c>
      <c r="B244" s="291" t="str">
        <f>'A) Base RI'!B246</f>
        <v>Chevroux</v>
      </c>
      <c r="C244" s="95">
        <f>'B) D RI'!U246</f>
        <v>14709.945528749027</v>
      </c>
      <c r="D244" s="416">
        <f>'E) Part. coh. soc.'!G250/C244</f>
        <v>16.696288211760685</v>
      </c>
      <c r="E244" s="136">
        <f>'H) Péréquation directe'!I255/C244</f>
        <v>5.027233762666274</v>
      </c>
      <c r="F244" s="110">
        <f>+'I) Dépenses thématiques'!O244/'J) Plafonnement effort'!C244</f>
        <v>-3.3400243665106384</v>
      </c>
      <c r="G244" s="136">
        <f t="shared" si="13"/>
        <v>18.383497607916318</v>
      </c>
      <c r="H244" s="417">
        <f>G244-'C) Prél. conj.'!I244</f>
        <v>17.020158093109462</v>
      </c>
      <c r="I244" s="421">
        <f t="shared" si="14"/>
        <v>0</v>
      </c>
      <c r="J244" s="55">
        <f t="shared" si="15"/>
        <v>0</v>
      </c>
      <c r="K244" s="417">
        <f t="shared" si="16"/>
        <v>17.020158093109462</v>
      </c>
    </row>
    <row r="245" spans="1:11" x14ac:dyDescent="0.25">
      <c r="A245" s="49">
        <f>'A) Base RI'!A247</f>
        <v>5816</v>
      </c>
      <c r="B245" s="291" t="str">
        <f>'A) Base RI'!B247</f>
        <v>Corcelles-près-Payerne</v>
      </c>
      <c r="C245" s="95">
        <f>'B) D RI'!U247</f>
        <v>60414.642640490056</v>
      </c>
      <c r="D245" s="416">
        <f>'E) Part. coh. soc.'!G251/C245</f>
        <v>17.131634417014201</v>
      </c>
      <c r="E245" s="136">
        <f>'H) Péréquation directe'!I256/C245</f>
        <v>-10.104200412171531</v>
      </c>
      <c r="F245" s="110">
        <f>+'I) Dépenses thématiques'!O245/'J) Plafonnement effort'!C245</f>
        <v>-7.5665223784533415</v>
      </c>
      <c r="G245" s="136">
        <f t="shared" si="13"/>
        <v>-0.53908837361067174</v>
      </c>
      <c r="H245" s="417">
        <f>G245-'C) Prél. conj.'!I245</f>
        <v>-2.3377740936710452</v>
      </c>
      <c r="I245" s="421">
        <f t="shared" si="14"/>
        <v>0</v>
      </c>
      <c r="J245" s="55">
        <f t="shared" si="15"/>
        <v>0</v>
      </c>
      <c r="K245" s="417">
        <f t="shared" si="16"/>
        <v>-2.3377740936710452</v>
      </c>
    </row>
    <row r="246" spans="1:11" x14ac:dyDescent="0.25">
      <c r="A246" s="49">
        <f>'A) Base RI'!A248</f>
        <v>5817</v>
      </c>
      <c r="B246" s="291" t="str">
        <f>'A) Base RI'!B248</f>
        <v>Grandcour</v>
      </c>
      <c r="C246" s="95">
        <f>'B) D RI'!U248</f>
        <v>21808.970149396955</v>
      </c>
      <c r="D246" s="416">
        <f>'E) Part. coh. soc.'!G252/C246</f>
        <v>16.431892151680081</v>
      </c>
      <c r="E246" s="136">
        <f>'H) Péréquation directe'!I257/C246</f>
        <v>-9.4873896891459921</v>
      </c>
      <c r="F246" s="110">
        <f>+'I) Dépenses thématiques'!O246/'J) Plafonnement effort'!C246</f>
        <v>-6.7048891366777692</v>
      </c>
      <c r="G246" s="136">
        <f t="shared" si="13"/>
        <v>0.23961332585632</v>
      </c>
      <c r="H246" s="417">
        <f>G246-'C) Prél. conj.'!I246</f>
        <v>-0.85933012886993221</v>
      </c>
      <c r="I246" s="421">
        <f t="shared" si="14"/>
        <v>0</v>
      </c>
      <c r="J246" s="55">
        <f t="shared" si="15"/>
        <v>0</v>
      </c>
      <c r="K246" s="417">
        <f t="shared" si="16"/>
        <v>-0.85933012886993221</v>
      </c>
    </row>
    <row r="247" spans="1:11" x14ac:dyDescent="0.25">
      <c r="A247" s="49">
        <f>'A) Base RI'!A249</f>
        <v>5819</v>
      </c>
      <c r="B247" s="291" t="str">
        <f>'A) Base RI'!B249</f>
        <v>Henniez</v>
      </c>
      <c r="C247" s="95">
        <f>'B) D RI'!U249</f>
        <v>11876.79478923147</v>
      </c>
      <c r="D247" s="416">
        <f>'E) Part. coh. soc.'!G253/C247</f>
        <v>18.031047853222365</v>
      </c>
      <c r="E247" s="136">
        <f>'H) Péréquation directe'!I258/C247</f>
        <v>7.0939328386376106</v>
      </c>
      <c r="F247" s="110">
        <f>+'I) Dépenses thématiques'!O247/'J) Plafonnement effort'!C247</f>
        <v>-6.4263313666215724</v>
      </c>
      <c r="G247" s="136">
        <f t="shared" si="13"/>
        <v>18.698649325238403</v>
      </c>
      <c r="H247" s="417">
        <f>G247-'C) Prél. conj.'!I247</f>
        <v>16.000550168969866</v>
      </c>
      <c r="I247" s="421">
        <f t="shared" si="14"/>
        <v>0</v>
      </c>
      <c r="J247" s="55">
        <f t="shared" si="15"/>
        <v>0</v>
      </c>
      <c r="K247" s="417">
        <f t="shared" si="16"/>
        <v>16.000550168969866</v>
      </c>
    </row>
    <row r="248" spans="1:11" x14ac:dyDescent="0.25">
      <c r="A248" s="49">
        <f>'A) Base RI'!A250</f>
        <v>5821</v>
      </c>
      <c r="B248" s="291" t="str">
        <f>'A) Base RI'!B250</f>
        <v>Missy</v>
      </c>
      <c r="C248" s="95">
        <f>'B) D RI'!U250</f>
        <v>8348.6455555555567</v>
      </c>
      <c r="D248" s="416">
        <f>'E) Part. coh. soc.'!G254/C248</f>
        <v>15.550349230719718</v>
      </c>
      <c r="E248" s="136">
        <f>'H) Péréquation directe'!I259/C248</f>
        <v>-6.1561845363463403</v>
      </c>
      <c r="F248" s="110">
        <f>+'I) Dépenses thématiques'!O248/'J) Plafonnement effort'!C248</f>
        <v>-2.1409199316858207</v>
      </c>
      <c r="G248" s="136">
        <f t="shared" si="13"/>
        <v>7.2532447626875562</v>
      </c>
      <c r="H248" s="417">
        <f>G248-'C) Prél. conj.'!I248</f>
        <v>7.0358442289216665</v>
      </c>
      <c r="I248" s="421">
        <f t="shared" si="14"/>
        <v>0</v>
      </c>
      <c r="J248" s="55">
        <f t="shared" si="15"/>
        <v>0</v>
      </c>
      <c r="K248" s="417">
        <f t="shared" si="16"/>
        <v>7.0358442289216665</v>
      </c>
    </row>
    <row r="249" spans="1:11" x14ac:dyDescent="0.25">
      <c r="A249" s="49">
        <f>'A) Base RI'!A251</f>
        <v>5822</v>
      </c>
      <c r="B249" s="291" t="str">
        <f>'A) Base RI'!B251</f>
        <v>Payerne</v>
      </c>
      <c r="C249" s="95">
        <f>'B) D RI'!U251</f>
        <v>243639.04906619081</v>
      </c>
      <c r="D249" s="416">
        <f>'E) Part. coh. soc.'!G255/C249</f>
        <v>17.826065840236463</v>
      </c>
      <c r="E249" s="136">
        <f>'H) Péréquation directe'!I260/C249</f>
        <v>-21.563705547093619</v>
      </c>
      <c r="F249" s="110">
        <f>+'I) Dépenses thématiques'!O249/'J) Plafonnement effort'!C249</f>
        <v>-6.7758070609319319</v>
      </c>
      <c r="G249" s="136">
        <f t="shared" si="13"/>
        <v>-10.513446767789087</v>
      </c>
      <c r="H249" s="417">
        <f>G249-'C) Prél. conj.'!I249</f>
        <v>-13.006563911071725</v>
      </c>
      <c r="I249" s="421">
        <f t="shared" si="14"/>
        <v>0</v>
      </c>
      <c r="J249" s="55">
        <f t="shared" si="15"/>
        <v>0</v>
      </c>
      <c r="K249" s="417">
        <f t="shared" si="16"/>
        <v>-13.006563911071725</v>
      </c>
    </row>
    <row r="250" spans="1:11" x14ac:dyDescent="0.25">
      <c r="A250" s="49">
        <f>'A) Base RI'!A252</f>
        <v>5827</v>
      </c>
      <c r="B250" s="291" t="str">
        <f>'A) Base RI'!B252</f>
        <v>Trey</v>
      </c>
      <c r="C250" s="95">
        <f>'B) D RI'!U252</f>
        <v>6759.3804152474768</v>
      </c>
      <c r="D250" s="416">
        <f>'E) Part. coh. soc.'!G256/C250</f>
        <v>16.83402562659554</v>
      </c>
      <c r="E250" s="136">
        <f>'H) Péréquation directe'!I261/C250</f>
        <v>-9.3900396386235006</v>
      </c>
      <c r="F250" s="110">
        <f>+'I) Dépenses thématiques'!O250/'J) Plafonnement effort'!C250</f>
        <v>-7.6844560297794651</v>
      </c>
      <c r="G250" s="136">
        <f t="shared" si="13"/>
        <v>-0.24047004180742526</v>
      </c>
      <c r="H250" s="417">
        <f>G250-'C) Prél. conj.'!I250</f>
        <v>-1.7415469714491369</v>
      </c>
      <c r="I250" s="421">
        <f t="shared" si="14"/>
        <v>0</v>
      </c>
      <c r="J250" s="55">
        <f t="shared" si="15"/>
        <v>0</v>
      </c>
      <c r="K250" s="417">
        <f t="shared" si="16"/>
        <v>-1.7415469714491369</v>
      </c>
    </row>
    <row r="251" spans="1:11" x14ac:dyDescent="0.25">
      <c r="A251" s="49">
        <f>'A) Base RI'!A253</f>
        <v>5828</v>
      </c>
      <c r="B251" s="291" t="str">
        <f>'A) Base RI'!B253</f>
        <v>Treytorrens (Payerne)</v>
      </c>
      <c r="C251" s="95">
        <f>'B) D RI'!U253</f>
        <v>2423.0145634920641</v>
      </c>
      <c r="D251" s="416">
        <f>'E) Part. coh. soc.'!G257/C251</f>
        <v>21.928111285233641</v>
      </c>
      <c r="E251" s="136">
        <f>'H) Péréquation directe'!I262/C251</f>
        <v>-16.95565390356952</v>
      </c>
      <c r="F251" s="110">
        <f>+'I) Dépenses thématiques'!O251/'J) Plafonnement effort'!C251</f>
        <v>-12.760777330265654</v>
      </c>
      <c r="G251" s="136">
        <f t="shared" si="13"/>
        <v>-7.7883199486015329</v>
      </c>
      <c r="H251" s="417">
        <f>G251-'C) Prél. conj.'!I251</f>
        <v>-14.383482536881345</v>
      </c>
      <c r="I251" s="421">
        <f t="shared" si="14"/>
        <v>0</v>
      </c>
      <c r="J251" s="55">
        <f t="shared" si="15"/>
        <v>0</v>
      </c>
      <c r="K251" s="417">
        <f t="shared" si="16"/>
        <v>-14.383482536881345</v>
      </c>
    </row>
    <row r="252" spans="1:11" x14ac:dyDescent="0.25">
      <c r="A252" s="49">
        <f>'A) Base RI'!A254</f>
        <v>5830</v>
      </c>
      <c r="B252" s="291" t="str">
        <f>'A) Base RI'!B254</f>
        <v>Villarzel</v>
      </c>
      <c r="C252" s="95">
        <f>'B) D RI'!U254</f>
        <v>13663.209789449775</v>
      </c>
      <c r="D252" s="416">
        <f>'E) Part. coh. soc.'!G258/C252</f>
        <v>18.320014008028405</v>
      </c>
      <c r="E252" s="136">
        <f>'H) Péréquation directe'!I263/C252</f>
        <v>3.3662957947357284</v>
      </c>
      <c r="F252" s="110">
        <f>+'I) Dépenses thématiques'!O252/'J) Plafonnement effort'!C252</f>
        <v>-6.2266918658706603</v>
      </c>
      <c r="G252" s="136">
        <f t="shared" si="13"/>
        <v>15.459617936893473</v>
      </c>
      <c r="H252" s="417">
        <f>G252-'C) Prél. conj.'!I252</f>
        <v>12.472552625818896</v>
      </c>
      <c r="I252" s="421">
        <f t="shared" si="14"/>
        <v>0</v>
      </c>
      <c r="J252" s="55">
        <f t="shared" si="15"/>
        <v>0</v>
      </c>
      <c r="K252" s="417">
        <f t="shared" si="16"/>
        <v>12.472552625818896</v>
      </c>
    </row>
    <row r="253" spans="1:11" x14ac:dyDescent="0.25">
      <c r="A253" s="49">
        <f>'A) Base RI'!A255</f>
        <v>5831</v>
      </c>
      <c r="B253" s="291" t="str">
        <f>'A) Base RI'!B255</f>
        <v>Valbroye</v>
      </c>
      <c r="C253" s="95">
        <f>'B) D RI'!U255</f>
        <v>90456.809812842344</v>
      </c>
      <c r="D253" s="416">
        <f>'E) Part. coh. soc.'!G259/C253</f>
        <v>18.595854890646461</v>
      </c>
      <c r="E253" s="136">
        <f>'H) Péréquation directe'!I264/C253</f>
        <v>-5.3882290984305161</v>
      </c>
      <c r="F253" s="110">
        <f>+'I) Dépenses thématiques'!O253/'J) Plafonnement effort'!C253</f>
        <v>-9.5793403402210995</v>
      </c>
      <c r="G253" s="136">
        <f t="shared" si="13"/>
        <v>3.6282854519948451</v>
      </c>
      <c r="H253" s="417">
        <f>G253-'C) Prél. conj.'!I253</f>
        <v>0.36537925830221063</v>
      </c>
      <c r="I253" s="421">
        <f t="shared" si="14"/>
        <v>0</v>
      </c>
      <c r="J253" s="55">
        <f t="shared" si="15"/>
        <v>0</v>
      </c>
      <c r="K253" s="417">
        <f t="shared" si="16"/>
        <v>0.36537925830221063</v>
      </c>
    </row>
    <row r="254" spans="1:11" x14ac:dyDescent="0.25">
      <c r="A254" s="49">
        <f>'A) Base RI'!A256</f>
        <v>5841</v>
      </c>
      <c r="B254" s="291" t="str">
        <f>'A) Base RI'!B256</f>
        <v>Château-d'Oex</v>
      </c>
      <c r="C254" s="95">
        <f>'B) D RI'!U256</f>
        <v>118378.66757105118</v>
      </c>
      <c r="D254" s="416">
        <f>'E) Part. coh. soc.'!G260/C254</f>
        <v>18.220916875805024</v>
      </c>
      <c r="E254" s="136">
        <f>'H) Péréquation directe'!I265/C254</f>
        <v>1.2024539473599196</v>
      </c>
      <c r="F254" s="110">
        <f>+'I) Dépenses thématiques'!O254/'J) Plafonnement effort'!C254</f>
        <v>-17.346638488622165</v>
      </c>
      <c r="G254" s="136">
        <f t="shared" si="13"/>
        <v>2.0767323345427791</v>
      </c>
      <c r="H254" s="417">
        <f>G254-'C) Prél. conj.'!I254</f>
        <v>-0.81123584430841822</v>
      </c>
      <c r="I254" s="421">
        <f t="shared" si="14"/>
        <v>0</v>
      </c>
      <c r="J254" s="55">
        <f t="shared" si="15"/>
        <v>0</v>
      </c>
      <c r="K254" s="417">
        <f t="shared" si="16"/>
        <v>-0.81123584430841822</v>
      </c>
    </row>
    <row r="255" spans="1:11" x14ac:dyDescent="0.25">
      <c r="A255" s="49">
        <f>'A) Base RI'!A257</f>
        <v>5842</v>
      </c>
      <c r="B255" s="291" t="str">
        <f>'A) Base RI'!B257</f>
        <v>Rossinière</v>
      </c>
      <c r="C255" s="95">
        <f>'B) D RI'!U257</f>
        <v>13768.598420203307</v>
      </c>
      <c r="D255" s="416">
        <f>'E) Part. coh. soc.'!G261/C255</f>
        <v>17.068043604286252</v>
      </c>
      <c r="E255" s="136">
        <f>'H) Péréquation directe'!I266/C255</f>
        <v>-6.8746884237028496</v>
      </c>
      <c r="F255" s="110">
        <f>+'I) Dépenses thématiques'!O255/'J) Plafonnement effort'!C255</f>
        <v>-19.633448635485422</v>
      </c>
      <c r="G255" s="136">
        <f t="shared" si="13"/>
        <v>-9.4400934549020192</v>
      </c>
      <c r="H255" s="417">
        <f>G255-'C) Prél. conj.'!I255</f>
        <v>-11.175188362234442</v>
      </c>
      <c r="I255" s="421">
        <f t="shared" si="14"/>
        <v>0</v>
      </c>
      <c r="J255" s="55">
        <f t="shared" si="15"/>
        <v>0</v>
      </c>
      <c r="K255" s="417">
        <f t="shared" si="16"/>
        <v>-11.175188362234442</v>
      </c>
    </row>
    <row r="256" spans="1:11" x14ac:dyDescent="0.25">
      <c r="A256" s="49">
        <f>'A) Base RI'!A258</f>
        <v>5843</v>
      </c>
      <c r="B256" s="291" t="str">
        <f>'A) Base RI'!B258</f>
        <v>Rougemont</v>
      </c>
      <c r="C256" s="95">
        <f>'B) D RI'!U258</f>
        <v>85900.087382527112</v>
      </c>
      <c r="D256" s="416">
        <f>'E) Part. coh. soc.'!G262/C256</f>
        <v>40.105428490506505</v>
      </c>
      <c r="E256" s="136">
        <f>'H) Péréquation directe'!I267/C256</f>
        <v>18.393899513548412</v>
      </c>
      <c r="F256" s="110">
        <f>+'I) Dépenses thématiques'!O256/'J) Plafonnement effort'!C256</f>
        <v>-3.780434397453623</v>
      </c>
      <c r="G256" s="136">
        <f t="shared" si="13"/>
        <v>54.718893606601291</v>
      </c>
      <c r="H256" s="417">
        <f>G256-'C) Prél. conj.'!I256</f>
        <v>44.165897356862999</v>
      </c>
      <c r="I256" s="421">
        <f t="shared" si="14"/>
        <v>0</v>
      </c>
      <c r="J256" s="55">
        <f t="shared" si="15"/>
        <v>0</v>
      </c>
      <c r="K256" s="417">
        <f t="shared" si="16"/>
        <v>44.165897356862999</v>
      </c>
    </row>
    <row r="257" spans="1:13" x14ac:dyDescent="0.25">
      <c r="A257" s="49">
        <f>'A) Base RI'!A259</f>
        <v>5851</v>
      </c>
      <c r="B257" s="291" t="str">
        <f>'A) Base RI'!B259</f>
        <v>Allaman</v>
      </c>
      <c r="C257" s="95">
        <f>'B) D RI'!U259</f>
        <v>23250.654215447554</v>
      </c>
      <c r="D257" s="416">
        <f>'E) Part. coh. soc.'!G263/C257</f>
        <v>25.135666068119658</v>
      </c>
      <c r="E257" s="136">
        <f>'H) Péréquation directe'!I268/C257</f>
        <v>17.211864012510514</v>
      </c>
      <c r="F257" s="110">
        <f>+'I) Dépenses thématiques'!O257/'J) Plafonnement effort'!C257</f>
        <v>0</v>
      </c>
      <c r="G257" s="136">
        <f t="shared" si="13"/>
        <v>42.347530080630172</v>
      </c>
      <c r="H257" s="417">
        <f>G257-'C) Prél. conj.'!I257</f>
        <v>33.88044983524059</v>
      </c>
      <c r="I257" s="421">
        <f t="shared" si="14"/>
        <v>0</v>
      </c>
      <c r="J257" s="55">
        <f t="shared" si="15"/>
        <v>0</v>
      </c>
      <c r="K257" s="417">
        <f t="shared" si="16"/>
        <v>33.88044983524059</v>
      </c>
    </row>
    <row r="258" spans="1:13" x14ac:dyDescent="0.25">
      <c r="A258" s="49">
        <f>'A) Base RI'!A260</f>
        <v>5852</v>
      </c>
      <c r="B258" s="291" t="str">
        <f>'A) Base RI'!B260</f>
        <v>Bursinel</v>
      </c>
      <c r="C258" s="95">
        <f>'B) D RI'!U260</f>
        <v>39678.838013791166</v>
      </c>
      <c r="D258" s="416">
        <f>'E) Part. coh. soc.'!G264/C258</f>
        <v>30.526815201495388</v>
      </c>
      <c r="E258" s="136">
        <f>'H) Péréquation directe'!I269/C258</f>
        <v>18.151139047104476</v>
      </c>
      <c r="F258" s="110">
        <f>+'I) Dépenses thématiques'!O258/'J) Plafonnement effort'!C258</f>
        <v>0</v>
      </c>
      <c r="G258" s="136">
        <f t="shared" si="13"/>
        <v>48.67795424859986</v>
      </c>
      <c r="H258" s="417">
        <f>G258-'C) Prél. conj.'!I258</f>
        <v>42.802833361265023</v>
      </c>
      <c r="I258" s="421">
        <f t="shared" si="14"/>
        <v>0</v>
      </c>
      <c r="J258" s="55">
        <f t="shared" si="15"/>
        <v>0</v>
      </c>
      <c r="K258" s="417">
        <f t="shared" si="16"/>
        <v>42.802833361265023</v>
      </c>
    </row>
    <row r="259" spans="1:13" x14ac:dyDescent="0.25">
      <c r="A259" s="49">
        <f>'A) Base RI'!A261</f>
        <v>5853</v>
      </c>
      <c r="B259" s="291" t="str">
        <f>'A) Base RI'!B261</f>
        <v>Bursins</v>
      </c>
      <c r="C259" s="95">
        <f>'B) D RI'!U261</f>
        <v>36264.072017403523</v>
      </c>
      <c r="D259" s="416">
        <f>'E) Part. coh. soc.'!G265/C259</f>
        <v>20.438397529080259</v>
      </c>
      <c r="E259" s="136">
        <f>'H) Péréquation directe'!I270/C259</f>
        <v>16.939659236892943</v>
      </c>
      <c r="F259" s="110">
        <f>+'I) Dépenses thématiques'!O259/'J) Plafonnement effort'!C259</f>
        <v>-0.70400466407564832</v>
      </c>
      <c r="G259" s="136">
        <f t="shared" si="13"/>
        <v>36.674052101897551</v>
      </c>
      <c r="H259" s="417">
        <f>G259-'C) Prél. conj.'!I259</f>
        <v>31.682791194596945</v>
      </c>
      <c r="I259" s="421">
        <f t="shared" si="14"/>
        <v>0</v>
      </c>
      <c r="J259" s="55">
        <f t="shared" si="15"/>
        <v>0</v>
      </c>
      <c r="K259" s="417">
        <f t="shared" si="16"/>
        <v>31.682791194596945</v>
      </c>
    </row>
    <row r="260" spans="1:13" x14ac:dyDescent="0.25">
      <c r="A260" s="49">
        <f>'A) Base RI'!A262</f>
        <v>5854</v>
      </c>
      <c r="B260" s="291" t="str">
        <f>'A) Base RI'!B262</f>
        <v>Burtigny</v>
      </c>
      <c r="C260" s="95">
        <f>'B) D RI'!U262</f>
        <v>11037.411333333333</v>
      </c>
      <c r="D260" s="416">
        <f>'E) Part. coh. soc.'!G266/C260</f>
        <v>24.187548027219496</v>
      </c>
      <c r="E260" s="136">
        <f>'H) Péréquation directe'!I271/C260</f>
        <v>-0.59374825694368372</v>
      </c>
      <c r="F260" s="110">
        <f>+'I) Dépenses thématiques'!O260/'J) Plafonnement effort'!C260</f>
        <v>-4.6496889572380846</v>
      </c>
      <c r="G260" s="136">
        <f t="shared" si="13"/>
        <v>18.944110813037728</v>
      </c>
      <c r="H260" s="417">
        <f>G260-'C) Prél. conj.'!I260</f>
        <v>10.089511482772062</v>
      </c>
      <c r="I260" s="421">
        <f t="shared" si="14"/>
        <v>0</v>
      </c>
      <c r="J260" s="55">
        <f t="shared" si="15"/>
        <v>0</v>
      </c>
      <c r="K260" s="417">
        <f t="shared" si="16"/>
        <v>10.089511482772062</v>
      </c>
    </row>
    <row r="261" spans="1:13" x14ac:dyDescent="0.25">
      <c r="A261" s="49">
        <f>'A) Base RI'!A263</f>
        <v>5855</v>
      </c>
      <c r="B261" s="291" t="str">
        <f>'A) Base RI'!B263</f>
        <v>Dully</v>
      </c>
      <c r="C261" s="95">
        <f>'B) D RI'!U263</f>
        <v>79587.82351399264</v>
      </c>
      <c r="D261" s="416">
        <f>'E) Part. coh. soc.'!G267/C261</f>
        <v>31.345501100270418</v>
      </c>
      <c r="E261" s="136">
        <f>'H) Péréquation directe'!I272/C261</f>
        <v>18.640066834926149</v>
      </c>
      <c r="F261" s="110">
        <f>+'I) Dépenses thématiques'!O261/'J) Plafonnement effort'!C261</f>
        <v>0</v>
      </c>
      <c r="G261" s="136">
        <f t="shared" ref="G261:G312" si="17">SUM(D261:F261)</f>
        <v>49.98556793519657</v>
      </c>
      <c r="H261" s="417">
        <f>G261-'C) Prél. conj.'!I261</f>
        <v>46.347827735540292</v>
      </c>
      <c r="I261" s="421">
        <f t="shared" ref="I261:I312" si="18">IF(H261&gt;I$4,I$4-H261,0)</f>
        <v>0</v>
      </c>
      <c r="J261" s="55">
        <f t="shared" ref="J261:J312" si="19">I261*C261</f>
        <v>0</v>
      </c>
      <c r="K261" s="417">
        <f t="shared" ref="K261:K312" si="20">H261+I261</f>
        <v>46.347827735540292</v>
      </c>
      <c r="M261" s="412"/>
    </row>
    <row r="262" spans="1:13" x14ac:dyDescent="0.25">
      <c r="A262" s="49">
        <f>'A) Base RI'!A264</f>
        <v>5856</v>
      </c>
      <c r="B262" s="291" t="str">
        <f>'A) Base RI'!B264</f>
        <v>Essertines-sur-Rolle</v>
      </c>
      <c r="C262" s="95">
        <f>'B) D RI'!U264</f>
        <v>36512.686266191689</v>
      </c>
      <c r="D262" s="416">
        <f>'E) Part. coh. soc.'!G268/C262</f>
        <v>18.316218035503137</v>
      </c>
      <c r="E262" s="136">
        <f>'H) Péréquation directe'!I273/C262</f>
        <v>17.164546506644026</v>
      </c>
      <c r="F262" s="110">
        <f>+'I) Dépenses thématiques'!O262/'J) Plafonnement effort'!C262</f>
        <v>0</v>
      </c>
      <c r="G262" s="136">
        <f t="shared" si="17"/>
        <v>35.480764542147163</v>
      </c>
      <c r="H262" s="417">
        <f>G262-'C) Prél. conj.'!I262</f>
        <v>33.726755140234161</v>
      </c>
      <c r="I262" s="421">
        <f t="shared" si="18"/>
        <v>0</v>
      </c>
      <c r="J262" s="55">
        <f t="shared" si="19"/>
        <v>0</v>
      </c>
      <c r="K262" s="417">
        <f t="shared" si="20"/>
        <v>33.726755140234161</v>
      </c>
    </row>
    <row r="263" spans="1:13" x14ac:dyDescent="0.25">
      <c r="A263" s="49">
        <f>'A) Base RI'!A265</f>
        <v>5857</v>
      </c>
      <c r="B263" s="291" t="str">
        <f>'A) Base RI'!B265</f>
        <v>Gilly</v>
      </c>
      <c r="C263" s="95">
        <f>'B) D RI'!U265</f>
        <v>85445.15246923732</v>
      </c>
      <c r="D263" s="416">
        <f>'E) Part. coh. soc.'!G269/C263</f>
        <v>22.292253592396403</v>
      </c>
      <c r="E263" s="136">
        <f>'H) Péréquation directe'!I274/C263</f>
        <v>16.655222091875046</v>
      </c>
      <c r="F263" s="110">
        <f>+'I) Dépenses thématiques'!O263/'J) Plafonnement effort'!C263</f>
        <v>0</v>
      </c>
      <c r="G263" s="136">
        <f t="shared" si="17"/>
        <v>38.947475684271453</v>
      </c>
      <c r="H263" s="417">
        <f>G263-'C) Prél. conj.'!I263</f>
        <v>36.21093430956698</v>
      </c>
      <c r="I263" s="421">
        <f t="shared" si="18"/>
        <v>0</v>
      </c>
      <c r="J263" s="55">
        <f t="shared" si="19"/>
        <v>0</v>
      </c>
      <c r="K263" s="417">
        <f t="shared" si="20"/>
        <v>36.21093430956698</v>
      </c>
    </row>
    <row r="264" spans="1:13" x14ac:dyDescent="0.25">
      <c r="A264" s="49">
        <f>'A) Base RI'!A266</f>
        <v>5858</v>
      </c>
      <c r="B264" s="291" t="str">
        <f>'A) Base RI'!B266</f>
        <v>Luins</v>
      </c>
      <c r="C264" s="95">
        <f>'B) D RI'!U266</f>
        <v>46686.611465586961</v>
      </c>
      <c r="D264" s="416">
        <f>'E) Part. coh. soc.'!G270/C264</f>
        <v>22.612713990017987</v>
      </c>
      <c r="E264" s="136">
        <f>'H) Péréquation directe'!I275/C264</f>
        <v>17.977677624585173</v>
      </c>
      <c r="F264" s="110">
        <f>+'I) Dépenses thématiques'!O264/'J) Plafonnement effort'!C264</f>
        <v>0</v>
      </c>
      <c r="G264" s="136">
        <f t="shared" si="17"/>
        <v>40.590391614603163</v>
      </c>
      <c r="H264" s="417">
        <f>G264-'C) Prél. conj.'!I264</f>
        <v>40.05575536201502</v>
      </c>
      <c r="I264" s="421">
        <f t="shared" si="18"/>
        <v>0</v>
      </c>
      <c r="J264" s="55">
        <f t="shared" si="19"/>
        <v>0</v>
      </c>
      <c r="K264" s="417">
        <f t="shared" si="20"/>
        <v>40.05575536201502</v>
      </c>
    </row>
    <row r="265" spans="1:13" x14ac:dyDescent="0.25">
      <c r="A265" s="49">
        <f>'A) Base RI'!A267</f>
        <v>5859</v>
      </c>
      <c r="B265" s="291" t="str">
        <f>'A) Base RI'!B267</f>
        <v>Mont-sur-Rolle</v>
      </c>
      <c r="C265" s="95">
        <f>'B) D RI'!U267</f>
        <v>136353.72580116385</v>
      </c>
      <c r="D265" s="416">
        <f>'E) Part. coh. soc.'!G271/C265</f>
        <v>21.565866158563509</v>
      </c>
      <c r="E265" s="136">
        <f>'H) Péréquation directe'!I276/C265</f>
        <v>14.40111300572641</v>
      </c>
      <c r="F265" s="110">
        <f>+'I) Dépenses thématiques'!O265/'J) Plafonnement effort'!C265</f>
        <v>0</v>
      </c>
      <c r="G265" s="136">
        <f t="shared" si="17"/>
        <v>35.966979164289917</v>
      </c>
      <c r="H265" s="417">
        <f>G265-'C) Prél. conj.'!I265</f>
        <v>30.993521629371486</v>
      </c>
      <c r="I265" s="421">
        <f t="shared" si="18"/>
        <v>0</v>
      </c>
      <c r="J265" s="55">
        <f t="shared" si="19"/>
        <v>0</v>
      </c>
      <c r="K265" s="417">
        <f t="shared" si="20"/>
        <v>30.993521629371486</v>
      </c>
    </row>
    <row r="266" spans="1:13" x14ac:dyDescent="0.25">
      <c r="A266" s="49">
        <f>'A) Base RI'!A268</f>
        <v>5860</v>
      </c>
      <c r="B266" s="291" t="str">
        <f>'A) Base RI'!B268</f>
        <v>Perroy</v>
      </c>
      <c r="C266" s="95">
        <f>'B) D RI'!U268</f>
        <v>102639.35399012771</v>
      </c>
      <c r="D266" s="416">
        <f>'E) Part. coh. soc.'!G272/C266</f>
        <v>22.807805498224223</v>
      </c>
      <c r="E266" s="136">
        <f>'H) Péréquation directe'!I277/C266</f>
        <v>16.721446926867038</v>
      </c>
      <c r="F266" s="110">
        <f>+'I) Dépenses thématiques'!O266/'J) Plafonnement effort'!C266</f>
        <v>-19.062831124331616</v>
      </c>
      <c r="G266" s="136">
        <f t="shared" si="17"/>
        <v>20.466421300759642</v>
      </c>
      <c r="H266" s="417">
        <f>G266-'C) Prél. conj.'!I266</f>
        <v>18.109885278297298</v>
      </c>
      <c r="I266" s="421">
        <f t="shared" si="18"/>
        <v>0</v>
      </c>
      <c r="J266" s="55">
        <f t="shared" si="19"/>
        <v>0</v>
      </c>
      <c r="K266" s="417">
        <f t="shared" si="20"/>
        <v>18.109885278297298</v>
      </c>
    </row>
    <row r="267" spans="1:13" x14ac:dyDescent="0.25">
      <c r="A267" s="49">
        <f>'A) Base RI'!A269</f>
        <v>5861</v>
      </c>
      <c r="B267" s="291" t="str">
        <f>'A) Base RI'!B269</f>
        <v>Rolle</v>
      </c>
      <c r="C267" s="95">
        <f>'B) D RI'!U269</f>
        <v>542281.32528677804</v>
      </c>
      <c r="D267" s="416">
        <f>'E) Part. coh. soc.'!G273/C267</f>
        <v>27.06419864578476</v>
      </c>
      <c r="E267" s="136">
        <f>'H) Péréquation directe'!I278/C267</f>
        <v>14.881940051641601</v>
      </c>
      <c r="F267" s="110">
        <f>+'I) Dépenses thématiques'!O267/'J) Plafonnement effort'!C267</f>
        <v>0</v>
      </c>
      <c r="G267" s="136">
        <f t="shared" si="17"/>
        <v>41.946138697426363</v>
      </c>
      <c r="H267" s="417">
        <f>G267-'C) Prél. conj.'!I267</f>
        <v>39.200423529727033</v>
      </c>
      <c r="I267" s="421">
        <f t="shared" si="18"/>
        <v>0</v>
      </c>
      <c r="J267" s="55">
        <f t="shared" si="19"/>
        <v>0</v>
      </c>
      <c r="K267" s="417">
        <f t="shared" si="20"/>
        <v>39.200423529727033</v>
      </c>
    </row>
    <row r="268" spans="1:13" x14ac:dyDescent="0.25">
      <c r="A268" s="49">
        <f>'A) Base RI'!A270</f>
        <v>5862</v>
      </c>
      <c r="B268" s="291" t="str">
        <f>'A) Base RI'!B270</f>
        <v>Tartegnin</v>
      </c>
      <c r="C268" s="95">
        <f>'B) D RI'!U270</f>
        <v>10952.855675530331</v>
      </c>
      <c r="D268" s="416">
        <f>'E) Part. coh. soc.'!G274/C268</f>
        <v>15.964148584647919</v>
      </c>
      <c r="E268" s="136">
        <f>'H) Péréquation directe'!I279/C268</f>
        <v>16.976223715946698</v>
      </c>
      <c r="F268" s="110">
        <f>+'I) Dépenses thématiques'!O268/'J) Plafonnement effort'!C268</f>
        <v>0</v>
      </c>
      <c r="G268" s="136">
        <f t="shared" si="17"/>
        <v>32.940372300594618</v>
      </c>
      <c r="H268" s="417">
        <f>G268-'C) Prél. conj.'!I268</f>
        <v>32.656337698828594</v>
      </c>
      <c r="I268" s="421">
        <f t="shared" si="18"/>
        <v>0</v>
      </c>
      <c r="J268" s="55">
        <f t="shared" si="19"/>
        <v>0</v>
      </c>
      <c r="K268" s="417">
        <f t="shared" si="20"/>
        <v>32.656337698828594</v>
      </c>
    </row>
    <row r="269" spans="1:13" x14ac:dyDescent="0.25">
      <c r="A269" s="49">
        <f>'A) Base RI'!A271</f>
        <v>5863</v>
      </c>
      <c r="B269" s="291" t="str">
        <f>'A) Base RI'!B271</f>
        <v>Vinzel</v>
      </c>
      <c r="C269" s="95">
        <f>'B) D RI'!U271</f>
        <v>17853.344314731814</v>
      </c>
      <c r="D269" s="416">
        <f>'E) Part. coh. soc.'!G275/C269</f>
        <v>19.224758632320579</v>
      </c>
      <c r="E269" s="136">
        <f>'H) Péréquation directe'!I280/C269</f>
        <v>17.150692085987103</v>
      </c>
      <c r="F269" s="110">
        <f>+'I) Dépenses thématiques'!O269/'J) Plafonnement effort'!C269</f>
        <v>0</v>
      </c>
      <c r="G269" s="136">
        <f t="shared" si="17"/>
        <v>36.375450718307683</v>
      </c>
      <c r="H269" s="417">
        <f>G269-'C) Prél. conj.'!I269</f>
        <v>33.62684551947622</v>
      </c>
      <c r="I269" s="421">
        <f t="shared" si="18"/>
        <v>0</v>
      </c>
      <c r="J269" s="55">
        <f t="shared" si="19"/>
        <v>0</v>
      </c>
      <c r="K269" s="417">
        <f t="shared" si="20"/>
        <v>33.62684551947622</v>
      </c>
    </row>
    <row r="270" spans="1:13" x14ac:dyDescent="0.25">
      <c r="A270" s="49">
        <f>'A) Base RI'!A272</f>
        <v>5871</v>
      </c>
      <c r="B270" s="291" t="str">
        <f>'A) Base RI'!B272</f>
        <v>L'Abbaye</v>
      </c>
      <c r="C270" s="95">
        <f>'B) D RI'!U272</f>
        <v>46407.687824597124</v>
      </c>
      <c r="D270" s="416">
        <f>'E) Part. coh. soc.'!G276/C270</f>
        <v>22.443589852945628</v>
      </c>
      <c r="E270" s="136">
        <f>'H) Péréquation directe'!I281/C270</f>
        <v>2.168472313943778</v>
      </c>
      <c r="F270" s="110">
        <f>+'I) Dépenses thématiques'!O270/'J) Plafonnement effort'!C270</f>
        <v>-8.2605516478082368</v>
      </c>
      <c r="G270" s="136">
        <f t="shared" si="17"/>
        <v>16.351510519081167</v>
      </c>
      <c r="H270" s="417">
        <f>G270-'C) Prél. conj.'!I270</f>
        <v>9.2408693630893648</v>
      </c>
      <c r="I270" s="421">
        <f t="shared" si="18"/>
        <v>0</v>
      </c>
      <c r="J270" s="55">
        <f t="shared" si="19"/>
        <v>0</v>
      </c>
      <c r="K270" s="417">
        <f t="shared" si="20"/>
        <v>9.2408693630893648</v>
      </c>
    </row>
    <row r="271" spans="1:13" x14ac:dyDescent="0.25">
      <c r="A271" s="49">
        <f>'A) Base RI'!A273</f>
        <v>5872</v>
      </c>
      <c r="B271" s="291" t="str">
        <f>'A) Base RI'!B273</f>
        <v>Le Chenit</v>
      </c>
      <c r="C271" s="95">
        <f>'B) D RI'!U273</f>
        <v>253970.36617173007</v>
      </c>
      <c r="D271" s="416">
        <f>'E) Part. coh. soc.'!G277/C271</f>
        <v>27.978878218647253</v>
      </c>
      <c r="E271" s="136">
        <f>'H) Péréquation directe'!I282/C271</f>
        <v>13.105371852987263</v>
      </c>
      <c r="F271" s="110">
        <f>+'I) Dépenses thématiques'!O271/'J) Plafonnement effort'!C271</f>
        <v>-4.8618098230697564</v>
      </c>
      <c r="G271" s="136">
        <f t="shared" si="17"/>
        <v>36.222440248564759</v>
      </c>
      <c r="H271" s="417">
        <f>G271-'C) Prél. conj.'!I271</f>
        <v>25.717078756130192</v>
      </c>
      <c r="I271" s="421">
        <f t="shared" si="18"/>
        <v>0</v>
      </c>
      <c r="J271" s="55">
        <f t="shared" si="19"/>
        <v>0</v>
      </c>
      <c r="K271" s="417">
        <f t="shared" si="20"/>
        <v>25.717078756130192</v>
      </c>
    </row>
    <row r="272" spans="1:13" x14ac:dyDescent="0.25">
      <c r="A272" s="49">
        <f>'A) Base RI'!A274</f>
        <v>5873</v>
      </c>
      <c r="B272" s="291" t="str">
        <f>'A) Base RI'!B274</f>
        <v>Le Lieu</v>
      </c>
      <c r="C272" s="95">
        <f>'B) D RI'!U274</f>
        <v>28515.54687424951</v>
      </c>
      <c r="D272" s="416">
        <f>'E) Part. coh. soc.'!G278/C272</f>
        <v>25.301770661111981</v>
      </c>
      <c r="E272" s="136">
        <f>'H) Péréquation directe'!I283/C272</f>
        <v>6.9416551293420143</v>
      </c>
      <c r="F272" s="110">
        <f>+'I) Dépenses thématiques'!O272/'J) Plafonnement effort'!C272</f>
        <v>-23.393980343860274</v>
      </c>
      <c r="G272" s="136">
        <f t="shared" si="17"/>
        <v>8.8494454465937231</v>
      </c>
      <c r="H272" s="417">
        <f>G272-'C) Prél. conj.'!I272</f>
        <v>-1.119376517564433</v>
      </c>
      <c r="I272" s="421">
        <f t="shared" si="18"/>
        <v>0</v>
      </c>
      <c r="J272" s="55">
        <f t="shared" si="19"/>
        <v>0</v>
      </c>
      <c r="K272" s="417">
        <f t="shared" si="20"/>
        <v>-1.119376517564433</v>
      </c>
    </row>
    <row r="273" spans="1:11" x14ac:dyDescent="0.25">
      <c r="A273" s="49">
        <f>'A) Base RI'!A275</f>
        <v>5881</v>
      </c>
      <c r="B273" s="291" t="str">
        <f>'A) Base RI'!B275</f>
        <v>Blonay</v>
      </c>
      <c r="C273" s="95">
        <f>'B) D RI'!U275</f>
        <v>355094.49330320884</v>
      </c>
      <c r="D273" s="416">
        <f>'E) Part. coh. soc.'!G279/C273</f>
        <v>22.261359291036218</v>
      </c>
      <c r="E273" s="136">
        <f>'H) Péréquation directe'!I284/C273</f>
        <v>12.528776600504591</v>
      </c>
      <c r="F273" s="110">
        <f>+'I) Dépenses thématiques'!O273/'J) Plafonnement effort'!C273</f>
        <v>-1.6030795841113652</v>
      </c>
      <c r="G273" s="136">
        <f t="shared" si="17"/>
        <v>33.187056307429444</v>
      </c>
      <c r="H273" s="417">
        <f>G273-'C) Prél. conj.'!I273</f>
        <v>29.409675327728738</v>
      </c>
      <c r="I273" s="421">
        <f t="shared" si="18"/>
        <v>0</v>
      </c>
      <c r="J273" s="55">
        <f t="shared" si="19"/>
        <v>0</v>
      </c>
      <c r="K273" s="417">
        <f t="shared" si="20"/>
        <v>29.409675327728738</v>
      </c>
    </row>
    <row r="274" spans="1:11" x14ac:dyDescent="0.25">
      <c r="A274" s="49">
        <f>'A) Base RI'!A276</f>
        <v>5882</v>
      </c>
      <c r="B274" s="291" t="str">
        <f>'A) Base RI'!B276</f>
        <v>Chardonne</v>
      </c>
      <c r="C274" s="95">
        <f>'B) D RI'!U276</f>
        <v>184065.71182844636</v>
      </c>
      <c r="D274" s="416">
        <f>'E) Part. coh. soc.'!G280/C274</f>
        <v>25.596719076345821</v>
      </c>
      <c r="E274" s="136">
        <f>'H) Péréquation directe'!I285/C274</f>
        <v>15.056720021035508</v>
      </c>
      <c r="F274" s="110">
        <f>+'I) Dépenses thématiques'!O274/'J) Plafonnement effort'!C274</f>
        <v>-2.0854425210500152</v>
      </c>
      <c r="G274" s="136">
        <f t="shared" si="17"/>
        <v>38.567996576331318</v>
      </c>
      <c r="H274" s="417">
        <f>G274-'C) Prél. conj.'!I274</f>
        <v>32.215824689533967</v>
      </c>
      <c r="I274" s="421">
        <f t="shared" si="18"/>
        <v>0</v>
      </c>
      <c r="J274" s="55">
        <f t="shared" si="19"/>
        <v>0</v>
      </c>
      <c r="K274" s="417">
        <f t="shared" si="20"/>
        <v>32.215824689533967</v>
      </c>
    </row>
    <row r="275" spans="1:11" x14ac:dyDescent="0.25">
      <c r="A275" s="49">
        <f>'A) Base RI'!A277</f>
        <v>5883</v>
      </c>
      <c r="B275" s="291" t="str">
        <f>'A) Base RI'!B277</f>
        <v>Corseaux</v>
      </c>
      <c r="C275" s="95">
        <f>'B) D RI'!U277</f>
        <v>164452.64554996623</v>
      </c>
      <c r="D275" s="416">
        <f>'E) Part. coh. soc.'!G281/C275</f>
        <v>24.260957362407037</v>
      </c>
      <c r="E275" s="136">
        <f>'H) Péréquation directe'!I286/C275</f>
        <v>16.131938337741499</v>
      </c>
      <c r="F275" s="110">
        <f>+'I) Dépenses thématiques'!O275/'J) Plafonnement effort'!C275</f>
        <v>0</v>
      </c>
      <c r="G275" s="136">
        <f t="shared" si="17"/>
        <v>40.392895700148536</v>
      </c>
      <c r="H275" s="417">
        <f>G275-'C) Prél. conj.'!I275</f>
        <v>38.318827971658472</v>
      </c>
      <c r="I275" s="421">
        <f t="shared" si="18"/>
        <v>0</v>
      </c>
      <c r="J275" s="55">
        <f t="shared" si="19"/>
        <v>0</v>
      </c>
      <c r="K275" s="417">
        <f t="shared" si="20"/>
        <v>38.318827971658472</v>
      </c>
    </row>
    <row r="276" spans="1:11" x14ac:dyDescent="0.25">
      <c r="A276" s="49">
        <f>'A) Base RI'!A278</f>
        <v>5884</v>
      </c>
      <c r="B276" s="291" t="str">
        <f>'A) Base RI'!B278</f>
        <v>Corsier-sur-Vevey</v>
      </c>
      <c r="C276" s="95">
        <f>'B) D RI'!U278</f>
        <v>125116.33219250187</v>
      </c>
      <c r="D276" s="416">
        <f>'E) Part. coh. soc.'!G282/C276</f>
        <v>18.352294719811745</v>
      </c>
      <c r="E276" s="136">
        <f>'H) Péréquation directe'!I287/C276</f>
        <v>7.4970792979599628</v>
      </c>
      <c r="F276" s="110">
        <f>+'I) Dépenses thématiques'!O276/'J) Plafonnement effort'!C276</f>
        <v>-11.089944731490426</v>
      </c>
      <c r="G276" s="136">
        <f t="shared" si="17"/>
        <v>14.759429286281282</v>
      </c>
      <c r="H276" s="417">
        <f>G276-'C) Prél. conj.'!I276</f>
        <v>11.740083263423369</v>
      </c>
      <c r="I276" s="421">
        <f t="shared" si="18"/>
        <v>0</v>
      </c>
      <c r="J276" s="55">
        <f t="shared" si="19"/>
        <v>0</v>
      </c>
      <c r="K276" s="417">
        <f t="shared" si="20"/>
        <v>11.740083263423369</v>
      </c>
    </row>
    <row r="277" spans="1:11" x14ac:dyDescent="0.25">
      <c r="A277" s="49">
        <f>'A) Base RI'!A279</f>
        <v>5885</v>
      </c>
      <c r="B277" s="291" t="str">
        <f>'A) Base RI'!B279</f>
        <v>Jongny</v>
      </c>
      <c r="C277" s="95">
        <f>'B) D RI'!U279</f>
        <v>78645.92697183101</v>
      </c>
      <c r="D277" s="416">
        <f>'E) Part. coh. soc.'!G283/C277</f>
        <v>20.441179316942755</v>
      </c>
      <c r="E277" s="136">
        <f>'H) Péréquation directe'!I288/C277</f>
        <v>15.618171197840072</v>
      </c>
      <c r="F277" s="110">
        <f>+'I) Dépenses thématiques'!O277/'J) Plafonnement effort'!C277</f>
        <v>-1.4686387142614596</v>
      </c>
      <c r="G277" s="136">
        <f t="shared" si="17"/>
        <v>34.590711800521369</v>
      </c>
      <c r="H277" s="417">
        <f>G277-'C) Prél. conj.'!I277</f>
        <v>30.858503136935617</v>
      </c>
      <c r="I277" s="421">
        <f t="shared" si="18"/>
        <v>0</v>
      </c>
      <c r="J277" s="55">
        <f t="shared" si="19"/>
        <v>0</v>
      </c>
      <c r="K277" s="417">
        <f t="shared" si="20"/>
        <v>30.858503136935617</v>
      </c>
    </row>
    <row r="278" spans="1:11" x14ac:dyDescent="0.25">
      <c r="A278" s="49">
        <f>'A) Base RI'!A280</f>
        <v>5886</v>
      </c>
      <c r="B278" s="291" t="str">
        <f>'A) Base RI'!B280</f>
        <v>Montreux</v>
      </c>
      <c r="C278" s="95">
        <f>'B) D RI'!U280</f>
        <v>1133766.4796882921</v>
      </c>
      <c r="D278" s="416">
        <f>'E) Part. coh. soc.'!G284/C278</f>
        <v>22.487082286465135</v>
      </c>
      <c r="E278" s="136">
        <f>'H) Péréquation directe'!I289/C278</f>
        <v>-0.2752685802683425</v>
      </c>
      <c r="F278" s="110">
        <f>+'I) Dépenses thématiques'!O278/'J) Plafonnement effort'!C278</f>
        <v>-4.5832698528104086</v>
      </c>
      <c r="G278" s="136">
        <f t="shared" si="17"/>
        <v>17.628543853386383</v>
      </c>
      <c r="H278" s="417">
        <f>G278-'C) Prél. conj.'!I278</f>
        <v>10.474410263875075</v>
      </c>
      <c r="I278" s="421">
        <f t="shared" si="18"/>
        <v>0</v>
      </c>
      <c r="J278" s="55">
        <f t="shared" si="19"/>
        <v>0</v>
      </c>
      <c r="K278" s="417">
        <f t="shared" si="20"/>
        <v>10.474410263875075</v>
      </c>
    </row>
    <row r="279" spans="1:11" x14ac:dyDescent="0.25">
      <c r="A279" s="49">
        <f>'A) Base RI'!A281</f>
        <v>5888</v>
      </c>
      <c r="B279" s="291" t="str">
        <f>'A) Base RI'!B281</f>
        <v>Saint-Légier-La Chiésaz</v>
      </c>
      <c r="C279" s="95">
        <f>'B) D RI'!U281</f>
        <v>337320.4595902646</v>
      </c>
      <c r="D279" s="416">
        <f>'E) Part. coh. soc.'!G285/C279</f>
        <v>23.083071670734103</v>
      </c>
      <c r="E279" s="136">
        <f>'H) Péréquation directe'!I290/C279</f>
        <v>13.776819092786411</v>
      </c>
      <c r="F279" s="110">
        <f>+'I) Dépenses thématiques'!O279/'J) Plafonnement effort'!C279</f>
        <v>-0.61698780330663983</v>
      </c>
      <c r="G279" s="136">
        <f t="shared" si="17"/>
        <v>36.242902960213868</v>
      </c>
      <c r="H279" s="417">
        <f>G279-'C) Prél. conj.'!I279</f>
        <v>33.476983050898866</v>
      </c>
      <c r="I279" s="421">
        <f t="shared" si="18"/>
        <v>0</v>
      </c>
      <c r="J279" s="55">
        <f t="shared" si="19"/>
        <v>0</v>
      </c>
      <c r="K279" s="417">
        <f t="shared" si="20"/>
        <v>33.476983050898866</v>
      </c>
    </row>
    <row r="280" spans="1:11" x14ac:dyDescent="0.25">
      <c r="A280" s="49">
        <f>'A) Base RI'!A282</f>
        <v>5889</v>
      </c>
      <c r="B280" s="291" t="str">
        <f>'A) Base RI'!B282</f>
        <v>La Tour-de-Peilz</v>
      </c>
      <c r="C280" s="95">
        <f>'B) D RI'!U282</f>
        <v>691108.44187203015</v>
      </c>
      <c r="D280" s="416">
        <f>'E) Part. coh. soc.'!G286/C280</f>
        <v>21.131559138219199</v>
      </c>
      <c r="E280" s="136">
        <f>'H) Péréquation directe'!I291/C280</f>
        <v>9.9125125334190543</v>
      </c>
      <c r="F280" s="110">
        <f>+'I) Dépenses thématiques'!O280/'J) Plafonnement effort'!C280</f>
        <v>0</v>
      </c>
      <c r="G280" s="136">
        <f t="shared" si="17"/>
        <v>31.044071671638253</v>
      </c>
      <c r="H280" s="417">
        <f>G280-'C) Prél. conj.'!I280</f>
        <v>28.215667746047153</v>
      </c>
      <c r="I280" s="421">
        <f t="shared" si="18"/>
        <v>0</v>
      </c>
      <c r="J280" s="55">
        <f t="shared" si="19"/>
        <v>0</v>
      </c>
      <c r="K280" s="417">
        <f t="shared" si="20"/>
        <v>28.215667746047153</v>
      </c>
    </row>
    <row r="281" spans="1:11" x14ac:dyDescent="0.25">
      <c r="A281" s="49">
        <f>'A) Base RI'!A283</f>
        <v>5890</v>
      </c>
      <c r="B281" s="291" t="str">
        <f>'A) Base RI'!B283</f>
        <v>Vevey</v>
      </c>
      <c r="C281" s="95">
        <f>'B) D RI'!U283</f>
        <v>964973.50807811751</v>
      </c>
      <c r="D281" s="416">
        <f>'E) Part. coh. soc.'!G287/C281</f>
        <v>17.918445015246871</v>
      </c>
      <c r="E281" s="136">
        <f>'H) Péréquation directe'!I292/C281</f>
        <v>4.1410986345796825</v>
      </c>
      <c r="F281" s="110">
        <f>+'I) Dépenses thématiques'!O281/'J) Plafonnement effort'!C281</f>
        <v>-2.8080791071476425</v>
      </c>
      <c r="G281" s="136">
        <f t="shared" si="17"/>
        <v>19.25146454267891</v>
      </c>
      <c r="H281" s="417">
        <f>G281-'C) Prél. conj.'!I281</f>
        <v>17.4676661165146</v>
      </c>
      <c r="I281" s="421">
        <f t="shared" si="18"/>
        <v>0</v>
      </c>
      <c r="J281" s="55">
        <f t="shared" si="19"/>
        <v>0</v>
      </c>
      <c r="K281" s="417">
        <f t="shared" si="20"/>
        <v>17.4676661165146</v>
      </c>
    </row>
    <row r="282" spans="1:11" x14ac:dyDescent="0.25">
      <c r="A282" s="49">
        <f>'A) Base RI'!A284</f>
        <v>5891</v>
      </c>
      <c r="B282" s="291" t="str">
        <f>'A) Base RI'!B284</f>
        <v>Veytaux</v>
      </c>
      <c r="C282" s="95">
        <f>'B) D RI'!U284</f>
        <v>37035.518505817468</v>
      </c>
      <c r="D282" s="416">
        <f>'E) Part. coh. soc.'!G288/C282</f>
        <v>18.320618492440001</v>
      </c>
      <c r="E282" s="136">
        <f>'H) Péréquation directe'!I293/C282</f>
        <v>13.631490605603668</v>
      </c>
      <c r="F282" s="110">
        <f>+'I) Dépenses thématiques'!O282/'J) Plafonnement effort'!C282</f>
        <v>-23.047550434583908</v>
      </c>
      <c r="G282" s="136">
        <f t="shared" si="17"/>
        <v>8.9045586634597633</v>
      </c>
      <c r="H282" s="417">
        <f>G282-'C) Prél. conj.'!I282</f>
        <v>5.9168888679735918</v>
      </c>
      <c r="I282" s="421">
        <f t="shared" si="18"/>
        <v>0</v>
      </c>
      <c r="J282" s="55">
        <f t="shared" si="19"/>
        <v>0</v>
      </c>
      <c r="K282" s="417">
        <f t="shared" si="20"/>
        <v>5.9168888679735918</v>
      </c>
    </row>
    <row r="283" spans="1:11" x14ac:dyDescent="0.25">
      <c r="A283" s="49">
        <f>'A) Base RI'!A285</f>
        <v>5902</v>
      </c>
      <c r="B283" s="291" t="str">
        <f>'A) Base RI'!B285</f>
        <v>Belmont-sur-Yverdon</v>
      </c>
      <c r="C283" s="95">
        <f>'B) D RI'!U285</f>
        <v>10774.45016912473</v>
      </c>
      <c r="D283" s="416">
        <f>'E) Part. coh. soc.'!G289/C283</f>
        <v>15.332948696953826</v>
      </c>
      <c r="E283" s="136">
        <f>'H) Péréquation directe'!I294/C283</f>
        <v>1.6784832896578334</v>
      </c>
      <c r="F283" s="110">
        <f>+'I) Dépenses thématiques'!O283/'J) Plafonnement effort'!C283</f>
        <v>-0.83417266175516169</v>
      </c>
      <c r="G283" s="136">
        <f t="shared" si="17"/>
        <v>16.177259324856497</v>
      </c>
      <c r="H283" s="417">
        <f>G283-'C) Prél. conj.'!I283</f>
        <v>16.177259324856497</v>
      </c>
      <c r="I283" s="421">
        <f t="shared" si="18"/>
        <v>0</v>
      </c>
      <c r="J283" s="55">
        <f t="shared" si="19"/>
        <v>0</v>
      </c>
      <c r="K283" s="417">
        <f t="shared" si="20"/>
        <v>16.177259324856497</v>
      </c>
    </row>
    <row r="284" spans="1:11" x14ac:dyDescent="0.25">
      <c r="A284" s="49">
        <f>'A) Base RI'!A286</f>
        <v>5903</v>
      </c>
      <c r="B284" s="291" t="str">
        <f>'A) Base RI'!B286</f>
        <v>Bioley-Magnoux</v>
      </c>
      <c r="C284" s="95">
        <f>'B) D RI'!U286</f>
        <v>6472.6316948302874</v>
      </c>
      <c r="D284" s="416">
        <f>'E) Part. coh. soc.'!G290/C284</f>
        <v>16.491053368039481</v>
      </c>
      <c r="E284" s="136">
        <f>'H) Péréquation directe'!I295/C284</f>
        <v>1.8101276766889283</v>
      </c>
      <c r="F284" s="110">
        <f>+'I) Dépenses thématiques'!O284/'J) Plafonnement effort'!C284</f>
        <v>-31.290328136600142</v>
      </c>
      <c r="G284" s="136">
        <f t="shared" si="17"/>
        <v>-12.989147091871732</v>
      </c>
      <c r="H284" s="417">
        <f>G284-'C) Prél. conj.'!I284</f>
        <v>-14.147251762957385</v>
      </c>
      <c r="I284" s="421">
        <f t="shared" si="18"/>
        <v>0</v>
      </c>
      <c r="J284" s="55">
        <f t="shared" si="19"/>
        <v>0</v>
      </c>
      <c r="K284" s="417">
        <f t="shared" si="20"/>
        <v>-14.147251762957385</v>
      </c>
    </row>
    <row r="285" spans="1:11" x14ac:dyDescent="0.25">
      <c r="A285" s="49">
        <f>'A) Base RI'!A287</f>
        <v>5904</v>
      </c>
      <c r="B285" s="291" t="str">
        <f>'A) Base RI'!B287</f>
        <v>Chamblon</v>
      </c>
      <c r="C285" s="95">
        <f>'B) D RI'!U287</f>
        <v>21968.958276290676</v>
      </c>
      <c r="D285" s="416">
        <f>'E) Part. coh. soc.'!G291/C285</f>
        <v>16.536313902873992</v>
      </c>
      <c r="E285" s="136">
        <f>'H) Péréquation directe'!I296/C285</f>
        <v>14.312841861546515</v>
      </c>
      <c r="F285" s="110">
        <f>+'I) Dépenses thématiques'!O285/'J) Plafonnement effort'!C285</f>
        <v>0</v>
      </c>
      <c r="G285" s="136">
        <f t="shared" si="17"/>
        <v>30.849155764420509</v>
      </c>
      <c r="H285" s="417">
        <f>G285-'C) Prél. conj.'!I285</f>
        <v>29.645790558500345</v>
      </c>
      <c r="I285" s="421">
        <f t="shared" si="18"/>
        <v>0</v>
      </c>
      <c r="J285" s="55">
        <f t="shared" si="19"/>
        <v>0</v>
      </c>
      <c r="K285" s="417">
        <f t="shared" si="20"/>
        <v>29.645790558500345</v>
      </c>
    </row>
    <row r="286" spans="1:11" x14ac:dyDescent="0.25">
      <c r="A286" s="49">
        <f>'A) Base RI'!A288</f>
        <v>5905</v>
      </c>
      <c r="B286" s="291" t="str">
        <f>'A) Base RI'!B288</f>
        <v>Champvent</v>
      </c>
      <c r="C286" s="95">
        <f>'B) D RI'!U288</f>
        <v>23321.773448973479</v>
      </c>
      <c r="D286" s="416">
        <f>'E) Part. coh. soc.'!G292/C286</f>
        <v>22.905390191868243</v>
      </c>
      <c r="E286" s="136">
        <f>'H) Péréquation directe'!I297/C286</f>
        <v>8.7917890028041956</v>
      </c>
      <c r="F286" s="110">
        <f>+'I) Dépenses thématiques'!O286/'J) Plafonnement effort'!C286</f>
        <v>-1.2762045565159175</v>
      </c>
      <c r="G286" s="136">
        <f t="shared" si="17"/>
        <v>30.420974638156519</v>
      </c>
      <c r="H286" s="417">
        <f>G286-'C) Prél. conj.'!I286</f>
        <v>22.848533143242104</v>
      </c>
      <c r="I286" s="421">
        <f t="shared" si="18"/>
        <v>0</v>
      </c>
      <c r="J286" s="55">
        <f t="shared" si="19"/>
        <v>0</v>
      </c>
      <c r="K286" s="417">
        <f t="shared" si="20"/>
        <v>22.848533143242104</v>
      </c>
    </row>
    <row r="287" spans="1:11" x14ac:dyDescent="0.25">
      <c r="A287" s="49">
        <f>'A) Base RI'!A289</f>
        <v>5907</v>
      </c>
      <c r="B287" s="291" t="str">
        <f>'A) Base RI'!B289</f>
        <v>Chavannes-le-Chêne</v>
      </c>
      <c r="C287" s="95">
        <f>'B) D RI'!U289</f>
        <v>9479.6278585348446</v>
      </c>
      <c r="D287" s="416">
        <f>'E) Part. coh. soc.'!G293/C287</f>
        <v>15.914026887174195</v>
      </c>
      <c r="E287" s="136">
        <f>'H) Péréquation directe'!I298/C287</f>
        <v>3.2965856208614968</v>
      </c>
      <c r="F287" s="110">
        <f>+'I) Dépenses thématiques'!O287/'J) Plafonnement effort'!C287</f>
        <v>-8.2739855173206482</v>
      </c>
      <c r="G287" s="136">
        <f t="shared" si="17"/>
        <v>10.936626990715043</v>
      </c>
      <c r="H287" s="417">
        <f>G287-'C) Prél. conj.'!I287</f>
        <v>10.355548800494676</v>
      </c>
      <c r="I287" s="421">
        <f t="shared" si="18"/>
        <v>0</v>
      </c>
      <c r="J287" s="55">
        <f t="shared" si="19"/>
        <v>0</v>
      </c>
      <c r="K287" s="417">
        <f t="shared" si="20"/>
        <v>10.355548800494676</v>
      </c>
    </row>
    <row r="288" spans="1:11" x14ac:dyDescent="0.25">
      <c r="A288" s="49">
        <f>'A) Base RI'!A290</f>
        <v>5908</v>
      </c>
      <c r="B288" s="291" t="str">
        <f>'A) Base RI'!B290</f>
        <v>Chêne-Pâquier</v>
      </c>
      <c r="C288" s="95">
        <f>'B) D RI'!U290</f>
        <v>3375.521749976027</v>
      </c>
      <c r="D288" s="416">
        <f>'E) Part. coh. soc.'!G294/C288</f>
        <v>16.024997266931667</v>
      </c>
      <c r="E288" s="136">
        <f>'H) Péréquation directe'!I299/C288</f>
        <v>-12.78252347175048</v>
      </c>
      <c r="F288" s="110">
        <f>+'I) Dépenses thématiques'!O288/'J) Plafonnement effort'!C288</f>
        <v>-6.8704081086356839</v>
      </c>
      <c r="G288" s="136">
        <f t="shared" si="17"/>
        <v>-3.6279343134544968</v>
      </c>
      <c r="H288" s="417">
        <f>G288-'C) Prél. conj.'!I288</f>
        <v>-4.3199828834323348</v>
      </c>
      <c r="I288" s="421">
        <f t="shared" si="18"/>
        <v>0</v>
      </c>
      <c r="J288" s="55">
        <f t="shared" si="19"/>
        <v>0</v>
      </c>
      <c r="K288" s="417">
        <f t="shared" si="20"/>
        <v>-4.3199828834323348</v>
      </c>
    </row>
    <row r="289" spans="1:11" x14ac:dyDescent="0.25">
      <c r="A289" s="49">
        <f>'A) Base RI'!A291</f>
        <v>5909</v>
      </c>
      <c r="B289" s="291" t="str">
        <f>'A) Base RI'!B291</f>
        <v>Cheseaux-Noréaz</v>
      </c>
      <c r="C289" s="95">
        <f>'B) D RI'!U291</f>
        <v>32341.35221867514</v>
      </c>
      <c r="D289" s="416">
        <f>'E) Part. coh. soc.'!G295/C289</f>
        <v>18.782840007793109</v>
      </c>
      <c r="E289" s="136">
        <f>'H) Péréquation directe'!I300/C289</f>
        <v>16.228854715326968</v>
      </c>
      <c r="F289" s="110">
        <f>+'I) Dépenses thématiques'!O289/'J) Plafonnement effort'!C289</f>
        <v>-3.270767482926181</v>
      </c>
      <c r="G289" s="136">
        <f t="shared" si="17"/>
        <v>31.740927240193891</v>
      </c>
      <c r="H289" s="417">
        <f>G289-'C) Prél. conj.'!I289</f>
        <v>28.291035929354614</v>
      </c>
      <c r="I289" s="421">
        <f t="shared" si="18"/>
        <v>0</v>
      </c>
      <c r="J289" s="55">
        <f t="shared" si="19"/>
        <v>0</v>
      </c>
      <c r="K289" s="417">
        <f t="shared" si="20"/>
        <v>28.291035929354614</v>
      </c>
    </row>
    <row r="290" spans="1:11" x14ac:dyDescent="0.25">
      <c r="A290" s="49">
        <f>'A) Base RI'!A292</f>
        <v>5910</v>
      </c>
      <c r="B290" s="291" t="str">
        <f>'A) Base RI'!B292</f>
        <v>Cronay</v>
      </c>
      <c r="C290" s="95">
        <f>'B) D RI'!U292</f>
        <v>10197.986044276999</v>
      </c>
      <c r="D290" s="416">
        <f>'E) Part. coh. soc.'!G296/C290</f>
        <v>22.86659060099576</v>
      </c>
      <c r="E290" s="136">
        <f>'H) Péréquation directe'!I301/C290</f>
        <v>-4.3572242696682846</v>
      </c>
      <c r="F290" s="110">
        <f>+'I) Dépenses thématiques'!O290/'J) Plafonnement effort'!C290</f>
        <v>-9.2288665509741019E-2</v>
      </c>
      <c r="G290" s="136">
        <f t="shared" si="17"/>
        <v>18.417077665817736</v>
      </c>
      <c r="H290" s="417">
        <f>G290-'C) Prél. conj.'!I290</f>
        <v>10.883435761775806</v>
      </c>
      <c r="I290" s="421">
        <f t="shared" si="18"/>
        <v>0</v>
      </c>
      <c r="J290" s="55">
        <f t="shared" si="19"/>
        <v>0</v>
      </c>
      <c r="K290" s="417">
        <f t="shared" si="20"/>
        <v>10.883435761775806</v>
      </c>
    </row>
    <row r="291" spans="1:11" x14ac:dyDescent="0.25">
      <c r="A291" s="49">
        <f>'A) Base RI'!A293</f>
        <v>5911</v>
      </c>
      <c r="B291" s="291" t="str">
        <f>'A) Base RI'!B293</f>
        <v>Cuarny</v>
      </c>
      <c r="C291" s="95">
        <f>'B) D RI'!U293</f>
        <v>7835.2176584022027</v>
      </c>
      <c r="D291" s="416">
        <f>'E) Part. coh. soc.'!G297/C291</f>
        <v>14.356386164348914</v>
      </c>
      <c r="E291" s="136">
        <f>'H) Péréquation directe'!I302/C291</f>
        <v>5.8819239426203573</v>
      </c>
      <c r="F291" s="110">
        <f>+'I) Dépenses thématiques'!O291/'J) Plafonnement effort'!C291</f>
        <v>-1.7922797344276122</v>
      </c>
      <c r="G291" s="136">
        <f t="shared" si="17"/>
        <v>18.44603037254166</v>
      </c>
      <c r="H291" s="417">
        <f>G291-'C) Prél. conj.'!I291</f>
        <v>19.422592905146573</v>
      </c>
      <c r="I291" s="421">
        <f t="shared" si="18"/>
        <v>0</v>
      </c>
      <c r="J291" s="55">
        <f t="shared" si="19"/>
        <v>0</v>
      </c>
      <c r="K291" s="417">
        <f t="shared" si="20"/>
        <v>19.422592905146573</v>
      </c>
    </row>
    <row r="292" spans="1:11" x14ac:dyDescent="0.25">
      <c r="A292" s="49">
        <f>'A) Base RI'!A294</f>
        <v>5912</v>
      </c>
      <c r="B292" s="291" t="str">
        <f>'A) Base RI'!B294</f>
        <v>Démoret</v>
      </c>
      <c r="C292" s="95">
        <f>'B) D RI'!U294</f>
        <v>3963.3385142217253</v>
      </c>
      <c r="D292" s="416">
        <f>'E) Part. coh. soc.'!G298/C292</f>
        <v>15.332948696953828</v>
      </c>
      <c r="E292" s="136">
        <f>'H) Péréquation directe'!I303/C292</f>
        <v>-6.2951483879253045</v>
      </c>
      <c r="F292" s="110">
        <f>+'I) Dépenses thématiques'!O292/'J) Plafonnement effort'!C292</f>
        <v>-4.1961576130408371</v>
      </c>
      <c r="G292" s="136">
        <f t="shared" si="17"/>
        <v>4.8416426959876855</v>
      </c>
      <c r="H292" s="417">
        <f>G292-'C) Prél. conj.'!I292</f>
        <v>4.8416426959876855</v>
      </c>
      <c r="I292" s="421">
        <f t="shared" si="18"/>
        <v>0</v>
      </c>
      <c r="J292" s="55">
        <f t="shared" si="19"/>
        <v>0</v>
      </c>
      <c r="K292" s="417">
        <f t="shared" si="20"/>
        <v>4.8416426959876855</v>
      </c>
    </row>
    <row r="293" spans="1:11" x14ac:dyDescent="0.25">
      <c r="A293" s="49">
        <f>'A) Base RI'!A295</f>
        <v>5913</v>
      </c>
      <c r="B293" s="291" t="str">
        <f>'A) Base RI'!B295</f>
        <v>Donneloye</v>
      </c>
      <c r="C293" s="95">
        <f>'B) D RI'!U295</f>
        <v>21560.051293940251</v>
      </c>
      <c r="D293" s="416">
        <f>'E) Part. coh. soc.'!G299/C293</f>
        <v>19.184022790795922</v>
      </c>
      <c r="E293" s="136">
        <f>'H) Péréquation directe'!I304/C293</f>
        <v>-1.0526060091140206</v>
      </c>
      <c r="F293" s="110">
        <f>+'I) Dépenses thématiques'!O293/'J) Plafonnement effort'!C293</f>
        <v>-2.4960548296985747</v>
      </c>
      <c r="G293" s="136">
        <f t="shared" si="17"/>
        <v>15.635361951983324</v>
      </c>
      <c r="H293" s="417">
        <f>G293-'C) Prél. conj.'!I293</f>
        <v>11.78428785814123</v>
      </c>
      <c r="I293" s="421">
        <f t="shared" si="18"/>
        <v>0</v>
      </c>
      <c r="J293" s="55">
        <f t="shared" si="19"/>
        <v>0</v>
      </c>
      <c r="K293" s="417">
        <f t="shared" si="20"/>
        <v>11.78428785814123</v>
      </c>
    </row>
    <row r="294" spans="1:11" x14ac:dyDescent="0.25">
      <c r="A294" s="49">
        <f>'A) Base RI'!A296</f>
        <v>5914</v>
      </c>
      <c r="B294" s="291" t="str">
        <f>'A) Base RI'!B296</f>
        <v>Ependes</v>
      </c>
      <c r="C294" s="95">
        <f>'B) D RI'!U296</f>
        <v>10120.059426352072</v>
      </c>
      <c r="D294" s="416">
        <f>'E) Part. coh. soc.'!G300/C294</f>
        <v>16.443356702141866</v>
      </c>
      <c r="E294" s="136">
        <f>'H) Péréquation directe'!I305/C294</f>
        <v>1.3863781409210874</v>
      </c>
      <c r="F294" s="110">
        <f>+'I) Dépenses thématiques'!O294/'J) Plafonnement effort'!C294</f>
        <v>-4.4821676460458724</v>
      </c>
      <c r="G294" s="136">
        <f t="shared" si="17"/>
        <v>13.347567197017081</v>
      </c>
      <c r="H294" s="417">
        <f>G294-'C) Prél. conj.'!I294</f>
        <v>12.237159191829043</v>
      </c>
      <c r="I294" s="421">
        <f t="shared" si="18"/>
        <v>0</v>
      </c>
      <c r="J294" s="55">
        <f t="shared" si="19"/>
        <v>0</v>
      </c>
      <c r="K294" s="417">
        <f t="shared" si="20"/>
        <v>12.237159191829043</v>
      </c>
    </row>
    <row r="295" spans="1:11" x14ac:dyDescent="0.25">
      <c r="A295" s="49">
        <f>'A) Base RI'!A297</f>
        <v>5919</v>
      </c>
      <c r="B295" s="291" t="str">
        <f>'A) Base RI'!B297</f>
        <v>Mathod</v>
      </c>
      <c r="C295" s="95">
        <f>'B) D RI'!U297</f>
        <v>17424.35283843397</v>
      </c>
      <c r="D295" s="416">
        <f>'E) Part. coh. soc.'!G301/C295</f>
        <v>17.092560103144546</v>
      </c>
      <c r="E295" s="136">
        <f>'H) Péréquation directe'!I306/C295</f>
        <v>3.3079144249331263</v>
      </c>
      <c r="F295" s="110">
        <f>+'I) Dépenses thématiques'!O295/'J) Plafonnement effort'!C295</f>
        <v>-5.0611080109477973</v>
      </c>
      <c r="G295" s="136">
        <f t="shared" si="17"/>
        <v>15.339366517129875</v>
      </c>
      <c r="H295" s="417">
        <f>G295-'C) Prél. conj.'!I295</f>
        <v>13.579755110939159</v>
      </c>
      <c r="I295" s="421">
        <f t="shared" si="18"/>
        <v>0</v>
      </c>
      <c r="J295" s="55">
        <f t="shared" si="19"/>
        <v>0</v>
      </c>
      <c r="K295" s="417">
        <f t="shared" si="20"/>
        <v>13.579755110939159</v>
      </c>
    </row>
    <row r="296" spans="1:11" x14ac:dyDescent="0.25">
      <c r="A296" s="49">
        <f>'A) Base RI'!A298</f>
        <v>5921</v>
      </c>
      <c r="B296" s="291" t="str">
        <f>'A) Base RI'!B298</f>
        <v>Molondin</v>
      </c>
      <c r="C296" s="95">
        <f>'B) D RI'!U298</f>
        <v>5647.9358760030909</v>
      </c>
      <c r="D296" s="416">
        <f>'E) Part. coh. soc.'!G302/C296</f>
        <v>19.158266560741161</v>
      </c>
      <c r="E296" s="136">
        <f>'H) Péréquation directe'!I307/C296</f>
        <v>-10.421694466166775</v>
      </c>
      <c r="F296" s="110">
        <f>+'I) Dépenses thématiques'!O296/'J) Plafonnement effort'!C296</f>
        <v>-6.3436441965339219</v>
      </c>
      <c r="G296" s="136">
        <f t="shared" si="17"/>
        <v>2.3929278980404645</v>
      </c>
      <c r="H296" s="417">
        <f>G296-'C) Prél. conj.'!I296</f>
        <v>-1.4323899657468719</v>
      </c>
      <c r="I296" s="421">
        <f t="shared" si="18"/>
        <v>0</v>
      </c>
      <c r="J296" s="55">
        <f t="shared" si="19"/>
        <v>0</v>
      </c>
      <c r="K296" s="417">
        <f t="shared" si="20"/>
        <v>-1.4323899657468719</v>
      </c>
    </row>
    <row r="297" spans="1:11" x14ac:dyDescent="0.25">
      <c r="A297" s="49">
        <f>'A) Base RI'!A299</f>
        <v>5922</v>
      </c>
      <c r="B297" s="291" t="str">
        <f>'A) Base RI'!B299</f>
        <v>Montagny-près-Yverdon</v>
      </c>
      <c r="C297" s="95">
        <f>'B) D RI'!U299</f>
        <v>35984.463355398897</v>
      </c>
      <c r="D297" s="416">
        <f>'E) Part. coh. soc.'!G303/C297</f>
        <v>20.447130458063754</v>
      </c>
      <c r="E297" s="136">
        <f>'H) Péréquation directe'!I308/C297</f>
        <v>17.04080092081125</v>
      </c>
      <c r="F297" s="110">
        <f>+'I) Dépenses thématiques'!O297/'J) Plafonnement effort'!C297</f>
        <v>-5.6777303347120816</v>
      </c>
      <c r="G297" s="136">
        <f t="shared" si="17"/>
        <v>31.810201044162923</v>
      </c>
      <c r="H297" s="417">
        <f>G297-'C) Prél. conj.'!I297</f>
        <v>27.282003738823569</v>
      </c>
      <c r="I297" s="421">
        <f t="shared" si="18"/>
        <v>0</v>
      </c>
      <c r="J297" s="55">
        <f t="shared" si="19"/>
        <v>0</v>
      </c>
      <c r="K297" s="417">
        <f t="shared" si="20"/>
        <v>27.282003738823569</v>
      </c>
    </row>
    <row r="298" spans="1:11" x14ac:dyDescent="0.25">
      <c r="A298" s="49">
        <f>'A) Base RI'!A300</f>
        <v>5923</v>
      </c>
      <c r="B298" s="291" t="str">
        <f>'A) Base RI'!B300</f>
        <v>Oppens</v>
      </c>
      <c r="C298" s="95">
        <f>'B) D RI'!U300</f>
        <v>5389.7298551743424</v>
      </c>
      <c r="D298" s="416">
        <f>'E) Part. coh. soc.'!G304/C298</f>
        <v>17.982643650827921</v>
      </c>
      <c r="E298" s="136">
        <f>'H) Péréquation directe'!I309/C298</f>
        <v>-3.8159512452353752</v>
      </c>
      <c r="F298" s="110">
        <f>+'I) Dépenses thématiques'!O298/'J) Plafonnement effort'!C298</f>
        <v>-5.5254685805097337</v>
      </c>
      <c r="G298" s="136">
        <f t="shared" si="17"/>
        <v>8.6412238250828111</v>
      </c>
      <c r="H298" s="417">
        <f>G298-'C) Prél. conj.'!I298</f>
        <v>5.9915288712087182</v>
      </c>
      <c r="I298" s="421">
        <f t="shared" si="18"/>
        <v>0</v>
      </c>
      <c r="J298" s="55">
        <f t="shared" si="19"/>
        <v>0</v>
      </c>
      <c r="K298" s="417">
        <f t="shared" si="20"/>
        <v>5.9915288712087182</v>
      </c>
    </row>
    <row r="299" spans="1:11" x14ac:dyDescent="0.25">
      <c r="A299" s="49">
        <f>'A) Base RI'!A301</f>
        <v>5924</v>
      </c>
      <c r="B299" s="291" t="str">
        <f>'A) Base RI'!B301</f>
        <v>Orges</v>
      </c>
      <c r="C299" s="95">
        <f>'B) D RI'!U301</f>
        <v>11865.812404035813</v>
      </c>
      <c r="D299" s="416">
        <f>'E) Part. coh. soc.'!G305/C299</f>
        <v>19.359909799402065</v>
      </c>
      <c r="E299" s="136">
        <f>'H) Péréquation directe'!I310/C299</f>
        <v>9.9268224900268205</v>
      </c>
      <c r="F299" s="110">
        <f>+'I) Dépenses thématiques'!O299/'J) Plafonnement effort'!C299</f>
        <v>0</v>
      </c>
      <c r="G299" s="136">
        <f t="shared" si="17"/>
        <v>29.286732289428883</v>
      </c>
      <c r="H299" s="417">
        <f>G299-'C) Prél. conj.'!I299</f>
        <v>25.259771186980647</v>
      </c>
      <c r="I299" s="421">
        <f t="shared" si="18"/>
        <v>0</v>
      </c>
      <c r="J299" s="55">
        <f t="shared" si="19"/>
        <v>0</v>
      </c>
      <c r="K299" s="417">
        <f t="shared" si="20"/>
        <v>25.259771186980647</v>
      </c>
    </row>
    <row r="300" spans="1:11" x14ac:dyDescent="0.25">
      <c r="A300" s="49">
        <f>'A) Base RI'!A302</f>
        <v>5925</v>
      </c>
      <c r="B300" s="291" t="str">
        <f>'A) Base RI'!B302</f>
        <v>Orzens</v>
      </c>
      <c r="C300" s="95">
        <f>'B) D RI'!U302</f>
        <v>5342.7421425482316</v>
      </c>
      <c r="D300" s="416">
        <f>'E) Part. coh. soc.'!G306/C300</f>
        <v>33.181192624091693</v>
      </c>
      <c r="E300" s="136">
        <f>'H) Péréquation directe'!I311/C300</f>
        <v>-4.7302354335835828</v>
      </c>
      <c r="F300" s="110">
        <f>+'I) Dépenses thématiques'!O300/'J) Plafonnement effort'!C300</f>
        <v>-7.8236245516881189</v>
      </c>
      <c r="G300" s="136">
        <f t="shared" si="17"/>
        <v>20.62733263881999</v>
      </c>
      <c r="H300" s="417">
        <f>G300-'C) Prél. conj.'!I300</f>
        <v>2.7790887116821281</v>
      </c>
      <c r="I300" s="421">
        <f t="shared" si="18"/>
        <v>0</v>
      </c>
      <c r="J300" s="55">
        <f t="shared" si="19"/>
        <v>0</v>
      </c>
      <c r="K300" s="417">
        <f t="shared" si="20"/>
        <v>2.7790887116821281</v>
      </c>
    </row>
    <row r="301" spans="1:11" x14ac:dyDescent="0.25">
      <c r="A301" s="49">
        <f>'A) Base RI'!A303</f>
        <v>5926</v>
      </c>
      <c r="B301" s="291" t="str">
        <f>'A) Base RI'!B303</f>
        <v>Pomy</v>
      </c>
      <c r="C301" s="95">
        <f>'B) D RI'!U303</f>
        <v>27482.214843455455</v>
      </c>
      <c r="D301" s="416">
        <f>'E) Part. coh. soc.'!G307/C301</f>
        <v>17.051676254723734</v>
      </c>
      <c r="E301" s="136">
        <f>'H) Péréquation directe'!I312/C301</f>
        <v>9.5083261861671371</v>
      </c>
      <c r="F301" s="110">
        <f>+'I) Dépenses thématiques'!O301/'J) Plafonnement effort'!C301</f>
        <v>-1.2282102579078349</v>
      </c>
      <c r="G301" s="136">
        <f t="shared" si="17"/>
        <v>25.331792182983033</v>
      </c>
      <c r="H301" s="417">
        <f>G301-'C) Prél. conj.'!I301</f>
        <v>23.613064625213131</v>
      </c>
      <c r="I301" s="421">
        <f t="shared" si="18"/>
        <v>0</v>
      </c>
      <c r="J301" s="55">
        <f t="shared" si="19"/>
        <v>0</v>
      </c>
      <c r="K301" s="417">
        <f t="shared" si="20"/>
        <v>23.613064625213131</v>
      </c>
    </row>
    <row r="302" spans="1:11" x14ac:dyDescent="0.25">
      <c r="A302" s="49">
        <f>'A) Base RI'!A304</f>
        <v>5928</v>
      </c>
      <c r="B302" s="291" t="str">
        <f>'A) Base RI'!B304</f>
        <v>Rovray</v>
      </c>
      <c r="C302" s="95">
        <f>'B) D RI'!U304</f>
        <v>6003.0944827326612</v>
      </c>
      <c r="D302" s="416">
        <f>'E) Part. coh. soc.'!G308/C302</f>
        <v>20.113708034084205</v>
      </c>
      <c r="E302" s="136">
        <f>'H) Péréquation directe'!I313/C302</f>
        <v>6.9901731802501699</v>
      </c>
      <c r="F302" s="110">
        <f>+'I) Dépenses thématiques'!O302/'J) Plafonnement effort'!C302</f>
        <v>-0.38699433204398048</v>
      </c>
      <c r="G302" s="136">
        <f t="shared" si="17"/>
        <v>26.716886882290396</v>
      </c>
      <c r="H302" s="417">
        <f>G302-'C) Prél. conj.'!I302</f>
        <v>21.936127545160023</v>
      </c>
      <c r="I302" s="421">
        <f t="shared" si="18"/>
        <v>0</v>
      </c>
      <c r="J302" s="55">
        <f t="shared" si="19"/>
        <v>0</v>
      </c>
      <c r="K302" s="417">
        <f t="shared" si="20"/>
        <v>21.936127545160023</v>
      </c>
    </row>
    <row r="303" spans="1:11" x14ac:dyDescent="0.25">
      <c r="A303" s="49">
        <f>'A) Base RI'!A305</f>
        <v>5929</v>
      </c>
      <c r="B303" s="291" t="str">
        <f>'A) Base RI'!B305</f>
        <v>Suchy</v>
      </c>
      <c r="C303" s="95">
        <f>'B) D RI'!U305</f>
        <v>17215.501466609803</v>
      </c>
      <c r="D303" s="416">
        <f>'E) Part. coh. soc.'!G309/C303</f>
        <v>21.487037220339932</v>
      </c>
      <c r="E303" s="136">
        <f>'H) Péréquation directe'!I314/C303</f>
        <v>0.94508404979489624</v>
      </c>
      <c r="F303" s="110">
        <f>+'I) Dépenses thématiques'!O303/'J) Plafonnement effort'!C303</f>
        <v>-1.5114186191791008</v>
      </c>
      <c r="G303" s="136">
        <f t="shared" si="17"/>
        <v>20.920702650955729</v>
      </c>
      <c r="H303" s="417">
        <f>G303-'C) Prél. conj.'!I303</f>
        <v>14.766614127569625</v>
      </c>
      <c r="I303" s="421">
        <f t="shared" si="18"/>
        <v>0</v>
      </c>
      <c r="J303" s="55">
        <f t="shared" si="19"/>
        <v>0</v>
      </c>
      <c r="K303" s="417">
        <f t="shared" si="20"/>
        <v>14.766614127569625</v>
      </c>
    </row>
    <row r="304" spans="1:11" x14ac:dyDescent="0.25">
      <c r="A304" s="49">
        <f>'A) Base RI'!A306</f>
        <v>5930</v>
      </c>
      <c r="B304" s="291" t="str">
        <f>'A) Base RI'!B306</f>
        <v>Suscévaz</v>
      </c>
      <c r="C304" s="95">
        <f>'B) D RI'!U306</f>
        <v>5858.9969932954782</v>
      </c>
      <c r="D304" s="416">
        <f>'E) Part. coh. soc.'!G310/C304</f>
        <v>15.563483036115569</v>
      </c>
      <c r="E304" s="136">
        <f>'H) Péréquation directe'!I315/C304</f>
        <v>0.95613382764081056</v>
      </c>
      <c r="F304" s="110">
        <f>+'I) Dépenses thématiques'!O304/'J) Plafonnement effort'!C304</f>
        <v>-5.5979474960411979</v>
      </c>
      <c r="G304" s="136">
        <f t="shared" si="17"/>
        <v>10.921669367715182</v>
      </c>
      <c r="H304" s="417">
        <f>G304-'C) Prél. conj.'!I304</f>
        <v>10.691135028553441</v>
      </c>
      <c r="I304" s="421">
        <f t="shared" si="18"/>
        <v>0</v>
      </c>
      <c r="J304" s="55">
        <f t="shared" si="19"/>
        <v>0</v>
      </c>
      <c r="K304" s="417">
        <f t="shared" si="20"/>
        <v>10.691135028553441</v>
      </c>
    </row>
    <row r="305" spans="1:14" x14ac:dyDescent="0.25">
      <c r="A305" s="49">
        <f>'A) Base RI'!A307</f>
        <v>5931</v>
      </c>
      <c r="B305" s="291" t="str">
        <f>'A) Base RI'!B307</f>
        <v>Treycovagnes</v>
      </c>
      <c r="C305" s="95">
        <f>'B) D RI'!U307</f>
        <v>12172.811234031555</v>
      </c>
      <c r="D305" s="416">
        <f>'E) Part. coh. soc.'!G311/C305</f>
        <v>17.214704238842209</v>
      </c>
      <c r="E305" s="136">
        <f>'H) Péréquation directe'!I316/C305</f>
        <v>-4.512283319242572</v>
      </c>
      <c r="F305" s="110">
        <f>+'I) Dépenses thématiques'!O305/'J) Plafonnement effort'!C305</f>
        <v>-0.54869306511337212</v>
      </c>
      <c r="G305" s="136">
        <f t="shared" si="17"/>
        <v>12.153727854486265</v>
      </c>
      <c r="H305" s="417">
        <f>G305-'C) Prél. conj.'!I305</f>
        <v>10.271972312597885</v>
      </c>
      <c r="I305" s="421">
        <f t="shared" si="18"/>
        <v>0</v>
      </c>
      <c r="J305" s="55">
        <f t="shared" si="19"/>
        <v>0</v>
      </c>
      <c r="K305" s="417">
        <f t="shared" si="20"/>
        <v>10.271972312597885</v>
      </c>
    </row>
    <row r="306" spans="1:14" x14ac:dyDescent="0.25">
      <c r="A306" s="49">
        <f>'A) Base RI'!A308</f>
        <v>5932</v>
      </c>
      <c r="B306" s="291" t="str">
        <f>'A) Base RI'!B308</f>
        <v>Ursins</v>
      </c>
      <c r="C306" s="95">
        <f>'B) D RI'!U308</f>
        <v>8276.7755150217381</v>
      </c>
      <c r="D306" s="416">
        <f>'E) Part. coh. soc.'!G312/C306</f>
        <v>18.143448384637928</v>
      </c>
      <c r="E306" s="136">
        <f>'H) Péréquation directe'!I317/C306</f>
        <v>10.369389138143251</v>
      </c>
      <c r="F306" s="110">
        <f>+'I) Dépenses thématiques'!O306/'J) Plafonnement effort'!C306</f>
        <v>-1.322426003011862</v>
      </c>
      <c r="G306" s="136">
        <f t="shared" si="17"/>
        <v>27.190411519769317</v>
      </c>
      <c r="H306" s="417">
        <f>G306-'C) Prél. conj.'!I306</f>
        <v>24.379911832085217</v>
      </c>
      <c r="I306" s="421">
        <f t="shared" si="18"/>
        <v>0</v>
      </c>
      <c r="J306" s="55">
        <f t="shared" si="19"/>
        <v>0</v>
      </c>
      <c r="K306" s="417">
        <f t="shared" si="20"/>
        <v>24.379911832085217</v>
      </c>
    </row>
    <row r="307" spans="1:14" x14ac:dyDescent="0.25">
      <c r="A307" s="49">
        <f>'A) Base RI'!A309</f>
        <v>5933</v>
      </c>
      <c r="B307" s="291" t="str">
        <f>'A) Base RI'!B309</f>
        <v>Valeyres-sous-Montagny</v>
      </c>
      <c r="C307" s="95">
        <f>'B) D RI'!U309</f>
        <v>22088.929559782136</v>
      </c>
      <c r="D307" s="416">
        <f>'E) Part. coh. soc.'!G313/C307</f>
        <v>18.433726614445433</v>
      </c>
      <c r="E307" s="136">
        <f>'H) Péréquation directe'!I318/C307</f>
        <v>5.8631876616560463</v>
      </c>
      <c r="F307" s="110">
        <f>+'I) Dépenses thématiques'!O307/'J) Plafonnement effort'!C307</f>
        <v>-5.1172562904818859</v>
      </c>
      <c r="G307" s="136">
        <f t="shared" si="17"/>
        <v>19.179657985619592</v>
      </c>
      <c r="H307" s="417">
        <f>G307-'C) Prél. conj.'!I307</f>
        <v>16.078880068127987</v>
      </c>
      <c r="I307" s="421">
        <f t="shared" si="18"/>
        <v>0</v>
      </c>
      <c r="J307" s="55">
        <f t="shared" si="19"/>
        <v>0</v>
      </c>
      <c r="K307" s="417">
        <f t="shared" si="20"/>
        <v>16.078880068127987</v>
      </c>
    </row>
    <row r="308" spans="1:14" x14ac:dyDescent="0.25">
      <c r="A308" s="49">
        <f>'A) Base RI'!A310</f>
        <v>5934</v>
      </c>
      <c r="B308" s="291" t="str">
        <f>'A) Base RI'!B310</f>
        <v>Valeyres-sous-Ursins</v>
      </c>
      <c r="C308" s="95">
        <f>'B) D RI'!U310</f>
        <v>7547.3165822784813</v>
      </c>
      <c r="D308" s="416">
        <f>'E) Part. coh. soc.'!G314/C308</f>
        <v>17.818491047734181</v>
      </c>
      <c r="E308" s="136">
        <f>'H) Péréquation directe'!I319/C308</f>
        <v>6.4188083388263282</v>
      </c>
      <c r="F308" s="110">
        <f>+'I) Dépenses thématiques'!O308/'J) Plafonnement effort'!C308</f>
        <v>-19.327998231880404</v>
      </c>
      <c r="G308" s="136">
        <f t="shared" si="17"/>
        <v>4.9093011546801044</v>
      </c>
      <c r="H308" s="417">
        <f>G308-'C) Prél. conj.'!I308</f>
        <v>2.4237588038997506</v>
      </c>
      <c r="I308" s="421">
        <f t="shared" si="18"/>
        <v>0</v>
      </c>
      <c r="J308" s="55">
        <f t="shared" si="19"/>
        <v>0</v>
      </c>
      <c r="K308" s="417">
        <f t="shared" si="20"/>
        <v>2.4237588038997506</v>
      </c>
    </row>
    <row r="309" spans="1:14" x14ac:dyDescent="0.25">
      <c r="A309" s="49">
        <f>'A) Base RI'!A311</f>
        <v>5935</v>
      </c>
      <c r="B309" s="291" t="str">
        <f>'A) Base RI'!B311</f>
        <v>Villars-Epeney</v>
      </c>
      <c r="C309" s="95">
        <f>'B) D RI'!U311</f>
        <v>4852.8368333333328</v>
      </c>
      <c r="D309" s="416">
        <f>'E) Part. coh. soc.'!G315/C309</f>
        <v>15.84385092273509</v>
      </c>
      <c r="E309" s="136">
        <f>'H) Péréquation directe'!I320/C309</f>
        <v>17.008178303919674</v>
      </c>
      <c r="F309" s="110">
        <f>+'I) Dépenses thématiques'!O309/'J) Plafonnement effort'!C309</f>
        <v>-0.43004083650118086</v>
      </c>
      <c r="G309" s="136">
        <f t="shared" si="17"/>
        <v>32.421988390153587</v>
      </c>
      <c r="H309" s="417">
        <f>G309-'C) Prél. conj.'!I309</f>
        <v>32.308652619986717</v>
      </c>
      <c r="I309" s="421">
        <f t="shared" si="18"/>
        <v>0</v>
      </c>
      <c r="J309" s="55">
        <f t="shared" si="19"/>
        <v>0</v>
      </c>
      <c r="K309" s="417">
        <f t="shared" si="20"/>
        <v>32.308652619986717</v>
      </c>
    </row>
    <row r="310" spans="1:14" x14ac:dyDescent="0.25">
      <c r="A310" s="49">
        <f>'A) Base RI'!A312</f>
        <v>5937</v>
      </c>
      <c r="B310" s="291" t="str">
        <f>'A) Base RI'!B312</f>
        <v>Vugelles-La Mothe</v>
      </c>
      <c r="C310" s="95">
        <f>'B) D RI'!U312</f>
        <v>3013.5893429156713</v>
      </c>
      <c r="D310" s="416">
        <f>'E) Part. coh. soc.'!G316/C310</f>
        <v>21.049074233598333</v>
      </c>
      <c r="E310" s="136">
        <f>'H) Péréquation directe'!I321/C310</f>
        <v>-6.5000697922624742</v>
      </c>
      <c r="F310" s="110">
        <f>+'I) Dépenses thématiques'!O310/'J) Plafonnement effort'!C310</f>
        <v>-9.7309744763675656</v>
      </c>
      <c r="G310" s="136">
        <f t="shared" si="17"/>
        <v>4.8180299649682929</v>
      </c>
      <c r="H310" s="417">
        <f>G310-'C) Prél. conj.'!I310</f>
        <v>-0.8980955716762109</v>
      </c>
      <c r="I310" s="421">
        <f t="shared" si="18"/>
        <v>0</v>
      </c>
      <c r="J310" s="55">
        <f t="shared" si="19"/>
        <v>0</v>
      </c>
      <c r="K310" s="417">
        <f t="shared" si="20"/>
        <v>-0.8980955716762109</v>
      </c>
    </row>
    <row r="311" spans="1:14" x14ac:dyDescent="0.25">
      <c r="A311" s="49">
        <f>'A) Base RI'!A313</f>
        <v>5938</v>
      </c>
      <c r="B311" s="291" t="str">
        <f>'A) Base RI'!B313</f>
        <v>Yverdon-les-Bains</v>
      </c>
      <c r="C311" s="95">
        <f>'B) D RI'!U313</f>
        <v>781659.36856013921</v>
      </c>
      <c r="D311" s="416">
        <f>'E) Part. coh. soc.'!G317/C311</f>
        <v>19.412491178321346</v>
      </c>
      <c r="E311" s="136">
        <f>'H) Péréquation directe'!I322/C311</f>
        <v>-31.370627048990304</v>
      </c>
      <c r="F311" s="110">
        <f>+'I) Dépenses thématiques'!O311/'J) Plafonnement effort'!C311</f>
        <v>-12.459770160268816</v>
      </c>
      <c r="G311" s="136">
        <f t="shared" si="17"/>
        <v>-24.417906030937772</v>
      </c>
      <c r="H311" s="417">
        <f>G311-'C) Prél. conj.'!I311</f>
        <v>-28.497448512305294</v>
      </c>
      <c r="I311" s="421">
        <f t="shared" si="18"/>
        <v>0</v>
      </c>
      <c r="J311" s="55">
        <f t="shared" si="19"/>
        <v>0</v>
      </c>
      <c r="K311" s="417">
        <f t="shared" si="20"/>
        <v>-28.497448512305294</v>
      </c>
    </row>
    <row r="312" spans="1:14" x14ac:dyDescent="0.25">
      <c r="A312" s="49">
        <f>'A) Base RI'!A314</f>
        <v>5939</v>
      </c>
      <c r="B312" s="291" t="str">
        <f>'A) Base RI'!B314</f>
        <v>Yvonand</v>
      </c>
      <c r="C312" s="95">
        <f>'B) D RI'!U314</f>
        <v>95019.586686348848</v>
      </c>
      <c r="D312" s="416">
        <f>'E) Part. coh. soc.'!G318/C312</f>
        <v>22.219891987499782</v>
      </c>
      <c r="E312" s="136">
        <f>'H) Péréquation directe'!I323/C312</f>
        <v>-5.3111184037802026</v>
      </c>
      <c r="F312" s="110">
        <f>+'I) Dépenses thématiques'!O312/'J) Plafonnement effort'!C312</f>
        <v>-3.4797295857746202</v>
      </c>
      <c r="G312" s="136">
        <f t="shared" si="17"/>
        <v>13.429043997944959</v>
      </c>
      <c r="H312" s="417">
        <f>G312-'C) Prél. conj.'!I312</f>
        <v>6.542100707399003</v>
      </c>
      <c r="I312" s="421">
        <f t="shared" si="18"/>
        <v>0</v>
      </c>
      <c r="J312" s="55">
        <f t="shared" si="19"/>
        <v>0</v>
      </c>
      <c r="K312" s="417">
        <f t="shared" si="20"/>
        <v>6.542100707399003</v>
      </c>
    </row>
    <row r="313" spans="1:14" x14ac:dyDescent="0.25">
      <c r="A313" s="30"/>
      <c r="B313" s="297">
        <f>COUNTA(B5:B312)</f>
        <v>308</v>
      </c>
      <c r="C313" s="97">
        <f>SUM(C5:C312)</f>
        <v>37080520.101833388</v>
      </c>
      <c r="D313" s="109">
        <f>('E) Part. coh. soc.'!G319-'E) Part. coh. soc.'!D319)/C313</f>
        <v>18.357604418454283</v>
      </c>
      <c r="E313" s="109">
        <f>'H) Péréquation directe'!I324/C313</f>
        <v>4.571283823561946</v>
      </c>
      <c r="F313" s="303">
        <f>'I) Dépenses thématiques'!P313</f>
        <v>-4.4999999999999982</v>
      </c>
      <c r="G313" s="109">
        <f>SUM(D313:F313)</f>
        <v>18.428888242016228</v>
      </c>
      <c r="H313" s="409">
        <f>G313-('C) Prél. conj.'!H313/'J) Plafonnement effort'!C313)</f>
        <v>14.783778087983704</v>
      </c>
      <c r="I313" s="304"/>
      <c r="J313" s="37">
        <f>SUM(J5:J312)</f>
        <v>-5282608.3306493629</v>
      </c>
      <c r="K313" s="19">
        <f>G313+I313</f>
        <v>18.428888242016228</v>
      </c>
      <c r="M313" s="12"/>
      <c r="N313" s="12"/>
    </row>
    <row r="315" spans="1:14" x14ac:dyDescent="0.25">
      <c r="H315" s="450"/>
    </row>
    <row r="317" spans="1:14" x14ac:dyDescent="0.25">
      <c r="G317" s="28"/>
      <c r="H317" s="412"/>
      <c r="I317" s="28"/>
      <c r="J317" s="28"/>
    </row>
    <row r="319" spans="1:14" x14ac:dyDescent="0.25">
      <c r="J319" s="28"/>
    </row>
  </sheetData>
  <mergeCells count="10">
    <mergeCell ref="C3:C4"/>
    <mergeCell ref="B3:B4"/>
    <mergeCell ref="A3:A4"/>
    <mergeCell ref="K3:K4"/>
    <mergeCell ref="J3:J4"/>
    <mergeCell ref="G3:G4"/>
    <mergeCell ref="F3:F4"/>
    <mergeCell ref="E3:E4"/>
    <mergeCell ref="D3:D4"/>
    <mergeCell ref="H3:H4"/>
  </mergeCells>
  <phoneticPr fontId="0" type="noConversion"/>
  <printOptions horizontalCentered="1"/>
  <pageMargins left="0" right="0" top="0" bottom="0" header="0.51181102362204722" footer="0.51181102362204722"/>
  <pageSetup paperSize="9" scale="64" orientation="portrait" horizontalDpi="4294967292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4">
    <tabColor rgb="FF00B050"/>
  </sheetPr>
  <dimension ref="A1:Y315"/>
  <sheetViews>
    <sheetView workbookViewId="0">
      <pane ySplit="4" topLeftCell="A5" activePane="bottomLeft" state="frozen"/>
      <selection pane="bottomLeft"/>
    </sheetView>
  </sheetViews>
  <sheetFormatPr baseColWidth="10" defaultColWidth="10.75" defaultRowHeight="15" x14ac:dyDescent="0.25"/>
  <cols>
    <col min="1" max="1" width="7.25" style="13" customWidth="1"/>
    <col min="2" max="2" width="18" style="13" customWidth="1"/>
    <col min="3" max="3" width="9.25" style="13" customWidth="1"/>
    <col min="4" max="4" width="13.25" style="13" customWidth="1"/>
    <col min="5" max="5" width="11.625" style="13" customWidth="1"/>
    <col min="6" max="6" width="11" style="13" customWidth="1"/>
    <col min="7" max="7" width="10.375" style="13" customWidth="1"/>
    <col min="8" max="8" width="12.25" style="13" customWidth="1"/>
    <col min="9" max="9" width="10" style="13" customWidth="1"/>
    <col min="10" max="10" width="12.875" style="13" customWidth="1"/>
    <col min="11" max="14" width="12.125" style="13" customWidth="1"/>
    <col min="15" max="17" width="8.125" style="13" customWidth="1"/>
    <col min="18" max="16384" width="10.75" style="13"/>
  </cols>
  <sheetData>
    <row r="1" spans="1:25" s="43" customFormat="1" ht="20.25" customHeight="1" x14ac:dyDescent="0.25">
      <c r="A1" s="51" t="s">
        <v>0</v>
      </c>
      <c r="B1" s="42"/>
      <c r="C1" s="68"/>
      <c r="D1" s="68"/>
      <c r="E1" s="68"/>
      <c r="F1" s="68"/>
      <c r="G1" s="68"/>
      <c r="H1" s="68"/>
      <c r="I1" s="68"/>
      <c r="J1" s="68"/>
      <c r="L1" s="56"/>
      <c r="N1" s="13"/>
      <c r="O1" s="13"/>
      <c r="P1" s="13"/>
      <c r="Q1" s="13"/>
      <c r="R1" s="13"/>
      <c r="Y1" s="13"/>
    </row>
    <row r="3" spans="1:25" ht="45" customHeight="1" x14ac:dyDescent="0.25">
      <c r="A3" s="492" t="s">
        <v>46</v>
      </c>
      <c r="B3" s="492" t="s">
        <v>95</v>
      </c>
      <c r="C3" s="492" t="s">
        <v>369</v>
      </c>
      <c r="D3" s="492" t="s">
        <v>566</v>
      </c>
      <c r="E3" s="492" t="s">
        <v>327</v>
      </c>
      <c r="F3" s="492" t="s">
        <v>367</v>
      </c>
      <c r="G3" s="492" t="s">
        <v>368</v>
      </c>
      <c r="H3" s="492" t="s">
        <v>409</v>
      </c>
      <c r="I3" s="112" t="s">
        <v>145</v>
      </c>
      <c r="J3" s="492" t="s">
        <v>454</v>
      </c>
    </row>
    <row r="4" spans="1:25" x14ac:dyDescent="0.25">
      <c r="A4" s="493"/>
      <c r="B4" s="494"/>
      <c r="C4" s="493"/>
      <c r="D4" s="494"/>
      <c r="E4" s="493"/>
      <c r="F4" s="494"/>
      <c r="G4" s="493"/>
      <c r="H4" s="494"/>
      <c r="I4" s="384">
        <f>Paramètres!B48</f>
        <v>-8</v>
      </c>
      <c r="J4" s="493"/>
    </row>
    <row r="5" spans="1:25" x14ac:dyDescent="0.25">
      <c r="A5" s="46">
        <f>'A) Base RI'!A7</f>
        <v>5401</v>
      </c>
      <c r="B5" s="291" t="str">
        <f>'A) Base RI'!B7</f>
        <v>Aigle</v>
      </c>
      <c r="C5" s="94">
        <f>'B) D RI'!U7</f>
        <v>273757.05287947325</v>
      </c>
      <c r="D5" s="110">
        <f>'E) Part. coh. soc.'!G11/C5</f>
        <v>19.457509555289487</v>
      </c>
      <c r="E5" s="135">
        <f>'H) Péréquation directe'!I16/C5</f>
        <v>-12.555065044134546</v>
      </c>
      <c r="F5" s="110">
        <f>+'I) Dépenses thématiques'!O5/'K) Plafonnement aide'!C5</f>
        <v>-10.638600391421084</v>
      </c>
      <c r="G5" s="135">
        <f>SUM(D5:F5)</f>
        <v>-3.7361558802661428</v>
      </c>
      <c r="H5" s="110">
        <f>G5-F5</f>
        <v>6.9024445111549415</v>
      </c>
      <c r="I5" s="135">
        <f>IF(H5&lt;I$4,H5-I$4,0)</f>
        <v>0</v>
      </c>
      <c r="J5" s="100">
        <f t="shared" ref="J5" si="0">-I5*C5</f>
        <v>0</v>
      </c>
      <c r="K5" s="36"/>
    </row>
    <row r="6" spans="1:25" x14ac:dyDescent="0.25">
      <c r="A6" s="49">
        <f>'A) Base RI'!A8</f>
        <v>5402</v>
      </c>
      <c r="B6" s="291" t="str">
        <f>'A) Base RI'!B8</f>
        <v>Bex</v>
      </c>
      <c r="C6" s="95">
        <f>'B) D RI'!U8</f>
        <v>185201.4300069781</v>
      </c>
      <c r="D6" s="110">
        <f>'E) Part. coh. soc.'!G12/C6</f>
        <v>18.759832846693314</v>
      </c>
      <c r="E6" s="136">
        <f>'H) Péréquation directe'!I17/C6</f>
        <v>-18.594640497294087</v>
      </c>
      <c r="F6" s="110">
        <f>+'I) Dépenses thématiques'!O6/'K) Plafonnement aide'!C6</f>
        <v>-10.152194176724699</v>
      </c>
      <c r="G6" s="136">
        <f t="shared" ref="G6:G68" si="1">SUM(D6:F6)</f>
        <v>-9.9870018273254715</v>
      </c>
      <c r="H6" s="110">
        <f t="shared" ref="H6:H68" si="2">G6-F6</f>
        <v>0.16519234939922711</v>
      </c>
      <c r="I6" s="136">
        <f t="shared" ref="I6:I68" si="3">IF(H6&lt;I$4,H6-I$4,0)</f>
        <v>0</v>
      </c>
      <c r="J6" s="55">
        <f t="shared" ref="J6:J68" si="4">-I6*C6</f>
        <v>0</v>
      </c>
      <c r="K6" s="36"/>
    </row>
    <row r="7" spans="1:25" x14ac:dyDescent="0.25">
      <c r="A7" s="49">
        <f>'A) Base RI'!A9</f>
        <v>5403</v>
      </c>
      <c r="B7" s="291" t="str">
        <f>'A) Base RI'!B9</f>
        <v>Chessel</v>
      </c>
      <c r="C7" s="95">
        <f>'B) D RI'!U9</f>
        <v>10689.780666211695</v>
      </c>
      <c r="D7" s="110">
        <f>'E) Part. coh. soc.'!G13/C7</f>
        <v>19.994836209530888</v>
      </c>
      <c r="E7" s="136">
        <f>'H) Péréquation directe'!I18/C7</f>
        <v>-3.6862311113273587</v>
      </c>
      <c r="F7" s="110">
        <f>+'I) Dépenses thématiques'!O7/'K) Plafonnement aide'!C7</f>
        <v>-4.3888223788272605</v>
      </c>
      <c r="G7" s="136">
        <f t="shared" si="1"/>
        <v>11.919782719376268</v>
      </c>
      <c r="H7" s="110">
        <f t="shared" si="2"/>
        <v>16.308605098203529</v>
      </c>
      <c r="I7" s="136">
        <f t="shared" si="3"/>
        <v>0</v>
      </c>
      <c r="J7" s="55">
        <f t="shared" si="4"/>
        <v>0</v>
      </c>
      <c r="K7" s="36"/>
    </row>
    <row r="8" spans="1:25" x14ac:dyDescent="0.25">
      <c r="A8" s="49">
        <f>'A) Base RI'!A10</f>
        <v>5404</v>
      </c>
      <c r="B8" s="291" t="str">
        <f>'A) Base RI'!B10</f>
        <v>Corbeyrier</v>
      </c>
      <c r="C8" s="95">
        <f>'B) D RI'!U10</f>
        <v>14591.74084015964</v>
      </c>
      <c r="D8" s="110">
        <f>'E) Part. coh. soc.'!G14/C8</f>
        <v>21.872406945648716</v>
      </c>
      <c r="E8" s="136">
        <f>'H) Péréquation directe'!I19/C8</f>
        <v>7.7212359997575577</v>
      </c>
      <c r="F8" s="110">
        <f>+'I) Dépenses thématiques'!O8/'K) Plafonnement aide'!C8</f>
        <v>-9.3178347626003521</v>
      </c>
      <c r="G8" s="136">
        <f t="shared" si="1"/>
        <v>20.275808182805921</v>
      </c>
      <c r="H8" s="110">
        <f t="shared" si="2"/>
        <v>29.593642945406273</v>
      </c>
      <c r="I8" s="136">
        <f t="shared" si="3"/>
        <v>0</v>
      </c>
      <c r="J8" s="55">
        <f t="shared" si="4"/>
        <v>0</v>
      </c>
      <c r="K8" s="36"/>
    </row>
    <row r="9" spans="1:25" x14ac:dyDescent="0.25">
      <c r="A9" s="49">
        <f>'A) Base RI'!A11</f>
        <v>5405</v>
      </c>
      <c r="B9" s="291" t="str">
        <f>'A) Base RI'!B11</f>
        <v>Gryon</v>
      </c>
      <c r="C9" s="95">
        <f>'B) D RI'!U11</f>
        <v>65629.125271315643</v>
      </c>
      <c r="D9" s="110">
        <f>'E) Part. coh. soc.'!G15/C9</f>
        <v>20.946020546953228</v>
      </c>
      <c r="E9" s="136">
        <f>'H) Péréquation directe'!I20/C9</f>
        <v>15.874641649565081</v>
      </c>
      <c r="F9" s="110">
        <f>+'I) Dépenses thématiques'!O9/'K) Plafonnement aide'!C9</f>
        <v>-15.479818245137063</v>
      </c>
      <c r="G9" s="136">
        <f t="shared" si="1"/>
        <v>21.340843951381252</v>
      </c>
      <c r="H9" s="110">
        <f t="shared" si="2"/>
        <v>36.820662196518313</v>
      </c>
      <c r="I9" s="136">
        <f t="shared" si="3"/>
        <v>0</v>
      </c>
      <c r="J9" s="55">
        <f t="shared" si="4"/>
        <v>0</v>
      </c>
      <c r="K9" s="36"/>
    </row>
    <row r="10" spans="1:25" x14ac:dyDescent="0.25">
      <c r="A10" s="49">
        <f>'A) Base RI'!A12</f>
        <v>5406</v>
      </c>
      <c r="B10" s="291" t="str">
        <f>'A) Base RI'!B12</f>
        <v>Lavey-Morcles</v>
      </c>
      <c r="C10" s="95">
        <f>'B) D RI'!U12</f>
        <v>24629.026648333398</v>
      </c>
      <c r="D10" s="110">
        <f>'E) Part. coh. soc.'!G16/C10</f>
        <v>16.20161680574601</v>
      </c>
      <c r="E10" s="136">
        <f>'H) Péréquation directe'!I21/C10</f>
        <v>0.19383714438002139</v>
      </c>
      <c r="F10" s="110">
        <f>+'I) Dépenses thématiques'!O10/'K) Plafonnement aide'!C10</f>
        <v>-4.641394216487055</v>
      </c>
      <c r="G10" s="136">
        <f t="shared" si="1"/>
        <v>11.754059733638979</v>
      </c>
      <c r="H10" s="110">
        <f t="shared" si="2"/>
        <v>16.395453950126033</v>
      </c>
      <c r="I10" s="136">
        <f t="shared" si="3"/>
        <v>0</v>
      </c>
      <c r="J10" s="55">
        <f t="shared" si="4"/>
        <v>0</v>
      </c>
      <c r="K10" s="36"/>
    </row>
    <row r="11" spans="1:25" x14ac:dyDescent="0.25">
      <c r="A11" s="49">
        <f>'A) Base RI'!A13</f>
        <v>5407</v>
      </c>
      <c r="B11" s="291" t="str">
        <f>'A) Base RI'!B13</f>
        <v>Leysin</v>
      </c>
      <c r="C11" s="95">
        <f>'B) D RI'!U13</f>
        <v>88989.44860843374</v>
      </c>
      <c r="D11" s="110">
        <f>'E) Part. coh. soc.'!G17/C11</f>
        <v>19.822737781478331</v>
      </c>
      <c r="E11" s="136">
        <f>'H) Péréquation directe'!I22/C11</f>
        <v>-16.916768578414448</v>
      </c>
      <c r="F11" s="110">
        <f>+'I) Dépenses thématiques'!O11/'K) Plafonnement aide'!C11</f>
        <v>-23.607733968381545</v>
      </c>
      <c r="G11" s="136">
        <f t="shared" si="1"/>
        <v>-20.701764765317662</v>
      </c>
      <c r="H11" s="110">
        <f t="shared" si="2"/>
        <v>2.9059692030638828</v>
      </c>
      <c r="I11" s="136">
        <f t="shared" si="3"/>
        <v>0</v>
      </c>
      <c r="J11" s="55">
        <f t="shared" si="4"/>
        <v>0</v>
      </c>
      <c r="K11" s="36"/>
      <c r="L11" s="28"/>
    </row>
    <row r="12" spans="1:25" x14ac:dyDescent="0.25">
      <c r="A12" s="49">
        <f>'A) Base RI'!A14</f>
        <v>5408</v>
      </c>
      <c r="B12" s="291" t="str">
        <f>'A) Base RI'!B14</f>
        <v>Noville</v>
      </c>
      <c r="C12" s="95">
        <f>'B) D RI'!U14</f>
        <v>28270.539787685771</v>
      </c>
      <c r="D12" s="110">
        <f>'E) Part. coh. soc.'!G18/C12</f>
        <v>27.802925133468779</v>
      </c>
      <c r="E12" s="136">
        <f>'H) Péréquation directe'!I23/C12</f>
        <v>-8.7435461928913583</v>
      </c>
      <c r="F12" s="110">
        <f>+'I) Dépenses thématiques'!O12/'K) Plafonnement aide'!C12</f>
        <v>-9.6468683397059856</v>
      </c>
      <c r="G12" s="136">
        <f t="shared" si="1"/>
        <v>9.4125106008714354</v>
      </c>
      <c r="H12" s="110">
        <f t="shared" si="2"/>
        <v>19.059378940577421</v>
      </c>
      <c r="I12" s="136">
        <f t="shared" si="3"/>
        <v>0</v>
      </c>
      <c r="J12" s="55">
        <f t="shared" si="4"/>
        <v>0</v>
      </c>
      <c r="K12" s="36"/>
    </row>
    <row r="13" spans="1:25" x14ac:dyDescent="0.25">
      <c r="A13" s="49">
        <f>'A) Base RI'!A15</f>
        <v>5409</v>
      </c>
      <c r="B13" s="291" t="str">
        <f>'A) Base RI'!B15</f>
        <v>Ollon</v>
      </c>
      <c r="C13" s="95">
        <f>'B) D RI'!U15</f>
        <v>398078.90791518224</v>
      </c>
      <c r="D13" s="110">
        <f>'E) Part. coh. soc.'!G19/C13</f>
        <v>20.985144836027246</v>
      </c>
      <c r="E13" s="136">
        <f>'H) Péréquation directe'!I24/C13</f>
        <v>11.163203704472968</v>
      </c>
      <c r="F13" s="110">
        <f>+'I) Dépenses thématiques'!O13/'K) Plafonnement aide'!C13</f>
        <v>-5.7968862936476864</v>
      </c>
      <c r="G13" s="136">
        <f t="shared" si="1"/>
        <v>26.351462246852527</v>
      </c>
      <c r="H13" s="110">
        <f t="shared" si="2"/>
        <v>32.148348540500216</v>
      </c>
      <c r="I13" s="136">
        <f t="shared" si="3"/>
        <v>0</v>
      </c>
      <c r="J13" s="55">
        <f t="shared" si="4"/>
        <v>0</v>
      </c>
      <c r="K13" s="36"/>
    </row>
    <row r="14" spans="1:25" x14ac:dyDescent="0.25">
      <c r="A14" s="49">
        <f>'A) Base RI'!A16</f>
        <v>5410</v>
      </c>
      <c r="B14" s="291" t="str">
        <f>'A) Base RI'!B16</f>
        <v>Ormont-Dessous</v>
      </c>
      <c r="C14" s="95">
        <f>'B) D RI'!U16</f>
        <v>38209.218513800428</v>
      </c>
      <c r="D14" s="110">
        <f>'E) Part. coh. soc.'!G20/C14</f>
        <v>20.16582992778309</v>
      </c>
      <c r="E14" s="136">
        <f>'H) Péréquation directe'!I25/C14</f>
        <v>5.9712509290205675</v>
      </c>
      <c r="F14" s="110">
        <f>+'I) Dépenses thématiques'!O14/'K) Plafonnement aide'!C14</f>
        <v>-25.291166910925426</v>
      </c>
      <c r="G14" s="136">
        <f t="shared" si="1"/>
        <v>0.84591394587823032</v>
      </c>
      <c r="H14" s="110">
        <f t="shared" si="2"/>
        <v>26.137080856803657</v>
      </c>
      <c r="I14" s="136">
        <f t="shared" si="3"/>
        <v>0</v>
      </c>
      <c r="J14" s="55">
        <f t="shared" si="4"/>
        <v>0</v>
      </c>
      <c r="K14" s="36"/>
    </row>
    <row r="15" spans="1:25" x14ac:dyDescent="0.25">
      <c r="A15" s="49">
        <f>'A) Base RI'!A17</f>
        <v>5411</v>
      </c>
      <c r="B15" s="291" t="str">
        <f>'A) Base RI'!B17</f>
        <v>Ormont-Dessus</v>
      </c>
      <c r="C15" s="95">
        <f>'B) D RI'!U17</f>
        <v>73074.251809839989</v>
      </c>
      <c r="D15" s="110">
        <f>'E) Part. coh. soc.'!G21/C15</f>
        <v>21.688028704871986</v>
      </c>
      <c r="E15" s="136">
        <f>'H) Péréquation directe'!I26/C15</f>
        <v>15.840366206668632</v>
      </c>
      <c r="F15" s="110">
        <f>+'I) Dépenses thématiques'!O15/'K) Plafonnement aide'!C15</f>
        <v>-12.370061002090829</v>
      </c>
      <c r="G15" s="136">
        <f t="shared" si="1"/>
        <v>25.158333909449787</v>
      </c>
      <c r="H15" s="110">
        <f t="shared" si="2"/>
        <v>37.528394911540616</v>
      </c>
      <c r="I15" s="136">
        <f t="shared" si="3"/>
        <v>0</v>
      </c>
      <c r="J15" s="55">
        <f t="shared" si="4"/>
        <v>0</v>
      </c>
      <c r="K15" s="36"/>
    </row>
    <row r="16" spans="1:25" x14ac:dyDescent="0.25">
      <c r="A16" s="49">
        <f>'A) Base RI'!A18</f>
        <v>5412</v>
      </c>
      <c r="B16" s="291" t="str">
        <f>'A) Base RI'!B18</f>
        <v>Rennaz</v>
      </c>
      <c r="C16" s="95">
        <f>'B) D RI'!U18</f>
        <v>23813.904160849284</v>
      </c>
      <c r="D16" s="110">
        <f>'E) Part. coh. soc.'!G22/C16</f>
        <v>17.807711113142968</v>
      </c>
      <c r="E16" s="136">
        <f>'H) Péréquation directe'!I27/C16</f>
        <v>2.7762316600961796</v>
      </c>
      <c r="F16" s="110">
        <f>+'I) Dépenses thématiques'!O16/'K) Plafonnement aide'!C16</f>
        <v>-3.6999080714195038</v>
      </c>
      <c r="G16" s="136">
        <f t="shared" si="1"/>
        <v>16.884034701819644</v>
      </c>
      <c r="H16" s="110">
        <f t="shared" si="2"/>
        <v>20.583942773239148</v>
      </c>
      <c r="I16" s="136">
        <f t="shared" si="3"/>
        <v>0</v>
      </c>
      <c r="J16" s="55">
        <f t="shared" si="4"/>
        <v>0</v>
      </c>
      <c r="K16" s="36"/>
    </row>
    <row r="17" spans="1:11" x14ac:dyDescent="0.25">
      <c r="A17" s="49">
        <f>'A) Base RI'!A19</f>
        <v>5413</v>
      </c>
      <c r="B17" s="291" t="str">
        <f>'A) Base RI'!B19</f>
        <v>Roche</v>
      </c>
      <c r="C17" s="95">
        <f>'B) D RI'!U19</f>
        <v>44639.413526237746</v>
      </c>
      <c r="D17" s="110">
        <f>'E) Part. coh. soc.'!G23/C17</f>
        <v>21.393089806132952</v>
      </c>
      <c r="E17" s="136">
        <f>'H) Péréquation directe'!I28/C17</f>
        <v>-5.7713702711140638</v>
      </c>
      <c r="F17" s="110">
        <f>+'I) Dépenses thématiques'!O17/'K) Plafonnement aide'!C17</f>
        <v>0</v>
      </c>
      <c r="G17" s="136">
        <f t="shared" si="1"/>
        <v>15.621719535018888</v>
      </c>
      <c r="H17" s="110">
        <f t="shared" si="2"/>
        <v>15.621719535018888</v>
      </c>
      <c r="I17" s="136">
        <f t="shared" si="3"/>
        <v>0</v>
      </c>
      <c r="J17" s="55">
        <f t="shared" si="4"/>
        <v>0</v>
      </c>
      <c r="K17" s="36"/>
    </row>
    <row r="18" spans="1:11" x14ac:dyDescent="0.25">
      <c r="A18" s="49">
        <f>'A) Base RI'!A20</f>
        <v>5414</v>
      </c>
      <c r="B18" s="291" t="str">
        <f>'A) Base RI'!B20</f>
        <v>Villeneuve</v>
      </c>
      <c r="C18" s="95">
        <f>'B) D RI'!U20</f>
        <v>166033.59034311198</v>
      </c>
      <c r="D18" s="110">
        <f>'E) Part. coh. soc.'!G24/C18</f>
        <v>23.339056330071973</v>
      </c>
      <c r="E18" s="136">
        <f>'H) Péréquation directe'!I29/C18</f>
        <v>-5.4652718548603945</v>
      </c>
      <c r="F18" s="110">
        <f>+'I) Dépenses thématiques'!O18/'K) Plafonnement aide'!C18</f>
        <v>-11.208657537341608</v>
      </c>
      <c r="G18" s="136">
        <f t="shared" si="1"/>
        <v>6.6651269378699709</v>
      </c>
      <c r="H18" s="110">
        <f t="shared" si="2"/>
        <v>17.873784475211579</v>
      </c>
      <c r="I18" s="136">
        <f t="shared" si="3"/>
        <v>0</v>
      </c>
      <c r="J18" s="55">
        <f t="shared" si="4"/>
        <v>0</v>
      </c>
      <c r="K18" s="36"/>
    </row>
    <row r="19" spans="1:11" x14ac:dyDescent="0.25">
      <c r="A19" s="49">
        <f>'A) Base RI'!A21</f>
        <v>5415</v>
      </c>
      <c r="B19" s="291" t="str">
        <f>'A) Base RI'!B21</f>
        <v>Yvorne</v>
      </c>
      <c r="C19" s="95">
        <f>'B) D RI'!U21</f>
        <v>39123.170780997614</v>
      </c>
      <c r="D19" s="110">
        <f>'E) Part. coh. soc.'!G25/C19</f>
        <v>20.134736646391847</v>
      </c>
      <c r="E19" s="136">
        <f>'H) Péréquation directe'!I30/C19</f>
        <v>10.565929039713026</v>
      </c>
      <c r="F19" s="110">
        <f>+'I) Dépenses thématiques'!O19/'K) Plafonnement aide'!C19</f>
        <v>-4.4476146763467028</v>
      </c>
      <c r="G19" s="136">
        <f t="shared" si="1"/>
        <v>26.25305100975817</v>
      </c>
      <c r="H19" s="110">
        <f t="shared" si="2"/>
        <v>30.700665686104873</v>
      </c>
      <c r="I19" s="136">
        <f t="shared" si="3"/>
        <v>0</v>
      </c>
      <c r="J19" s="55">
        <f t="shared" si="4"/>
        <v>0</v>
      </c>
      <c r="K19" s="36"/>
    </row>
    <row r="20" spans="1:11" x14ac:dyDescent="0.25">
      <c r="A20" s="49">
        <f>'A) Base RI'!A22</f>
        <v>5421</v>
      </c>
      <c r="B20" s="291" t="str">
        <f>'A) Base RI'!B22</f>
        <v>Apples</v>
      </c>
      <c r="C20" s="95">
        <f>'B) D RI'!U22</f>
        <v>70492.513251958138</v>
      </c>
      <c r="D20" s="110">
        <f>'E) Part. coh. soc.'!G26/C20</f>
        <v>18.836944977391557</v>
      </c>
      <c r="E20" s="136">
        <f>'H) Péréquation directe'!I31/C20</f>
        <v>15.571146731526154</v>
      </c>
      <c r="F20" s="110">
        <f>+'I) Dépenses thématiques'!O20/'K) Plafonnement aide'!C20</f>
        <v>-3.5070477210325874</v>
      </c>
      <c r="G20" s="136">
        <f t="shared" si="1"/>
        <v>30.901043987885121</v>
      </c>
      <c r="H20" s="110">
        <f t="shared" si="2"/>
        <v>34.408091708917709</v>
      </c>
      <c r="I20" s="136">
        <f t="shared" si="3"/>
        <v>0</v>
      </c>
      <c r="J20" s="55">
        <f t="shared" si="4"/>
        <v>0</v>
      </c>
      <c r="K20" s="36"/>
    </row>
    <row r="21" spans="1:11" x14ac:dyDescent="0.25">
      <c r="A21" s="49">
        <f>'A) Base RI'!A23</f>
        <v>5422</v>
      </c>
      <c r="B21" s="291" t="str">
        <f>'A) Base RI'!B23</f>
        <v>Aubonne</v>
      </c>
      <c r="C21" s="95">
        <f>'B) D RI'!U23</f>
        <v>245436.88330377048</v>
      </c>
      <c r="D21" s="110">
        <f>'E) Part. coh. soc.'!G27/C21</f>
        <v>23.309944410678462</v>
      </c>
      <c r="E21" s="136">
        <f>'H) Péréquation directe'!I32/C21</f>
        <v>14.597711114558411</v>
      </c>
      <c r="F21" s="110">
        <f>+'I) Dépenses thématiques'!O21/'K) Plafonnement aide'!C21</f>
        <v>0</v>
      </c>
      <c r="G21" s="136">
        <f t="shared" si="1"/>
        <v>37.907655525236876</v>
      </c>
      <c r="H21" s="110">
        <f t="shared" si="2"/>
        <v>37.907655525236876</v>
      </c>
      <c r="I21" s="136">
        <f t="shared" si="3"/>
        <v>0</v>
      </c>
      <c r="J21" s="55">
        <f t="shared" si="4"/>
        <v>0</v>
      </c>
      <c r="K21" s="36"/>
    </row>
    <row r="22" spans="1:11" x14ac:dyDescent="0.25">
      <c r="A22" s="49">
        <f>'A) Base RI'!A24</f>
        <v>5423</v>
      </c>
      <c r="B22" s="291" t="str">
        <f>'A) Base RI'!B24</f>
        <v>Ballens</v>
      </c>
      <c r="C22" s="95">
        <f>'B) D RI'!U24</f>
        <v>16319.771402685055</v>
      </c>
      <c r="D22" s="110">
        <f>'E) Part. coh. soc.'!G28/C22</f>
        <v>18.399709178155518</v>
      </c>
      <c r="E22" s="136">
        <f>'H) Péréquation directe'!I33/C22</f>
        <v>4.1715019649018652</v>
      </c>
      <c r="F22" s="110">
        <f>+'I) Dépenses thématiques'!O22/'K) Plafonnement aide'!C22</f>
        <v>-4.7780218286172715</v>
      </c>
      <c r="G22" s="136">
        <f t="shared" si="1"/>
        <v>17.793189314440113</v>
      </c>
      <c r="H22" s="110">
        <f t="shared" si="2"/>
        <v>22.571211143057383</v>
      </c>
      <c r="I22" s="136">
        <f t="shared" si="3"/>
        <v>0</v>
      </c>
      <c r="J22" s="55">
        <f t="shared" si="4"/>
        <v>0</v>
      </c>
      <c r="K22" s="36"/>
    </row>
    <row r="23" spans="1:11" x14ac:dyDescent="0.25">
      <c r="A23" s="49">
        <f>'A) Base RI'!A25</f>
        <v>5424</v>
      </c>
      <c r="B23" s="291" t="str">
        <f>'A) Base RI'!B25</f>
        <v>Berolle</v>
      </c>
      <c r="C23" s="95">
        <f>'B) D RI'!U25</f>
        <v>9278.5718181818156</v>
      </c>
      <c r="D23" s="110">
        <f>'E) Part. coh. soc.'!G29/C23</f>
        <v>15.898978696280723</v>
      </c>
      <c r="E23" s="136">
        <f>'H) Péréquation directe'!I34/C23</f>
        <v>4.1789197575211299</v>
      </c>
      <c r="F23" s="110">
        <f>+'I) Dépenses thématiques'!O23/'K) Plafonnement aide'!C23</f>
        <v>-4.2350853624370641</v>
      </c>
      <c r="G23" s="136">
        <f t="shared" si="1"/>
        <v>15.842813091364789</v>
      </c>
      <c r="H23" s="110">
        <f t="shared" si="2"/>
        <v>20.077898453801854</v>
      </c>
      <c r="I23" s="136">
        <f t="shared" si="3"/>
        <v>0</v>
      </c>
      <c r="J23" s="55">
        <f t="shared" si="4"/>
        <v>0</v>
      </c>
      <c r="K23" s="36"/>
    </row>
    <row r="24" spans="1:11" x14ac:dyDescent="0.25">
      <c r="A24" s="49">
        <f>'A) Base RI'!A26</f>
        <v>5425</v>
      </c>
      <c r="B24" s="291" t="str">
        <f>'A) Base RI'!B26</f>
        <v>Bière</v>
      </c>
      <c r="C24" s="95">
        <f>'B) D RI'!U26</f>
        <v>39360.03487040029</v>
      </c>
      <c r="D24" s="110">
        <f>'E) Part. coh. soc.'!G30/C24</f>
        <v>19.658038615205434</v>
      </c>
      <c r="E24" s="136">
        <f>'H) Péréquation directe'!I35/C24</f>
        <v>-5.6096389202273569</v>
      </c>
      <c r="F24" s="110">
        <f>+'I) Dépenses thématiques'!O24/'K) Plafonnement aide'!C24</f>
        <v>-14.316735334613902</v>
      </c>
      <c r="G24" s="136">
        <f t="shared" si="1"/>
        <v>-0.26833563963582563</v>
      </c>
      <c r="H24" s="110">
        <f t="shared" si="2"/>
        <v>14.048399694978077</v>
      </c>
      <c r="I24" s="136">
        <f t="shared" si="3"/>
        <v>0</v>
      </c>
      <c r="J24" s="55">
        <f t="shared" si="4"/>
        <v>0</v>
      </c>
      <c r="K24" s="36"/>
    </row>
    <row r="25" spans="1:11" x14ac:dyDescent="0.25">
      <c r="A25" s="49">
        <f>'A) Base RI'!A27</f>
        <v>5426</v>
      </c>
      <c r="B25" s="291" t="str">
        <f>'A) Base RI'!B27</f>
        <v>Bougy-Villars</v>
      </c>
      <c r="C25" s="95">
        <f>'B) D RI'!U27</f>
        <v>51974.123620521015</v>
      </c>
      <c r="D25" s="110">
        <f>'E) Part. coh. soc.'!G31/C25</f>
        <v>32.780010996364993</v>
      </c>
      <c r="E25" s="136">
        <f>'H) Péréquation directe'!I36/C25</f>
        <v>18.500581602460571</v>
      </c>
      <c r="F25" s="110">
        <f>+'I) Dépenses thématiques'!O25/'K) Plafonnement aide'!C25</f>
        <v>0</v>
      </c>
      <c r="G25" s="136">
        <f t="shared" si="1"/>
        <v>51.280592598825564</v>
      </c>
      <c r="H25" s="110">
        <f t="shared" si="2"/>
        <v>51.280592598825564</v>
      </c>
      <c r="I25" s="136">
        <f t="shared" si="3"/>
        <v>0</v>
      </c>
      <c r="J25" s="55">
        <f t="shared" si="4"/>
        <v>0</v>
      </c>
      <c r="K25" s="36"/>
    </row>
    <row r="26" spans="1:11" x14ac:dyDescent="0.25">
      <c r="A26" s="49">
        <f>'A) Base RI'!A28</f>
        <v>5427</v>
      </c>
      <c r="B26" s="291" t="str">
        <f>'A) Base RI'!B28</f>
        <v>Féchy</v>
      </c>
      <c r="C26" s="95">
        <f>'B) D RI'!U28</f>
        <v>86694.092344793113</v>
      </c>
      <c r="D26" s="110">
        <f>'E) Part. coh. soc.'!G32/C26</f>
        <v>30.440627223222968</v>
      </c>
      <c r="E26" s="136">
        <f>'H) Péréquation directe'!I37/C26</f>
        <v>18.401044753876818</v>
      </c>
      <c r="F26" s="110">
        <f>+'I) Dépenses thématiques'!O26/'K) Plafonnement aide'!C26</f>
        <v>0</v>
      </c>
      <c r="G26" s="136">
        <f t="shared" si="1"/>
        <v>48.841671977099786</v>
      </c>
      <c r="H26" s="110">
        <f t="shared" si="2"/>
        <v>48.841671977099786</v>
      </c>
      <c r="I26" s="136">
        <f t="shared" si="3"/>
        <v>0</v>
      </c>
      <c r="J26" s="55">
        <f t="shared" si="4"/>
        <v>0</v>
      </c>
      <c r="K26" s="36"/>
    </row>
    <row r="27" spans="1:11" x14ac:dyDescent="0.25">
      <c r="A27" s="49">
        <f>'A) Base RI'!A29</f>
        <v>5428</v>
      </c>
      <c r="B27" s="291" t="str">
        <f>'A) Base RI'!B29</f>
        <v>Gimel</v>
      </c>
      <c r="C27" s="95">
        <f>'B) D RI'!U29</f>
        <v>66248.425772179224</v>
      </c>
      <c r="D27" s="110">
        <f>'E) Part. coh. soc.'!G33/C27</f>
        <v>19.093487564046743</v>
      </c>
      <c r="E27" s="136">
        <f>'H) Péréquation directe'!I38/C27</f>
        <v>-0.96125710259093677</v>
      </c>
      <c r="F27" s="110">
        <f>+'I) Dépenses thématiques'!O27/'K) Plafonnement aide'!C27</f>
        <v>-3.8330259465105119</v>
      </c>
      <c r="G27" s="136">
        <f t="shared" si="1"/>
        <v>14.299204514945293</v>
      </c>
      <c r="H27" s="110">
        <f t="shared" si="2"/>
        <v>18.132230461455805</v>
      </c>
      <c r="I27" s="136">
        <f t="shared" si="3"/>
        <v>0</v>
      </c>
      <c r="J27" s="55">
        <f t="shared" si="4"/>
        <v>0</v>
      </c>
      <c r="K27" s="36"/>
    </row>
    <row r="28" spans="1:11" x14ac:dyDescent="0.25">
      <c r="A28" s="49">
        <f>'A) Base RI'!A30</f>
        <v>5429</v>
      </c>
      <c r="B28" s="291" t="str">
        <f>'A) Base RI'!B30</f>
        <v>Longirod</v>
      </c>
      <c r="C28" s="95">
        <f>'B) D RI'!U30</f>
        <v>15299.789438077625</v>
      </c>
      <c r="D28" s="110">
        <f>'E) Part. coh. soc.'!G34/C28</f>
        <v>17.847494740591006</v>
      </c>
      <c r="E28" s="136">
        <f>'H) Péréquation directe'!I39/C28</f>
        <v>4.0547329037567374</v>
      </c>
      <c r="F28" s="110">
        <f>+'I) Dépenses thématiques'!O28/'K) Plafonnement aide'!C28</f>
        <v>-4.5954015684203737</v>
      </c>
      <c r="G28" s="136">
        <f t="shared" si="1"/>
        <v>17.306826075927368</v>
      </c>
      <c r="H28" s="110">
        <f t="shared" si="2"/>
        <v>21.902227644347743</v>
      </c>
      <c r="I28" s="136">
        <f t="shared" si="3"/>
        <v>0</v>
      </c>
      <c r="J28" s="55">
        <f t="shared" si="4"/>
        <v>0</v>
      </c>
      <c r="K28" s="36"/>
    </row>
    <row r="29" spans="1:11" x14ac:dyDescent="0.25">
      <c r="A29" s="49">
        <f>'A) Base RI'!A31</f>
        <v>5430</v>
      </c>
      <c r="B29" s="291" t="str">
        <f>'A) Base RI'!B31</f>
        <v>Marchissy</v>
      </c>
      <c r="C29" s="95">
        <f>'B) D RI'!U31</f>
        <v>14892.112085590652</v>
      </c>
      <c r="D29" s="110">
        <f>'E) Part. coh. soc.'!G35/C29</f>
        <v>17.338996249396427</v>
      </c>
      <c r="E29" s="136">
        <f>'H) Péréquation directe'!I40/C29</f>
        <v>4.3818573310205267</v>
      </c>
      <c r="F29" s="110">
        <f>+'I) Dépenses thématiques'!O29/'K) Plafonnement aide'!C29</f>
        <v>-4.6608294314764267</v>
      </c>
      <c r="G29" s="136">
        <f t="shared" si="1"/>
        <v>17.060024148940528</v>
      </c>
      <c r="H29" s="110">
        <f t="shared" si="2"/>
        <v>21.720853580416954</v>
      </c>
      <c r="I29" s="136">
        <f t="shared" si="3"/>
        <v>0</v>
      </c>
      <c r="J29" s="55">
        <f t="shared" si="4"/>
        <v>0</v>
      </c>
      <c r="K29" s="36"/>
    </row>
    <row r="30" spans="1:11" x14ac:dyDescent="0.25">
      <c r="A30" s="49">
        <f>'A) Base RI'!A32</f>
        <v>5431</v>
      </c>
      <c r="B30" s="291" t="str">
        <f>'A) Base RI'!B32</f>
        <v>Mollens</v>
      </c>
      <c r="C30" s="95">
        <f>'B) D RI'!U32</f>
        <v>10626.564516518391</v>
      </c>
      <c r="D30" s="110">
        <f>'E) Part. coh. soc.'!G36/C30</f>
        <v>20.815072285385831</v>
      </c>
      <c r="E30" s="136">
        <f>'H) Péréquation directe'!I41/C30</f>
        <v>8.8016564121042578</v>
      </c>
      <c r="F30" s="110">
        <f>+'I) Dépenses thématiques'!O30/'K) Plafonnement aide'!C30</f>
        <v>-2.4925422666517658</v>
      </c>
      <c r="G30" s="136">
        <f t="shared" si="1"/>
        <v>27.124186430838321</v>
      </c>
      <c r="H30" s="110">
        <f t="shared" si="2"/>
        <v>29.616728697490089</v>
      </c>
      <c r="I30" s="136">
        <f t="shared" si="3"/>
        <v>0</v>
      </c>
      <c r="J30" s="55">
        <f t="shared" si="4"/>
        <v>0</v>
      </c>
      <c r="K30" s="36"/>
    </row>
    <row r="31" spans="1:11" x14ac:dyDescent="0.25">
      <c r="A31" s="49">
        <f>'A) Base RI'!A33</f>
        <v>5434</v>
      </c>
      <c r="B31" s="291" t="str">
        <f>'A) Base RI'!B33</f>
        <v>Saint-George</v>
      </c>
      <c r="C31" s="95">
        <f>'B) D RI'!U33</f>
        <v>39849.055598308893</v>
      </c>
      <c r="D31" s="110">
        <f>'E) Part. coh. soc.'!G37/C31</f>
        <v>18.226897957946957</v>
      </c>
      <c r="E31" s="136">
        <f>'H) Péréquation directe'!I42/C31</f>
        <v>11.419975100263331</v>
      </c>
      <c r="F31" s="110">
        <f>+'I) Dépenses thématiques'!O31/'K) Plafonnement aide'!C31</f>
        <v>-1.5004915521013427</v>
      </c>
      <c r="G31" s="136">
        <f t="shared" si="1"/>
        <v>28.146381506108945</v>
      </c>
      <c r="H31" s="110">
        <f t="shared" si="2"/>
        <v>29.646873058210289</v>
      </c>
      <c r="I31" s="136">
        <f t="shared" si="3"/>
        <v>0</v>
      </c>
      <c r="J31" s="55">
        <f t="shared" si="4"/>
        <v>0</v>
      </c>
      <c r="K31" s="36"/>
    </row>
    <row r="32" spans="1:11" x14ac:dyDescent="0.25">
      <c r="A32" s="49">
        <f>'A) Base RI'!A34</f>
        <v>5435</v>
      </c>
      <c r="B32" s="291" t="str">
        <f>'A) Base RI'!B34</f>
        <v>Saint-Livres</v>
      </c>
      <c r="C32" s="95">
        <f>'B) D RI'!U34</f>
        <v>24291.940869565216</v>
      </c>
      <c r="D32" s="110">
        <f>'E) Part. coh. soc.'!G38/C32</f>
        <v>16.717091288957501</v>
      </c>
      <c r="E32" s="136">
        <f>'H) Péréquation directe'!I43/C32</f>
        <v>10.275645044351768</v>
      </c>
      <c r="F32" s="110">
        <f>+'I) Dépenses thématiques'!O32/'K) Plafonnement aide'!C32</f>
        <v>-2.7483550363627214</v>
      </c>
      <c r="G32" s="136">
        <f t="shared" si="1"/>
        <v>24.244381296946546</v>
      </c>
      <c r="H32" s="110">
        <f t="shared" si="2"/>
        <v>26.992736333309267</v>
      </c>
      <c r="I32" s="136">
        <f t="shared" si="3"/>
        <v>0</v>
      </c>
      <c r="J32" s="55">
        <f t="shared" si="4"/>
        <v>0</v>
      </c>
      <c r="K32" s="36"/>
    </row>
    <row r="33" spans="1:11" x14ac:dyDescent="0.25">
      <c r="A33" s="49">
        <f>'A) Base RI'!A35</f>
        <v>5436</v>
      </c>
      <c r="B33" s="291" t="str">
        <f>'A) Base RI'!B35</f>
        <v>Saint-Oyens</v>
      </c>
      <c r="C33" s="95">
        <f>'B) D RI'!U35</f>
        <v>16655.571776721274</v>
      </c>
      <c r="D33" s="110">
        <f>'E) Part. coh. soc.'!G39/C33</f>
        <v>16.781854523995364</v>
      </c>
      <c r="E33" s="136">
        <f>'H) Péréquation directe'!I44/C33</f>
        <v>10.200909770907366</v>
      </c>
      <c r="F33" s="110">
        <f>+'I) Dépenses thématiques'!O33/'K) Plafonnement aide'!C33</f>
        <v>0</v>
      </c>
      <c r="G33" s="136">
        <f t="shared" si="1"/>
        <v>26.982764294902729</v>
      </c>
      <c r="H33" s="110">
        <f t="shared" si="2"/>
        <v>26.982764294902729</v>
      </c>
      <c r="I33" s="136">
        <f t="shared" si="3"/>
        <v>0</v>
      </c>
      <c r="J33" s="55">
        <f t="shared" si="4"/>
        <v>0</v>
      </c>
      <c r="K33" s="36"/>
    </row>
    <row r="34" spans="1:11" x14ac:dyDescent="0.25">
      <c r="A34" s="49">
        <f>'A) Base RI'!A36</f>
        <v>5437</v>
      </c>
      <c r="B34" s="291" t="str">
        <f>'A) Base RI'!B36</f>
        <v>Saubraz</v>
      </c>
      <c r="C34" s="95">
        <f>'B) D RI'!U36</f>
        <v>13155.457431390041</v>
      </c>
      <c r="D34" s="110">
        <f>'E) Part. coh. soc.'!G40/C34</f>
        <v>17.100988700222825</v>
      </c>
      <c r="E34" s="136">
        <f>'H) Péréquation directe'!I45/C34</f>
        <v>3.5027255960665</v>
      </c>
      <c r="F34" s="110">
        <f>+'I) Dépenses thématiques'!O34/'K) Plafonnement aide'!C34</f>
        <v>-1.2296181788604861</v>
      </c>
      <c r="G34" s="136">
        <f t="shared" si="1"/>
        <v>19.374096117428838</v>
      </c>
      <c r="H34" s="110">
        <f t="shared" si="2"/>
        <v>20.603714296289326</v>
      </c>
      <c r="I34" s="136">
        <f t="shared" si="3"/>
        <v>0</v>
      </c>
      <c r="J34" s="55">
        <f t="shared" si="4"/>
        <v>0</v>
      </c>
      <c r="K34" s="36"/>
    </row>
    <row r="35" spans="1:11" x14ac:dyDescent="0.25">
      <c r="A35" s="49">
        <f>'A) Base RI'!A37</f>
        <v>5451</v>
      </c>
      <c r="B35" s="291" t="str">
        <f>'A) Base RI'!B37</f>
        <v>Avenches</v>
      </c>
      <c r="C35" s="95">
        <f>'B) D RI'!U37</f>
        <v>131058.88480778445</v>
      </c>
      <c r="D35" s="110">
        <f>'E) Part. coh. soc.'!G41/C35</f>
        <v>19.139097671375524</v>
      </c>
      <c r="E35" s="136">
        <f>'H) Péréquation directe'!I46/C35</f>
        <v>-1.0112553257557146</v>
      </c>
      <c r="F35" s="110">
        <f>+'I) Dépenses thématiques'!O35/'K) Plafonnement aide'!C35</f>
        <v>-10.107653103368632</v>
      </c>
      <c r="G35" s="136">
        <f t="shared" si="1"/>
        <v>8.0201892422511758</v>
      </c>
      <c r="H35" s="110">
        <f t="shared" si="2"/>
        <v>18.127842345619808</v>
      </c>
      <c r="I35" s="136">
        <f t="shared" si="3"/>
        <v>0</v>
      </c>
      <c r="J35" s="55">
        <f t="shared" si="4"/>
        <v>0</v>
      </c>
      <c r="K35" s="36"/>
    </row>
    <row r="36" spans="1:11" x14ac:dyDescent="0.25">
      <c r="A36" s="49">
        <f>'A) Base RI'!A38</f>
        <v>5456</v>
      </c>
      <c r="B36" s="291" t="str">
        <f>'A) Base RI'!B38</f>
        <v>Cudrefin</v>
      </c>
      <c r="C36" s="95">
        <f>'B) D RI'!U38</f>
        <v>57483.919740251898</v>
      </c>
      <c r="D36" s="110">
        <f>'E) Part. coh. soc.'!G42/C36</f>
        <v>25.380229355784369</v>
      </c>
      <c r="E36" s="136">
        <f>'H) Péréquation directe'!I47/C36</f>
        <v>7.6272894480558948</v>
      </c>
      <c r="F36" s="110">
        <f>+'I) Dépenses thématiques'!O36/'K) Plafonnement aide'!C36</f>
        <v>-5.7371549254235825</v>
      </c>
      <c r="G36" s="136">
        <f t="shared" si="1"/>
        <v>27.270363878416681</v>
      </c>
      <c r="H36" s="110">
        <f t="shared" si="2"/>
        <v>33.007518803840263</v>
      </c>
      <c r="I36" s="136">
        <f t="shared" si="3"/>
        <v>0</v>
      </c>
      <c r="J36" s="55">
        <f t="shared" si="4"/>
        <v>0</v>
      </c>
      <c r="K36" s="36"/>
    </row>
    <row r="37" spans="1:11" x14ac:dyDescent="0.25">
      <c r="A37" s="49">
        <f>'A) Base RI'!A39</f>
        <v>5458</v>
      </c>
      <c r="B37" s="291" t="str">
        <f>'A) Base RI'!B39</f>
        <v>Faoug</v>
      </c>
      <c r="C37" s="95">
        <f>'B) D RI'!U39</f>
        <v>33103.176846222719</v>
      </c>
      <c r="D37" s="110">
        <f>'E) Part. coh. soc.'!G43/C37</f>
        <v>22.119396295128514</v>
      </c>
      <c r="E37" s="136">
        <f>'H) Péréquation directe'!I48/C37</f>
        <v>12.365354691618267</v>
      </c>
      <c r="F37" s="110">
        <f>+'I) Dépenses thématiques'!O37/'K) Plafonnement aide'!C37</f>
        <v>-1.8696778001238428</v>
      </c>
      <c r="G37" s="136">
        <f t="shared" si="1"/>
        <v>32.615073186622936</v>
      </c>
      <c r="H37" s="110">
        <f t="shared" si="2"/>
        <v>34.484750986746782</v>
      </c>
      <c r="I37" s="136">
        <f t="shared" si="3"/>
        <v>0</v>
      </c>
      <c r="J37" s="55">
        <f t="shared" si="4"/>
        <v>0</v>
      </c>
      <c r="K37" s="36"/>
    </row>
    <row r="38" spans="1:11" x14ac:dyDescent="0.25">
      <c r="A38" s="49">
        <f>'A) Base RI'!A40</f>
        <v>5464</v>
      </c>
      <c r="B38" s="291" t="str">
        <f>'A) Base RI'!B40</f>
        <v>Vully-les-Lacs</v>
      </c>
      <c r="C38" s="95">
        <f>'B) D RI'!U40</f>
        <v>112706.50074312353</v>
      </c>
      <c r="D38" s="110">
        <f>'E) Part. coh. soc.'!G44/C38</f>
        <v>18.712706718793051</v>
      </c>
      <c r="E38" s="136">
        <f>'H) Péréquation directe'!I49/C38</f>
        <v>5.0635756081132675</v>
      </c>
      <c r="F38" s="110">
        <f>+'I) Dépenses thématiques'!O38/'K) Plafonnement aide'!C38</f>
        <v>-4.3609978360230102</v>
      </c>
      <c r="G38" s="136">
        <f t="shared" si="1"/>
        <v>19.415284490883309</v>
      </c>
      <c r="H38" s="110">
        <f t="shared" si="2"/>
        <v>23.776282326906319</v>
      </c>
      <c r="I38" s="136">
        <f t="shared" si="3"/>
        <v>0</v>
      </c>
      <c r="J38" s="55">
        <f t="shared" si="4"/>
        <v>0</v>
      </c>
      <c r="K38" s="36"/>
    </row>
    <row r="39" spans="1:11" x14ac:dyDescent="0.25">
      <c r="A39" s="49">
        <f>'A) Base RI'!A41</f>
        <v>5471</v>
      </c>
      <c r="B39" s="291" t="str">
        <f>'A) Base RI'!B41</f>
        <v>Bettens</v>
      </c>
      <c r="C39" s="95">
        <f>'B) D RI'!U41</f>
        <v>21669.887846159098</v>
      </c>
      <c r="D39" s="110">
        <f>'E) Part. coh. soc.'!G45/C39</f>
        <v>16.744621439202103</v>
      </c>
      <c r="E39" s="136">
        <f>'H) Péréquation directe'!I50/C39</f>
        <v>8.5322661559549839</v>
      </c>
      <c r="F39" s="110">
        <f>+'I) Dépenses thématiques'!O39/'K) Plafonnement aide'!C39</f>
        <v>-1.34213674469552E-2</v>
      </c>
      <c r="G39" s="136">
        <f t="shared" si="1"/>
        <v>25.263466227710129</v>
      </c>
      <c r="H39" s="110">
        <f t="shared" si="2"/>
        <v>25.276887595157085</v>
      </c>
      <c r="I39" s="136">
        <f t="shared" si="3"/>
        <v>0</v>
      </c>
      <c r="J39" s="55">
        <f t="shared" si="4"/>
        <v>0</v>
      </c>
      <c r="K39" s="36"/>
    </row>
    <row r="40" spans="1:11" x14ac:dyDescent="0.25">
      <c r="A40" s="49">
        <f>'A) Base RI'!A42</f>
        <v>5472</v>
      </c>
      <c r="B40" s="291" t="str">
        <f>'A) Base RI'!B42</f>
        <v>Bournens</v>
      </c>
      <c r="C40" s="95">
        <f>'B) D RI'!U42</f>
        <v>15019.940865033717</v>
      </c>
      <c r="D40" s="110">
        <f>'E) Part. coh. soc.'!G46/C40</f>
        <v>17.338525834086742</v>
      </c>
      <c r="E40" s="136">
        <f>'H) Péréquation directe'!I51/C40</f>
        <v>9.4500001340615523</v>
      </c>
      <c r="F40" s="110">
        <f>+'I) Dépenses thématiques'!O40/'K) Plafonnement aide'!C40</f>
        <v>-0.29978290768956878</v>
      </c>
      <c r="G40" s="136">
        <f t="shared" si="1"/>
        <v>26.488743060458724</v>
      </c>
      <c r="H40" s="110">
        <f t="shared" si="2"/>
        <v>26.788525968148292</v>
      </c>
      <c r="I40" s="136">
        <f t="shared" si="3"/>
        <v>0</v>
      </c>
      <c r="J40" s="55">
        <f t="shared" si="4"/>
        <v>0</v>
      </c>
      <c r="K40" s="36"/>
    </row>
    <row r="41" spans="1:11" x14ac:dyDescent="0.25">
      <c r="A41" s="49">
        <f>'A) Base RI'!A43</f>
        <v>5473</v>
      </c>
      <c r="B41" s="291" t="str">
        <f>'A) Base RI'!B43</f>
        <v>Boussens</v>
      </c>
      <c r="C41" s="95">
        <f>'B) D RI'!U43</f>
        <v>34282.214706986073</v>
      </c>
      <c r="D41" s="110">
        <f>'E) Part. coh. soc.'!G47/C41</f>
        <v>16.656885478399598</v>
      </c>
      <c r="E41" s="136">
        <f>'H) Péréquation directe'!I52/C41</f>
        <v>9.7608543138070356</v>
      </c>
      <c r="F41" s="110">
        <f>+'I) Dépenses thématiques'!O41/'K) Plafonnement aide'!C41</f>
        <v>0</v>
      </c>
      <c r="G41" s="136">
        <f t="shared" si="1"/>
        <v>26.417739792206632</v>
      </c>
      <c r="H41" s="110">
        <f t="shared" si="2"/>
        <v>26.417739792206632</v>
      </c>
      <c r="I41" s="136">
        <f t="shared" si="3"/>
        <v>0</v>
      </c>
      <c r="J41" s="55">
        <f t="shared" si="4"/>
        <v>0</v>
      </c>
      <c r="K41" s="36"/>
    </row>
    <row r="42" spans="1:11" x14ac:dyDescent="0.25">
      <c r="A42" s="49">
        <f>'A) Base RI'!A44</f>
        <v>5474</v>
      </c>
      <c r="B42" s="291" t="str">
        <f>'A) Base RI'!B44</f>
        <v>La Chaux (Cossonay)</v>
      </c>
      <c r="C42" s="95">
        <f>'B) D RI'!U44</f>
        <v>15312.847748917748</v>
      </c>
      <c r="D42" s="110">
        <f>'E) Part. coh. soc.'!G48/C42</f>
        <v>18.691262959801154</v>
      </c>
      <c r="E42" s="136">
        <f>'H) Péréquation directe'!I53/C42</f>
        <v>12.039841923895585</v>
      </c>
      <c r="F42" s="110">
        <f>+'I) Dépenses thématiques'!O42/'K) Plafonnement aide'!C42</f>
        <v>-9.4655301959901532</v>
      </c>
      <c r="G42" s="136">
        <f t="shared" si="1"/>
        <v>21.265574687706582</v>
      </c>
      <c r="H42" s="110">
        <f t="shared" si="2"/>
        <v>30.731104883696737</v>
      </c>
      <c r="I42" s="136">
        <f t="shared" si="3"/>
        <v>0</v>
      </c>
      <c r="J42" s="55">
        <f t="shared" si="4"/>
        <v>0</v>
      </c>
      <c r="K42" s="36"/>
    </row>
    <row r="43" spans="1:11" x14ac:dyDescent="0.25">
      <c r="A43" s="49">
        <f>'A) Base RI'!A45</f>
        <v>5475</v>
      </c>
      <c r="B43" s="291" t="str">
        <f>'A) Base RI'!B45</f>
        <v>Chavannes-le-Veyron</v>
      </c>
      <c r="C43" s="95">
        <f>'B) D RI'!U45</f>
        <v>3043.2190909090909</v>
      </c>
      <c r="D43" s="110">
        <f>'E) Part. coh. soc.'!G49/C43</f>
        <v>19.545741012268262</v>
      </c>
      <c r="E43" s="136">
        <f>'H) Péréquation directe'!I54/C43</f>
        <v>-17.002314720651601</v>
      </c>
      <c r="F43" s="110">
        <f>+'I) Dépenses thématiques'!O43/'K) Plafonnement aide'!C43</f>
        <v>-5.7551021213490046</v>
      </c>
      <c r="G43" s="136">
        <f t="shared" si="1"/>
        <v>-3.2116758297323429</v>
      </c>
      <c r="H43" s="110">
        <f t="shared" si="2"/>
        <v>2.5434262916166617</v>
      </c>
      <c r="I43" s="136">
        <f t="shared" si="3"/>
        <v>0</v>
      </c>
      <c r="J43" s="55">
        <f t="shared" si="4"/>
        <v>0</v>
      </c>
      <c r="K43" s="36"/>
    </row>
    <row r="44" spans="1:11" x14ac:dyDescent="0.25">
      <c r="A44" s="49">
        <f>'A) Base RI'!A46</f>
        <v>5476</v>
      </c>
      <c r="B44" s="291" t="str">
        <f>'A) Base RI'!B46</f>
        <v>Chevilly</v>
      </c>
      <c r="C44" s="95">
        <f>'B) D RI'!U46</f>
        <v>12636.676556913548</v>
      </c>
      <c r="D44" s="110">
        <f>'E) Part. coh. soc.'!G50/C44</f>
        <v>15.332948696953828</v>
      </c>
      <c r="E44" s="136">
        <f>'H) Péréquation directe'!I55/C44</f>
        <v>13.168519727168404</v>
      </c>
      <c r="F44" s="110">
        <f>+'I) Dépenses thématiques'!O44/'K) Plafonnement aide'!C44</f>
        <v>-0.80401472671007324</v>
      </c>
      <c r="G44" s="136">
        <f t="shared" si="1"/>
        <v>27.697453697412158</v>
      </c>
      <c r="H44" s="110">
        <f t="shared" si="2"/>
        <v>28.50146842412223</v>
      </c>
      <c r="I44" s="136">
        <f t="shared" si="3"/>
        <v>0</v>
      </c>
      <c r="J44" s="55">
        <f t="shared" si="4"/>
        <v>0</v>
      </c>
      <c r="K44" s="36"/>
    </row>
    <row r="45" spans="1:11" x14ac:dyDescent="0.25">
      <c r="A45" s="49">
        <f>'A) Base RI'!A47</f>
        <v>5477</v>
      </c>
      <c r="B45" s="291" t="str">
        <f>'A) Base RI'!B47</f>
        <v>Cossonay</v>
      </c>
      <c r="C45" s="95">
        <f>'B) D RI'!U47</f>
        <v>144296.3607707771</v>
      </c>
      <c r="D45" s="110">
        <f>'E) Part. coh. soc.'!G51/C45</f>
        <v>17.099841421331071</v>
      </c>
      <c r="E45" s="136">
        <f>'H) Péréquation directe'!I56/C45</f>
        <v>4.5009579166475673</v>
      </c>
      <c r="F45" s="110">
        <f>+'I) Dépenses thématiques'!O45/'K) Plafonnement aide'!C45</f>
        <v>-3.6685491664815966</v>
      </c>
      <c r="G45" s="136">
        <f t="shared" si="1"/>
        <v>17.932250171497042</v>
      </c>
      <c r="H45" s="110">
        <f t="shared" si="2"/>
        <v>21.600799337978639</v>
      </c>
      <c r="I45" s="136">
        <f t="shared" si="3"/>
        <v>0</v>
      </c>
      <c r="J45" s="55">
        <f t="shared" si="4"/>
        <v>0</v>
      </c>
      <c r="K45" s="36"/>
    </row>
    <row r="46" spans="1:11" x14ac:dyDescent="0.25">
      <c r="A46" s="49">
        <f>'A) Base RI'!A48</f>
        <v>5478</v>
      </c>
      <c r="B46" s="291" t="str">
        <f>'A) Base RI'!B48</f>
        <v>Cottens</v>
      </c>
      <c r="C46" s="95">
        <f>'B) D RI'!U48</f>
        <v>17520.338093666011</v>
      </c>
      <c r="D46" s="110">
        <f>'E) Part. coh. soc.'!G52/C46</f>
        <v>18.3318662817118</v>
      </c>
      <c r="E46" s="136">
        <f>'H) Péréquation directe'!I57/C46</f>
        <v>10.132128837133948</v>
      </c>
      <c r="F46" s="110">
        <f>+'I) Dépenses thématiques'!O46/'K) Plafonnement aide'!C46</f>
        <v>-30.288083001141203</v>
      </c>
      <c r="G46" s="136">
        <f t="shared" si="1"/>
        <v>-1.8240878822954549</v>
      </c>
      <c r="H46" s="110">
        <f t="shared" si="2"/>
        <v>28.463995118845748</v>
      </c>
      <c r="I46" s="136">
        <f t="shared" si="3"/>
        <v>0</v>
      </c>
      <c r="J46" s="55">
        <f t="shared" si="4"/>
        <v>0</v>
      </c>
      <c r="K46" s="36"/>
    </row>
    <row r="47" spans="1:11" x14ac:dyDescent="0.25">
      <c r="A47" s="49">
        <f>'A) Base RI'!A49</f>
        <v>5479</v>
      </c>
      <c r="B47" s="291" t="str">
        <f>'A) Base RI'!B49</f>
        <v>Cuarnens</v>
      </c>
      <c r="C47" s="95">
        <f>'B) D RI'!U49</f>
        <v>17273.482190037128</v>
      </c>
      <c r="D47" s="110">
        <f>'E) Part. coh. soc.'!G53/C47</f>
        <v>16.776160883456591</v>
      </c>
      <c r="E47" s="136">
        <f>'H) Péréquation directe'!I58/C47</f>
        <v>9.2256899062150985</v>
      </c>
      <c r="F47" s="110">
        <f>+'I) Dépenses thématiques'!O47/'K) Plafonnement aide'!C47</f>
        <v>-16.97163436635589</v>
      </c>
      <c r="G47" s="136">
        <f t="shared" si="1"/>
        <v>9.0302164233157995</v>
      </c>
      <c r="H47" s="110">
        <f t="shared" si="2"/>
        <v>26.001850789671689</v>
      </c>
      <c r="I47" s="136">
        <f t="shared" si="3"/>
        <v>0</v>
      </c>
      <c r="J47" s="55">
        <f t="shared" si="4"/>
        <v>0</v>
      </c>
      <c r="K47" s="36"/>
    </row>
    <row r="48" spans="1:11" x14ac:dyDescent="0.25">
      <c r="A48" s="49">
        <f>'A) Base RI'!A50</f>
        <v>5480</v>
      </c>
      <c r="B48" s="291" t="str">
        <f>'A) Base RI'!B50</f>
        <v>Daillens</v>
      </c>
      <c r="C48" s="95">
        <f>'B) D RI'!U50</f>
        <v>40220.975555555553</v>
      </c>
      <c r="D48" s="110">
        <f>'E) Part. coh. soc.'!G54/C48</f>
        <v>17.938119594792152</v>
      </c>
      <c r="E48" s="136">
        <f>'H) Péréquation directe'!I59/C48</f>
        <v>13.087692844358411</v>
      </c>
      <c r="F48" s="110">
        <f>+'I) Dépenses thématiques'!O48/'K) Plafonnement aide'!C48</f>
        <v>-10.231862537498056</v>
      </c>
      <c r="G48" s="136">
        <f t="shared" si="1"/>
        <v>20.793949901652507</v>
      </c>
      <c r="H48" s="110">
        <f t="shared" si="2"/>
        <v>31.025812439150563</v>
      </c>
      <c r="I48" s="136">
        <f t="shared" si="3"/>
        <v>0</v>
      </c>
      <c r="J48" s="55">
        <f t="shared" si="4"/>
        <v>0</v>
      </c>
      <c r="K48" s="36"/>
    </row>
    <row r="49" spans="1:11" x14ac:dyDescent="0.25">
      <c r="A49" s="49">
        <f>'A) Base RI'!A51</f>
        <v>5481</v>
      </c>
      <c r="B49" s="291" t="str">
        <f>'A) Base RI'!B51</f>
        <v>Dizy</v>
      </c>
      <c r="C49" s="95">
        <f>'B) D RI'!U51</f>
        <v>9702.0464562011348</v>
      </c>
      <c r="D49" s="110">
        <f>'E) Part. coh. soc.'!G55/C49</f>
        <v>15.339939490113416</v>
      </c>
      <c r="E49" s="136">
        <f>'H) Péréquation directe'!I60/C49</f>
        <v>13.921205910719808</v>
      </c>
      <c r="F49" s="110">
        <f>+'I) Dépenses thématiques'!O49/'K) Plafonnement aide'!C49</f>
        <v>-1.398642695795751</v>
      </c>
      <c r="G49" s="136">
        <f t="shared" si="1"/>
        <v>27.862502705037471</v>
      </c>
      <c r="H49" s="110">
        <f t="shared" si="2"/>
        <v>29.261145400833222</v>
      </c>
      <c r="I49" s="136">
        <f t="shared" si="3"/>
        <v>0</v>
      </c>
      <c r="J49" s="55">
        <f t="shared" si="4"/>
        <v>0</v>
      </c>
      <c r="K49" s="36"/>
    </row>
    <row r="50" spans="1:11" x14ac:dyDescent="0.25">
      <c r="A50" s="49">
        <f>'A) Base RI'!A52</f>
        <v>5482</v>
      </c>
      <c r="B50" s="291" t="str">
        <f>'A) Base RI'!B52</f>
        <v>Eclépens</v>
      </c>
      <c r="C50" s="95">
        <f>'B) D RI'!U52</f>
        <v>60387.408967257215</v>
      </c>
      <c r="D50" s="110">
        <f>'E) Part. coh. soc.'!G56/C50</f>
        <v>18.535277981579771</v>
      </c>
      <c r="E50" s="136">
        <f>'H) Péréquation directe'!I61/C50</f>
        <v>16.275178858579405</v>
      </c>
      <c r="F50" s="110">
        <f>+'I) Dépenses thématiques'!O50/'K) Plafonnement aide'!C50</f>
        <v>-0.94620412597073122</v>
      </c>
      <c r="G50" s="136">
        <f t="shared" si="1"/>
        <v>33.864252714188446</v>
      </c>
      <c r="H50" s="110">
        <f t="shared" si="2"/>
        <v>34.810456840159176</v>
      </c>
      <c r="I50" s="136">
        <f t="shared" si="3"/>
        <v>0</v>
      </c>
      <c r="J50" s="55">
        <f t="shared" si="4"/>
        <v>0</v>
      </c>
      <c r="K50" s="36"/>
    </row>
    <row r="51" spans="1:11" x14ac:dyDescent="0.25">
      <c r="A51" s="49">
        <f>'A) Base RI'!A53</f>
        <v>5483</v>
      </c>
      <c r="B51" s="291" t="str">
        <f>'A) Base RI'!B53</f>
        <v>Ferreyres</v>
      </c>
      <c r="C51" s="95">
        <f>'B) D RI'!U53</f>
        <v>11155.704681224479</v>
      </c>
      <c r="D51" s="110">
        <f>'E) Part. coh. soc.'!G57/C51</f>
        <v>18.015311743939353</v>
      </c>
      <c r="E51" s="136">
        <f>'H) Péréquation directe'!I62/C51</f>
        <v>8.7582298687241131</v>
      </c>
      <c r="F51" s="110">
        <f>+'I) Dépenses thématiques'!O51/'K) Plafonnement aide'!C51</f>
        <v>-0.1733358816283421</v>
      </c>
      <c r="G51" s="136">
        <f t="shared" si="1"/>
        <v>26.600205731035121</v>
      </c>
      <c r="H51" s="110">
        <f t="shared" si="2"/>
        <v>26.773541612663465</v>
      </c>
      <c r="I51" s="136">
        <f t="shared" si="3"/>
        <v>0</v>
      </c>
      <c r="J51" s="55">
        <f t="shared" si="4"/>
        <v>0</v>
      </c>
      <c r="K51" s="36"/>
    </row>
    <row r="52" spans="1:11" x14ac:dyDescent="0.25">
      <c r="A52" s="49">
        <f>'A) Base RI'!A54</f>
        <v>5484</v>
      </c>
      <c r="B52" s="291" t="str">
        <f>'A) Base RI'!B54</f>
        <v>Gollion</v>
      </c>
      <c r="C52" s="95">
        <f>'B) D RI'!U54</f>
        <v>33762.861845883657</v>
      </c>
      <c r="D52" s="110">
        <f>'E) Part. coh. soc.'!G58/C52</f>
        <v>19.493095743763625</v>
      </c>
      <c r="E52" s="136">
        <f>'H) Péréquation directe'!I63/C52</f>
        <v>10.114926694751949</v>
      </c>
      <c r="F52" s="110">
        <f>+'I) Dépenses thématiques'!O52/'K) Plafonnement aide'!C52</f>
        <v>-3.4371289671590968</v>
      </c>
      <c r="G52" s="136">
        <f t="shared" si="1"/>
        <v>26.170893471356479</v>
      </c>
      <c r="H52" s="110">
        <f t="shared" si="2"/>
        <v>29.608022438515576</v>
      </c>
      <c r="I52" s="136">
        <f t="shared" si="3"/>
        <v>0</v>
      </c>
      <c r="J52" s="55">
        <f t="shared" si="4"/>
        <v>0</v>
      </c>
      <c r="K52" s="36"/>
    </row>
    <row r="53" spans="1:11" x14ac:dyDescent="0.25">
      <c r="A53" s="49">
        <f>'A) Base RI'!A55</f>
        <v>5485</v>
      </c>
      <c r="B53" s="291" t="str">
        <f>'A) Base RI'!B55</f>
        <v>Grancy</v>
      </c>
      <c r="C53" s="95">
        <f>'B) D RI'!U55</f>
        <v>16914.094370194773</v>
      </c>
      <c r="D53" s="110">
        <f>'E) Part. coh. soc.'!G59/C53</f>
        <v>17.967494716664067</v>
      </c>
      <c r="E53" s="136">
        <f>'H) Péréquation directe'!I64/C53</f>
        <v>15.157984727020978</v>
      </c>
      <c r="F53" s="110">
        <f>+'I) Dépenses thématiques'!O53/'K) Plafonnement aide'!C53</f>
        <v>-1.6559136765717926</v>
      </c>
      <c r="G53" s="136">
        <f t="shared" si="1"/>
        <v>31.469565767113252</v>
      </c>
      <c r="H53" s="110">
        <f t="shared" si="2"/>
        <v>33.125479443685045</v>
      </c>
      <c r="I53" s="136">
        <f t="shared" si="3"/>
        <v>0</v>
      </c>
      <c r="J53" s="55">
        <f t="shared" si="4"/>
        <v>0</v>
      </c>
      <c r="K53" s="36"/>
    </row>
    <row r="54" spans="1:11" x14ac:dyDescent="0.25">
      <c r="A54" s="49">
        <f>'A) Base RI'!A56</f>
        <v>5486</v>
      </c>
      <c r="B54" s="291" t="str">
        <f>'A) Base RI'!B56</f>
        <v>L'Isle</v>
      </c>
      <c r="C54" s="95">
        <f>'B) D RI'!U56</f>
        <v>35759.534807519231</v>
      </c>
      <c r="D54" s="110">
        <f>'E) Part. coh. soc.'!G60/C54</f>
        <v>24.274076195423678</v>
      </c>
      <c r="E54" s="136">
        <f>'H) Péréquation directe'!I65/C54</f>
        <v>9.173461567991831</v>
      </c>
      <c r="F54" s="110">
        <f>+'I) Dépenses thématiques'!O54/'K) Plafonnement aide'!C54</f>
        <v>-7.7611334611770157</v>
      </c>
      <c r="G54" s="136">
        <f t="shared" si="1"/>
        <v>25.686404302238493</v>
      </c>
      <c r="H54" s="110">
        <f t="shared" si="2"/>
        <v>33.447537763415511</v>
      </c>
      <c r="I54" s="136">
        <f t="shared" si="3"/>
        <v>0</v>
      </c>
      <c r="J54" s="55">
        <f t="shared" si="4"/>
        <v>0</v>
      </c>
      <c r="K54" s="36"/>
    </row>
    <row r="55" spans="1:11" x14ac:dyDescent="0.25">
      <c r="A55" s="49">
        <f>'A) Base RI'!A57</f>
        <v>5487</v>
      </c>
      <c r="B55" s="291" t="str">
        <f>'A) Base RI'!B57</f>
        <v>Lussery-Villars</v>
      </c>
      <c r="C55" s="95">
        <f>'B) D RI'!U57</f>
        <v>15494.848822945682</v>
      </c>
      <c r="D55" s="110">
        <f>'E) Part. coh. soc.'!G61/C55</f>
        <v>17.598658120850349</v>
      </c>
      <c r="E55" s="136">
        <f>'H) Péréquation directe'!I66/C55</f>
        <v>7.8727335419804838</v>
      </c>
      <c r="F55" s="110">
        <f>+'I) Dépenses thématiques'!O55/'K) Plafonnement aide'!C55</f>
        <v>-2.5470696747877781</v>
      </c>
      <c r="G55" s="136">
        <f t="shared" si="1"/>
        <v>22.924321988043054</v>
      </c>
      <c r="H55" s="110">
        <f t="shared" si="2"/>
        <v>25.471391662830833</v>
      </c>
      <c r="I55" s="136">
        <f t="shared" si="3"/>
        <v>0</v>
      </c>
      <c r="J55" s="55">
        <f t="shared" si="4"/>
        <v>0</v>
      </c>
      <c r="K55" s="36"/>
    </row>
    <row r="56" spans="1:11" x14ac:dyDescent="0.25">
      <c r="A56" s="49">
        <f>'A) Base RI'!A58</f>
        <v>5488</v>
      </c>
      <c r="B56" s="291" t="str">
        <f>'A) Base RI'!B58</f>
        <v>Mauraz</v>
      </c>
      <c r="C56" s="95">
        <f>'B) D RI'!U58</f>
        <v>1750.6115384615387</v>
      </c>
      <c r="D56" s="110">
        <f>'E) Part. coh. soc.'!G62/C56</f>
        <v>15.332948696953828</v>
      </c>
      <c r="E56" s="136">
        <f>'H) Péréquation directe'!I67/C56</f>
        <v>3.6007309398529297</v>
      </c>
      <c r="F56" s="110">
        <f>+'I) Dépenses thématiques'!O56/'K) Plafonnement aide'!C56</f>
        <v>0</v>
      </c>
      <c r="G56" s="136">
        <f t="shared" si="1"/>
        <v>18.933679636806758</v>
      </c>
      <c r="H56" s="110">
        <f t="shared" si="2"/>
        <v>18.933679636806758</v>
      </c>
      <c r="I56" s="136">
        <f t="shared" si="3"/>
        <v>0</v>
      </c>
      <c r="J56" s="55">
        <f t="shared" si="4"/>
        <v>0</v>
      </c>
      <c r="K56" s="36"/>
    </row>
    <row r="57" spans="1:11" x14ac:dyDescent="0.25">
      <c r="A57" s="49">
        <f>'A) Base RI'!A59</f>
        <v>5489</v>
      </c>
      <c r="B57" s="291" t="str">
        <f>'A) Base RI'!B59</f>
        <v>Mex</v>
      </c>
      <c r="C57" s="95">
        <f>'B) D RI'!U59</f>
        <v>63473.912067537727</v>
      </c>
      <c r="D57" s="110">
        <f>'E) Part. coh. soc.'!G63/C57</f>
        <v>26.067257347472349</v>
      </c>
      <c r="E57" s="136">
        <f>'H) Péréquation directe'!I68/C57</f>
        <v>18.227644222662168</v>
      </c>
      <c r="F57" s="110">
        <f>+'I) Dépenses thématiques'!O57/'K) Plafonnement aide'!C57</f>
        <v>0</v>
      </c>
      <c r="G57" s="136">
        <f t="shared" si="1"/>
        <v>44.294901570134513</v>
      </c>
      <c r="H57" s="110">
        <f t="shared" si="2"/>
        <v>44.294901570134513</v>
      </c>
      <c r="I57" s="136">
        <f t="shared" si="3"/>
        <v>0</v>
      </c>
      <c r="J57" s="55">
        <f t="shared" si="4"/>
        <v>0</v>
      </c>
      <c r="K57" s="36"/>
    </row>
    <row r="58" spans="1:11" x14ac:dyDescent="0.25">
      <c r="A58" s="49">
        <f>'A) Base RI'!A60</f>
        <v>5490</v>
      </c>
      <c r="B58" s="291" t="str">
        <f>'A) Base RI'!B60</f>
        <v>Moiry</v>
      </c>
      <c r="C58" s="95">
        <f>'B) D RI'!U60</f>
        <v>8338.3158944329061</v>
      </c>
      <c r="D58" s="110">
        <f>'E) Part. coh. soc.'!G64/C58</f>
        <v>16.443625615081054</v>
      </c>
      <c r="E58" s="136">
        <f>'H) Péréquation directe'!I69/C58</f>
        <v>-2.3014284844752382</v>
      </c>
      <c r="F58" s="110">
        <f>+'I) Dépenses thématiques'!O58/'K) Plafonnement aide'!C58</f>
        <v>-7.3674422605594083</v>
      </c>
      <c r="G58" s="136">
        <f t="shared" si="1"/>
        <v>6.7747548700464071</v>
      </c>
      <c r="H58" s="110">
        <f t="shared" si="2"/>
        <v>14.142197130605815</v>
      </c>
      <c r="I58" s="136">
        <f t="shared" si="3"/>
        <v>0</v>
      </c>
      <c r="J58" s="55">
        <f t="shared" si="4"/>
        <v>0</v>
      </c>
      <c r="K58" s="36"/>
    </row>
    <row r="59" spans="1:11" x14ac:dyDescent="0.25">
      <c r="A59" s="49">
        <f>'A) Base RI'!A61</f>
        <v>5491</v>
      </c>
      <c r="B59" s="291" t="str">
        <f>'A) Base RI'!B61</f>
        <v>Mont-la-Ville</v>
      </c>
      <c r="C59" s="95">
        <f>'B) D RI'!U61</f>
        <v>14141.684131434778</v>
      </c>
      <c r="D59" s="110">
        <f>'E) Part. coh. soc.'!G65/C59</f>
        <v>16.275136690700805</v>
      </c>
      <c r="E59" s="136">
        <f>'H) Péréquation directe'!I70/C59</f>
        <v>2.7485905696257436</v>
      </c>
      <c r="F59" s="110">
        <f>+'I) Dépenses thématiques'!O59/'K) Plafonnement aide'!C59</f>
        <v>-6.6138846041232098</v>
      </c>
      <c r="G59" s="136">
        <f t="shared" si="1"/>
        <v>12.409842656203338</v>
      </c>
      <c r="H59" s="110">
        <f t="shared" si="2"/>
        <v>19.023727260326549</v>
      </c>
      <c r="I59" s="136">
        <f t="shared" si="3"/>
        <v>0</v>
      </c>
      <c r="J59" s="55">
        <f t="shared" si="4"/>
        <v>0</v>
      </c>
      <c r="K59" s="36"/>
    </row>
    <row r="60" spans="1:11" x14ac:dyDescent="0.25">
      <c r="A60" s="49">
        <f>'A) Base RI'!A62</f>
        <v>5492</v>
      </c>
      <c r="B60" s="291" t="str">
        <f>'A) Base RI'!B62</f>
        <v>Montricher</v>
      </c>
      <c r="C60" s="95">
        <f>'B) D RI'!U62</f>
        <v>189730.40192708332</v>
      </c>
      <c r="D60" s="110">
        <f>'E) Part. coh. soc.'!G66/C60</f>
        <v>39.581612157100444</v>
      </c>
      <c r="E60" s="136">
        <f>'H) Péréquation directe'!I71/C60</f>
        <v>19.01041702628747</v>
      </c>
      <c r="F60" s="110">
        <f>+'I) Dépenses thématiques'!O60/'K) Plafonnement aide'!C60</f>
        <v>-0.73111286834177658</v>
      </c>
      <c r="G60" s="136">
        <f t="shared" si="1"/>
        <v>57.86091631504614</v>
      </c>
      <c r="H60" s="110">
        <f t="shared" si="2"/>
        <v>58.592029183387915</v>
      </c>
      <c r="I60" s="136">
        <f t="shared" si="3"/>
        <v>0</v>
      </c>
      <c r="J60" s="55">
        <f t="shared" si="4"/>
        <v>0</v>
      </c>
      <c r="K60" s="36"/>
    </row>
    <row r="61" spans="1:11" x14ac:dyDescent="0.25">
      <c r="A61" s="49">
        <f>'A) Base RI'!A63</f>
        <v>5493</v>
      </c>
      <c r="B61" s="291" t="str">
        <f>'A) Base RI'!B63</f>
        <v>Orny</v>
      </c>
      <c r="C61" s="95">
        <f>'B) D RI'!U63</f>
        <v>10671.007215907817</v>
      </c>
      <c r="D61" s="110">
        <f>'E) Part. coh. soc.'!G67/C61</f>
        <v>23.335092568874686</v>
      </c>
      <c r="E61" s="136">
        <f>'H) Péréquation directe'!I72/C61</f>
        <v>-1.9401921559496971</v>
      </c>
      <c r="F61" s="110">
        <f>+'I) Dépenses thématiques'!O61/'K) Plafonnement aide'!C61</f>
        <v>0</v>
      </c>
      <c r="G61" s="136">
        <f t="shared" si="1"/>
        <v>21.39490041292499</v>
      </c>
      <c r="H61" s="110">
        <f t="shared" si="2"/>
        <v>21.39490041292499</v>
      </c>
      <c r="I61" s="136">
        <f t="shared" si="3"/>
        <v>0</v>
      </c>
      <c r="J61" s="55">
        <f t="shared" si="4"/>
        <v>0</v>
      </c>
      <c r="K61" s="36"/>
    </row>
    <row r="62" spans="1:11" x14ac:dyDescent="0.25">
      <c r="A62" s="49">
        <f>'A) Base RI'!A64</f>
        <v>5494</v>
      </c>
      <c r="B62" s="291" t="str">
        <f>'A) Base RI'!B64</f>
        <v>Pampigny</v>
      </c>
      <c r="C62" s="95">
        <f>'B) D RI'!U64</f>
        <v>36967.725840132596</v>
      </c>
      <c r="D62" s="110">
        <f>'E) Part. coh. soc.'!G68/C62</f>
        <v>18.006646571349382</v>
      </c>
      <c r="E62" s="136">
        <f>'H) Péréquation directe'!I73/C62</f>
        <v>6.9970639862111526</v>
      </c>
      <c r="F62" s="110">
        <f>+'I) Dépenses thématiques'!O62/'K) Plafonnement aide'!C62</f>
        <v>-6.152471262266106</v>
      </c>
      <c r="G62" s="136">
        <f t="shared" si="1"/>
        <v>18.851239295294427</v>
      </c>
      <c r="H62" s="110">
        <f t="shared" si="2"/>
        <v>25.003710557560531</v>
      </c>
      <c r="I62" s="136">
        <f t="shared" si="3"/>
        <v>0</v>
      </c>
      <c r="J62" s="55">
        <f t="shared" si="4"/>
        <v>0</v>
      </c>
      <c r="K62" s="36"/>
    </row>
    <row r="63" spans="1:11" x14ac:dyDescent="0.25">
      <c r="A63" s="49">
        <f>'A) Base RI'!A65</f>
        <v>5495</v>
      </c>
      <c r="B63" s="291" t="str">
        <f>'A) Base RI'!B65</f>
        <v>Penthalaz</v>
      </c>
      <c r="C63" s="95">
        <f>'B) D RI'!U65</f>
        <v>95087.015809528908</v>
      </c>
      <c r="D63" s="110">
        <f>'E) Part. coh. soc.'!G69/C63</f>
        <v>17.627622350789689</v>
      </c>
      <c r="E63" s="136">
        <f>'H) Péréquation directe'!I74/C63</f>
        <v>-2.8755343084036094</v>
      </c>
      <c r="F63" s="110">
        <f>+'I) Dépenses thématiques'!O63/'K) Plafonnement aide'!C63</f>
        <v>-5.868250010352928</v>
      </c>
      <c r="G63" s="136">
        <f t="shared" si="1"/>
        <v>8.8838380320331538</v>
      </c>
      <c r="H63" s="110">
        <f t="shared" si="2"/>
        <v>14.752088042386081</v>
      </c>
      <c r="I63" s="136">
        <f t="shared" si="3"/>
        <v>0</v>
      </c>
      <c r="J63" s="55">
        <f t="shared" si="4"/>
        <v>0</v>
      </c>
      <c r="K63" s="36"/>
    </row>
    <row r="64" spans="1:11" x14ac:dyDescent="0.25">
      <c r="A64" s="49">
        <f>'A) Base RI'!A66</f>
        <v>5496</v>
      </c>
      <c r="B64" s="291" t="str">
        <f>'A) Base RI'!B66</f>
        <v>Penthaz</v>
      </c>
      <c r="C64" s="95">
        <f>'B) D RI'!U66</f>
        <v>59337.456966456659</v>
      </c>
      <c r="D64" s="110">
        <f>'E) Part. coh. soc.'!G70/C64</f>
        <v>18.996326790876559</v>
      </c>
      <c r="E64" s="136">
        <f>'H) Péréquation directe'!I75/C64</f>
        <v>5.7729711258474925</v>
      </c>
      <c r="F64" s="110">
        <f>+'I) Dépenses thématiques'!O64/'K) Plafonnement aide'!C64</f>
        <v>-4.2342292668818358</v>
      </c>
      <c r="G64" s="136">
        <f t="shared" si="1"/>
        <v>20.535068649842213</v>
      </c>
      <c r="H64" s="110">
        <f t="shared" si="2"/>
        <v>24.769297916724049</v>
      </c>
      <c r="I64" s="136">
        <f t="shared" si="3"/>
        <v>0</v>
      </c>
      <c r="J64" s="55">
        <f t="shared" si="4"/>
        <v>0</v>
      </c>
      <c r="K64" s="36"/>
    </row>
    <row r="65" spans="1:11" x14ac:dyDescent="0.25">
      <c r="A65" s="49">
        <f>'A) Base RI'!A67</f>
        <v>5497</v>
      </c>
      <c r="B65" s="291" t="str">
        <f>'A) Base RI'!B67</f>
        <v>Pompaples</v>
      </c>
      <c r="C65" s="95">
        <f>'B) D RI'!U67</f>
        <v>22672.594290282061</v>
      </c>
      <c r="D65" s="110">
        <f>'E) Part. coh. soc.'!G71/C65</f>
        <v>20.63971392459127</v>
      </c>
      <c r="E65" s="136">
        <f>'H) Péréquation directe'!I76/C65</f>
        <v>2.4366105136238119</v>
      </c>
      <c r="F65" s="110">
        <f>+'I) Dépenses thématiques'!O65/'K) Plafonnement aide'!C65</f>
        <v>-7.3711687708836244</v>
      </c>
      <c r="G65" s="136">
        <f t="shared" si="1"/>
        <v>15.705155667331457</v>
      </c>
      <c r="H65" s="110">
        <f t="shared" si="2"/>
        <v>23.076324438215082</v>
      </c>
      <c r="I65" s="136">
        <f t="shared" si="3"/>
        <v>0</v>
      </c>
      <c r="J65" s="55">
        <f t="shared" si="4"/>
        <v>0</v>
      </c>
      <c r="K65" s="36"/>
    </row>
    <row r="66" spans="1:11" x14ac:dyDescent="0.25">
      <c r="A66" s="49">
        <f>'A) Base RI'!A68</f>
        <v>5498</v>
      </c>
      <c r="B66" s="291" t="str">
        <f>'A) Base RI'!B68</f>
        <v>La Sarraz</v>
      </c>
      <c r="C66" s="95">
        <f>'B) D RI'!U68</f>
        <v>77413.833852725787</v>
      </c>
      <c r="D66" s="110">
        <f>'E) Part. coh. soc.'!G72/C66</f>
        <v>18.976569429349169</v>
      </c>
      <c r="E66" s="136">
        <f>'H) Péréquation directe'!I77/C66</f>
        <v>0.62994167384528976</v>
      </c>
      <c r="F66" s="110">
        <f>+'I) Dépenses thématiques'!O66/'K) Plafonnement aide'!C66</f>
        <v>-7.1024081950215905</v>
      </c>
      <c r="G66" s="136">
        <f t="shared" si="1"/>
        <v>12.50410290817287</v>
      </c>
      <c r="H66" s="110">
        <f t="shared" si="2"/>
        <v>19.60651110319446</v>
      </c>
      <c r="I66" s="136">
        <f t="shared" si="3"/>
        <v>0</v>
      </c>
      <c r="J66" s="55">
        <f t="shared" si="4"/>
        <v>0</v>
      </c>
      <c r="K66" s="36"/>
    </row>
    <row r="67" spans="1:11" x14ac:dyDescent="0.25">
      <c r="A67" s="49">
        <f>'A) Base RI'!A69</f>
        <v>5499</v>
      </c>
      <c r="B67" s="291" t="str">
        <f>'A) Base RI'!B69</f>
        <v>Senarclens</v>
      </c>
      <c r="C67" s="95">
        <f>'B) D RI'!U69</f>
        <v>19511.48949637344</v>
      </c>
      <c r="D67" s="110">
        <f>'E) Part. coh. soc.'!G73/C67</f>
        <v>18.414557869394283</v>
      </c>
      <c r="E67" s="136">
        <f>'H) Péréquation directe'!I78/C67</f>
        <v>14.269378464897621</v>
      </c>
      <c r="F67" s="110">
        <f>+'I) Dépenses thématiques'!O67/'K) Plafonnement aide'!C67</f>
        <v>0</v>
      </c>
      <c r="G67" s="136">
        <f t="shared" si="1"/>
        <v>32.6839363342919</v>
      </c>
      <c r="H67" s="110">
        <f t="shared" si="2"/>
        <v>32.6839363342919</v>
      </c>
      <c r="I67" s="136">
        <f t="shared" si="3"/>
        <v>0</v>
      </c>
      <c r="J67" s="55">
        <f t="shared" si="4"/>
        <v>0</v>
      </c>
      <c r="K67" s="36"/>
    </row>
    <row r="68" spans="1:11" x14ac:dyDescent="0.25">
      <c r="A68" s="49">
        <f>'A) Base RI'!A70</f>
        <v>5500</v>
      </c>
      <c r="B68" s="291" t="str">
        <f>'A) Base RI'!B70</f>
        <v>Sévery</v>
      </c>
      <c r="C68" s="95">
        <f>'B) D RI'!U70</f>
        <v>6989.4068888888896</v>
      </c>
      <c r="D68" s="110">
        <f>'E) Part. coh. soc.'!G74/C68</f>
        <v>17.607480034551667</v>
      </c>
      <c r="E68" s="136">
        <f>'H) Péréquation directe'!I79/C68</f>
        <v>4.5973063573682031</v>
      </c>
      <c r="F68" s="110">
        <f>+'I) Dépenses thématiques'!O68/'K) Plafonnement aide'!C68</f>
        <v>-2.4740749379196032</v>
      </c>
      <c r="G68" s="136">
        <f t="shared" si="1"/>
        <v>19.730711454000268</v>
      </c>
      <c r="H68" s="110">
        <f t="shared" si="2"/>
        <v>22.204786391919871</v>
      </c>
      <c r="I68" s="136">
        <f t="shared" si="3"/>
        <v>0</v>
      </c>
      <c r="J68" s="55">
        <f t="shared" si="4"/>
        <v>0</v>
      </c>
      <c r="K68" s="36"/>
    </row>
    <row r="69" spans="1:11" x14ac:dyDescent="0.25">
      <c r="A69" s="49">
        <f>'A) Base RI'!A71</f>
        <v>5501</v>
      </c>
      <c r="B69" s="291" t="str">
        <f>'A) Base RI'!B71</f>
        <v>Sullens</v>
      </c>
      <c r="C69" s="95">
        <f>'B) D RI'!U71</f>
        <v>40420.112388899281</v>
      </c>
      <c r="D69" s="110">
        <f>'E) Part. coh. soc.'!G75/C69</f>
        <v>17.569141637991354</v>
      </c>
      <c r="E69" s="136">
        <f>'H) Péréquation directe'!I80/C69</f>
        <v>12.794377808837568</v>
      </c>
      <c r="F69" s="110">
        <f>+'I) Dépenses thématiques'!O69/'K) Plafonnement aide'!C69</f>
        <v>-0.15067699412614552</v>
      </c>
      <c r="G69" s="136">
        <f t="shared" ref="G69:G132" si="5">SUM(D69:F69)</f>
        <v>30.21284245270278</v>
      </c>
      <c r="H69" s="110">
        <f t="shared" ref="H69:H132" si="6">G69-F69</f>
        <v>30.363519446828924</v>
      </c>
      <c r="I69" s="136">
        <f t="shared" ref="I69:I132" si="7">IF(H69&lt;I$4,H69-I$4,0)</f>
        <v>0</v>
      </c>
      <c r="J69" s="55">
        <f t="shared" ref="J69:J132" si="8">-I69*C69</f>
        <v>0</v>
      </c>
      <c r="K69" s="36"/>
    </row>
    <row r="70" spans="1:11" x14ac:dyDescent="0.25">
      <c r="A70" s="49">
        <f>'A) Base RI'!A72</f>
        <v>5503</v>
      </c>
      <c r="B70" s="291" t="str">
        <f>'A) Base RI'!B72</f>
        <v>Vufflens-la-Ville</v>
      </c>
      <c r="C70" s="95">
        <f>'B) D RI'!U72</f>
        <v>89557.096460669622</v>
      </c>
      <c r="D70" s="110">
        <f>'E) Part. coh. soc.'!G76/C70</f>
        <v>23.495239187178019</v>
      </c>
      <c r="E70" s="136">
        <f>'H) Péréquation directe'!I81/C70</f>
        <v>17.087249856950283</v>
      </c>
      <c r="F70" s="110">
        <f>+'I) Dépenses thématiques'!O70/'K) Plafonnement aide'!C70</f>
        <v>0</v>
      </c>
      <c r="G70" s="136">
        <f t="shared" si="5"/>
        <v>40.582489044128302</v>
      </c>
      <c r="H70" s="110">
        <f t="shared" si="6"/>
        <v>40.582489044128302</v>
      </c>
      <c r="I70" s="136">
        <f t="shared" si="7"/>
        <v>0</v>
      </c>
      <c r="J70" s="55">
        <f t="shared" si="8"/>
        <v>0</v>
      </c>
      <c r="K70" s="36"/>
    </row>
    <row r="71" spans="1:11" x14ac:dyDescent="0.25">
      <c r="A71" s="49">
        <f>'A) Base RI'!A73</f>
        <v>5511</v>
      </c>
      <c r="B71" s="291" t="str">
        <f>'A) Base RI'!B73</f>
        <v>Assens</v>
      </c>
      <c r="C71" s="95">
        <f>'B) D RI'!U73</f>
        <v>50056.955709388079</v>
      </c>
      <c r="D71" s="110">
        <f>'E) Part. coh. soc.'!G77/C71</f>
        <v>17.979606127768129</v>
      </c>
      <c r="E71" s="136">
        <f>'H) Péréquation directe'!I82/C71</f>
        <v>16.618993584932664</v>
      </c>
      <c r="F71" s="110">
        <f>+'I) Dépenses thématiques'!O71/'K) Plafonnement aide'!C71</f>
        <v>-4.1274565167703745</v>
      </c>
      <c r="G71" s="136">
        <f t="shared" si="5"/>
        <v>30.471143195930416</v>
      </c>
      <c r="H71" s="110">
        <f t="shared" si="6"/>
        <v>34.598599712700789</v>
      </c>
      <c r="I71" s="136">
        <f t="shared" si="7"/>
        <v>0</v>
      </c>
      <c r="J71" s="55">
        <f t="shared" si="8"/>
        <v>0</v>
      </c>
      <c r="K71" s="36"/>
    </row>
    <row r="72" spans="1:11" x14ac:dyDescent="0.25">
      <c r="A72" s="49">
        <f>'A) Base RI'!A74</f>
        <v>5512</v>
      </c>
      <c r="B72" s="291" t="str">
        <f>'A) Base RI'!B74</f>
        <v>Bercher</v>
      </c>
      <c r="C72" s="95">
        <f>'B) D RI'!U74</f>
        <v>40014.173696623147</v>
      </c>
      <c r="D72" s="110">
        <f>'E) Part. coh. soc.'!G78/C72</f>
        <v>17.528552576371542</v>
      </c>
      <c r="E72" s="136">
        <f>'H) Péréquation directe'!I83/C72</f>
        <v>2.4292620410444203</v>
      </c>
      <c r="F72" s="110">
        <f>+'I) Dépenses thématiques'!O72/'K) Plafonnement aide'!C72</f>
        <v>-5.698276843610425</v>
      </c>
      <c r="G72" s="136">
        <f t="shared" si="5"/>
        <v>14.259537773805537</v>
      </c>
      <c r="H72" s="110">
        <f t="shared" si="6"/>
        <v>19.957814617415963</v>
      </c>
      <c r="I72" s="136">
        <f t="shared" si="7"/>
        <v>0</v>
      </c>
      <c r="J72" s="55">
        <f t="shared" si="8"/>
        <v>0</v>
      </c>
      <c r="K72" s="36"/>
    </row>
    <row r="73" spans="1:11" x14ac:dyDescent="0.25">
      <c r="A73" s="49">
        <f>'A) Base RI'!A75</f>
        <v>5513</v>
      </c>
      <c r="B73" s="291" t="str">
        <f>'A) Base RI'!B75</f>
        <v>Bioley-Orjulaz</v>
      </c>
      <c r="C73" s="95">
        <f>'B) D RI'!U75</f>
        <v>21084.156158347432</v>
      </c>
      <c r="D73" s="110">
        <f>'E) Part. coh. soc.'!G79/C73</f>
        <v>18.343191531589266</v>
      </c>
      <c r="E73" s="136">
        <f>'H) Péréquation directe'!I84/C73</f>
        <v>14.04868161630667</v>
      </c>
      <c r="F73" s="110">
        <f>+'I) Dépenses thématiques'!O73/'K) Plafonnement aide'!C73</f>
        <v>0</v>
      </c>
      <c r="G73" s="136">
        <f t="shared" si="5"/>
        <v>32.391873147895936</v>
      </c>
      <c r="H73" s="110">
        <f t="shared" si="6"/>
        <v>32.391873147895936</v>
      </c>
      <c r="I73" s="136">
        <f t="shared" si="7"/>
        <v>0</v>
      </c>
      <c r="J73" s="55">
        <f t="shared" si="8"/>
        <v>0</v>
      </c>
      <c r="K73" s="36"/>
    </row>
    <row r="74" spans="1:11" x14ac:dyDescent="0.25">
      <c r="A74" s="49">
        <f>'A) Base RI'!A76</f>
        <v>5514</v>
      </c>
      <c r="B74" s="291" t="str">
        <f>'A) Base RI'!B76</f>
        <v>Bottens</v>
      </c>
      <c r="C74" s="95">
        <f>'B) D RI'!U76</f>
        <v>40808.475827283124</v>
      </c>
      <c r="D74" s="110">
        <f>'E) Part. coh. soc.'!G80/C74</f>
        <v>16.883794782650764</v>
      </c>
      <c r="E74" s="136">
        <f>'H) Péréquation directe'!I85/C74</f>
        <v>3.9548404516406959</v>
      </c>
      <c r="F74" s="110">
        <f>+'I) Dépenses thématiques'!O74/'K) Plafonnement aide'!C74</f>
        <v>0</v>
      </c>
      <c r="G74" s="136">
        <f t="shared" si="5"/>
        <v>20.838635234291459</v>
      </c>
      <c r="H74" s="110">
        <f t="shared" si="6"/>
        <v>20.838635234291459</v>
      </c>
      <c r="I74" s="136">
        <f t="shared" si="7"/>
        <v>0</v>
      </c>
      <c r="J74" s="55">
        <f t="shared" si="8"/>
        <v>0</v>
      </c>
      <c r="K74" s="36"/>
    </row>
    <row r="75" spans="1:11" x14ac:dyDescent="0.25">
      <c r="A75" s="49">
        <f>'A) Base RI'!A77</f>
        <v>5515</v>
      </c>
      <c r="B75" s="291" t="str">
        <f>'A) Base RI'!B77</f>
        <v>Bretigny-sur-Morrens</v>
      </c>
      <c r="C75" s="95">
        <f>'B) D RI'!U77</f>
        <v>28817.325490208266</v>
      </c>
      <c r="D75" s="110">
        <f>'E) Part. coh. soc.'!G81/C75</f>
        <v>18.670626582178869</v>
      </c>
      <c r="E75" s="136">
        <f>'H) Péréquation directe'!I86/C75</f>
        <v>6.1964099174956138</v>
      </c>
      <c r="F75" s="110">
        <f>+'I) Dépenses thématiques'!O75/'K) Plafonnement aide'!C75</f>
        <v>-1.9845367767100468</v>
      </c>
      <c r="G75" s="136">
        <f t="shared" si="5"/>
        <v>22.882499722964436</v>
      </c>
      <c r="H75" s="110">
        <f t="shared" si="6"/>
        <v>24.867036499674484</v>
      </c>
      <c r="I75" s="136">
        <f t="shared" si="7"/>
        <v>0</v>
      </c>
      <c r="J75" s="55">
        <f t="shared" si="8"/>
        <v>0</v>
      </c>
      <c r="K75" s="36"/>
    </row>
    <row r="76" spans="1:11" x14ac:dyDescent="0.25">
      <c r="A76" s="49">
        <f>'A) Base RI'!A78</f>
        <v>5516</v>
      </c>
      <c r="B76" s="291" t="str">
        <f>'A) Base RI'!B78</f>
        <v>Cugy</v>
      </c>
      <c r="C76" s="95">
        <f>'B) D RI'!U78</f>
        <v>110914.83940385764</v>
      </c>
      <c r="D76" s="110">
        <f>'E) Part. coh. soc.'!G82/C76</f>
        <v>16.664145683701346</v>
      </c>
      <c r="E76" s="136">
        <f>'H) Péréquation directe'!I87/C76</f>
        <v>9.3538789081257701</v>
      </c>
      <c r="F76" s="110">
        <f>+'I) Dépenses thématiques'!O76/'K) Plafonnement aide'!C76</f>
        <v>-1.7596128741744395</v>
      </c>
      <c r="G76" s="136">
        <f t="shared" si="5"/>
        <v>24.258411717652674</v>
      </c>
      <c r="H76" s="110">
        <f t="shared" si="6"/>
        <v>26.018024591827114</v>
      </c>
      <c r="I76" s="136">
        <f t="shared" si="7"/>
        <v>0</v>
      </c>
      <c r="J76" s="55">
        <f t="shared" si="8"/>
        <v>0</v>
      </c>
      <c r="K76" s="36"/>
    </row>
    <row r="77" spans="1:11" x14ac:dyDescent="0.25">
      <c r="A77" s="49">
        <f>'A) Base RI'!A79</f>
        <v>5518</v>
      </c>
      <c r="B77" s="291" t="str">
        <f>'A) Base RI'!B79</f>
        <v>Echallens</v>
      </c>
      <c r="C77" s="95">
        <f>'B) D RI'!U79</f>
        <v>185740.88420378894</v>
      </c>
      <c r="D77" s="110">
        <f>'E) Part. coh. soc.'!G83/C77</f>
        <v>19.4489327102592</v>
      </c>
      <c r="E77" s="136">
        <f>'H) Péréquation directe'!I88/C77</f>
        <v>-1.6143927540520437</v>
      </c>
      <c r="F77" s="110">
        <f>+'I) Dépenses thématiques'!O77/'K) Plafonnement aide'!C77</f>
        <v>-5.3205751303986553</v>
      </c>
      <c r="G77" s="136">
        <f t="shared" si="5"/>
        <v>12.5139648258085</v>
      </c>
      <c r="H77" s="110">
        <f t="shared" si="6"/>
        <v>17.834539956207156</v>
      </c>
      <c r="I77" s="136">
        <f t="shared" si="7"/>
        <v>0</v>
      </c>
      <c r="J77" s="55">
        <f t="shared" si="8"/>
        <v>0</v>
      </c>
      <c r="K77" s="36"/>
    </row>
    <row r="78" spans="1:11" x14ac:dyDescent="0.25">
      <c r="A78" s="49">
        <f>'A) Base RI'!A80</f>
        <v>5520</v>
      </c>
      <c r="B78" s="291" t="str">
        <f>'A) Base RI'!B80</f>
        <v>Essertines-sur-Yverdon</v>
      </c>
      <c r="C78" s="95">
        <f>'B) D RI'!U80</f>
        <v>29832.653259959214</v>
      </c>
      <c r="D78" s="110">
        <f>'E) Part. coh. soc.'!G84/C78</f>
        <v>17.444453813548545</v>
      </c>
      <c r="E78" s="136">
        <f>'H) Péréquation directe'!I89/C78</f>
        <v>2.7075046332286976</v>
      </c>
      <c r="F78" s="110">
        <f>+'I) Dépenses thématiques'!O78/'K) Plafonnement aide'!C78</f>
        <v>-2.4860596315981858</v>
      </c>
      <c r="G78" s="136">
        <f t="shared" si="5"/>
        <v>17.665898815179059</v>
      </c>
      <c r="H78" s="110">
        <f t="shared" si="6"/>
        <v>20.151958446777243</v>
      </c>
      <c r="I78" s="136">
        <f t="shared" si="7"/>
        <v>0</v>
      </c>
      <c r="J78" s="55">
        <f t="shared" si="8"/>
        <v>0</v>
      </c>
      <c r="K78" s="36"/>
    </row>
    <row r="79" spans="1:11" x14ac:dyDescent="0.25">
      <c r="A79" s="49">
        <f>'A) Base RI'!A81</f>
        <v>5521</v>
      </c>
      <c r="B79" s="291" t="str">
        <f>'A) Base RI'!B81</f>
        <v>Etagnières</v>
      </c>
      <c r="C79" s="95">
        <f>'B) D RI'!U81</f>
        <v>48092.453261297029</v>
      </c>
      <c r="D79" s="110">
        <f>'E) Part. coh. soc.'!G85/C79</f>
        <v>18.074871411595641</v>
      </c>
      <c r="E79" s="136">
        <f>'H) Péréquation directe'!I90/C79</f>
        <v>14.027813572654079</v>
      </c>
      <c r="F79" s="110">
        <f>+'I) Dépenses thématiques'!O79/'K) Plafonnement aide'!C79</f>
        <v>-0.16093421617192538</v>
      </c>
      <c r="G79" s="136">
        <f t="shared" si="5"/>
        <v>31.941750768077796</v>
      </c>
      <c r="H79" s="110">
        <f t="shared" si="6"/>
        <v>32.10268498424972</v>
      </c>
      <c r="I79" s="136">
        <f t="shared" si="7"/>
        <v>0</v>
      </c>
      <c r="J79" s="55">
        <f t="shared" si="8"/>
        <v>0</v>
      </c>
      <c r="K79" s="36"/>
    </row>
    <row r="80" spans="1:11" x14ac:dyDescent="0.25">
      <c r="A80" s="49">
        <f>'A) Base RI'!A82</f>
        <v>5522</v>
      </c>
      <c r="B80" s="291" t="str">
        <f>'A) Base RI'!B82</f>
        <v>Fey</v>
      </c>
      <c r="C80" s="95">
        <f>'B) D RI'!U82</f>
        <v>22665.113066666665</v>
      </c>
      <c r="D80" s="110">
        <f>'E) Part. coh. soc.'!G86/C80</f>
        <v>17.633409976217507</v>
      </c>
      <c r="E80" s="136">
        <f>'H) Péréquation directe'!I91/C80</f>
        <v>3.8436593315246581</v>
      </c>
      <c r="F80" s="110">
        <f>+'I) Dépenses thématiques'!O80/'K) Plafonnement aide'!C80</f>
        <v>-0.69063113999819592</v>
      </c>
      <c r="G80" s="136">
        <f t="shared" si="5"/>
        <v>20.78643816774397</v>
      </c>
      <c r="H80" s="110">
        <f t="shared" si="6"/>
        <v>21.477069307742166</v>
      </c>
      <c r="I80" s="136">
        <f t="shared" si="7"/>
        <v>0</v>
      </c>
      <c r="J80" s="55">
        <f t="shared" si="8"/>
        <v>0</v>
      </c>
      <c r="K80" s="36"/>
    </row>
    <row r="81" spans="1:11" x14ac:dyDescent="0.25">
      <c r="A81" s="49">
        <f>'A) Base RI'!A83</f>
        <v>5523</v>
      </c>
      <c r="B81" s="291" t="str">
        <f>'A) Base RI'!B83</f>
        <v>Froideville</v>
      </c>
      <c r="C81" s="95">
        <f>'B) D RI'!U83</f>
        <v>89135.106646646644</v>
      </c>
      <c r="D81" s="110">
        <f>'E) Part. coh. soc.'!G87/C81</f>
        <v>16.733842684717938</v>
      </c>
      <c r="E81" s="136">
        <f>'H) Péréquation directe'!I92/C81</f>
        <v>3.532963725633846</v>
      </c>
      <c r="F81" s="110">
        <f>+'I) Dépenses thématiques'!O81/'K) Plafonnement aide'!C81</f>
        <v>-0.6004075831066833</v>
      </c>
      <c r="G81" s="136">
        <f t="shared" si="5"/>
        <v>19.6663988272451</v>
      </c>
      <c r="H81" s="110">
        <f t="shared" si="6"/>
        <v>20.266806410351784</v>
      </c>
      <c r="I81" s="136">
        <f t="shared" si="7"/>
        <v>0</v>
      </c>
      <c r="J81" s="55">
        <f t="shared" si="8"/>
        <v>0</v>
      </c>
      <c r="K81" s="36"/>
    </row>
    <row r="82" spans="1:11" x14ac:dyDescent="0.25">
      <c r="A82" s="49">
        <f>'A) Base RI'!A84</f>
        <v>5527</v>
      </c>
      <c r="B82" s="291" t="str">
        <f>'A) Base RI'!B84</f>
        <v>Morrens</v>
      </c>
      <c r="C82" s="95">
        <f>'B) D RI'!U84</f>
        <v>40159.939986831349</v>
      </c>
      <c r="D82" s="110">
        <f>'E) Part. coh. soc.'!G88/C82</f>
        <v>18.288901445860475</v>
      </c>
      <c r="E82" s="136">
        <f>'H) Péréquation directe'!I93/C82</f>
        <v>9.1519820077934</v>
      </c>
      <c r="F82" s="110">
        <f>+'I) Dépenses thématiques'!O82/'K) Plafonnement aide'!C82</f>
        <v>0</v>
      </c>
      <c r="G82" s="136">
        <f t="shared" si="5"/>
        <v>27.440883453653875</v>
      </c>
      <c r="H82" s="110">
        <f t="shared" si="6"/>
        <v>27.440883453653875</v>
      </c>
      <c r="I82" s="136">
        <f t="shared" si="7"/>
        <v>0</v>
      </c>
      <c r="J82" s="55">
        <f t="shared" si="8"/>
        <v>0</v>
      </c>
      <c r="K82" s="36"/>
    </row>
    <row r="83" spans="1:11" x14ac:dyDescent="0.25">
      <c r="A83" s="49">
        <f>'A) Base RI'!A85</f>
        <v>5529</v>
      </c>
      <c r="B83" s="291" t="str">
        <f>'A) Base RI'!B85</f>
        <v>Oulens-sous-Echallens</v>
      </c>
      <c r="C83" s="95">
        <f>'B) D RI'!U85</f>
        <v>21598.779787193034</v>
      </c>
      <c r="D83" s="110">
        <f>'E) Part. coh. soc.'!G89/C83</f>
        <v>17.157885817863402</v>
      </c>
      <c r="E83" s="136">
        <f>'H) Péréquation directe'!I94/C83</f>
        <v>9.9052265319904862</v>
      </c>
      <c r="F83" s="110">
        <f>+'I) Dépenses thématiques'!O83/'K) Plafonnement aide'!C83</f>
        <v>-2.4186741101053646</v>
      </c>
      <c r="G83" s="136">
        <f t="shared" si="5"/>
        <v>24.644438239748524</v>
      </c>
      <c r="H83" s="110">
        <f t="shared" si="6"/>
        <v>27.063112349853888</v>
      </c>
      <c r="I83" s="136">
        <f t="shared" si="7"/>
        <v>0</v>
      </c>
      <c r="J83" s="55">
        <f t="shared" si="8"/>
        <v>0</v>
      </c>
      <c r="K83" s="36"/>
    </row>
    <row r="84" spans="1:11" x14ac:dyDescent="0.25">
      <c r="A84" s="49">
        <f>'A) Base RI'!A86</f>
        <v>5530</v>
      </c>
      <c r="B84" s="291" t="str">
        <f>'A) Base RI'!B86</f>
        <v>Pailly</v>
      </c>
      <c r="C84" s="95">
        <f>'B) D RI'!U86</f>
        <v>17606.249882733009</v>
      </c>
      <c r="D84" s="110">
        <f>'E) Part. coh. soc.'!G90/C84</f>
        <v>18.336944457111134</v>
      </c>
      <c r="E84" s="136">
        <f>'H) Péréquation directe'!I95/C84</f>
        <v>4.4624892713177484</v>
      </c>
      <c r="F84" s="110">
        <f>+'I) Dépenses thématiques'!O84/'K) Plafonnement aide'!C84</f>
        <v>-20.353477043013065</v>
      </c>
      <c r="G84" s="136">
        <f t="shared" si="5"/>
        <v>2.4459566854158155</v>
      </c>
      <c r="H84" s="110">
        <f t="shared" si="6"/>
        <v>22.79943372842888</v>
      </c>
      <c r="I84" s="136">
        <f t="shared" si="7"/>
        <v>0</v>
      </c>
      <c r="J84" s="55">
        <f t="shared" si="8"/>
        <v>0</v>
      </c>
      <c r="K84" s="36"/>
    </row>
    <row r="85" spans="1:11" x14ac:dyDescent="0.25">
      <c r="A85" s="49">
        <f>'A) Base RI'!A87</f>
        <v>5531</v>
      </c>
      <c r="B85" s="291" t="str">
        <f>'A) Base RI'!B87</f>
        <v>Penthéréaz</v>
      </c>
      <c r="C85" s="95">
        <f>'B) D RI'!U87</f>
        <v>14646.364779076894</v>
      </c>
      <c r="D85" s="110">
        <f>'E) Part. coh. soc.'!G91/C85</f>
        <v>15.819305558021231</v>
      </c>
      <c r="E85" s="136">
        <f>'H) Péréquation directe'!I96/C85</f>
        <v>8.2964935283492895</v>
      </c>
      <c r="F85" s="110">
        <f>+'I) Dépenses thématiques'!O85/'K) Plafonnement aide'!C85</f>
        <v>-4.3188523433754638</v>
      </c>
      <c r="G85" s="136">
        <f t="shared" si="5"/>
        <v>19.796946742995058</v>
      </c>
      <c r="H85" s="110">
        <f t="shared" si="6"/>
        <v>24.115799086370522</v>
      </c>
      <c r="I85" s="136">
        <f t="shared" si="7"/>
        <v>0</v>
      </c>
      <c r="J85" s="55">
        <f t="shared" si="8"/>
        <v>0</v>
      </c>
      <c r="K85" s="36"/>
    </row>
    <row r="86" spans="1:11" x14ac:dyDescent="0.25">
      <c r="A86" s="49">
        <f>'A) Base RI'!A88</f>
        <v>5533</v>
      </c>
      <c r="B86" s="291" t="str">
        <f>'A) Base RI'!B88</f>
        <v>Poliez-Pittet</v>
      </c>
      <c r="C86" s="95">
        <f>'B) D RI'!U88</f>
        <v>22519.70890410959</v>
      </c>
      <c r="D86" s="110">
        <f>'E) Part. coh. soc.'!G92/C86</f>
        <v>18.503635107867858</v>
      </c>
      <c r="E86" s="136">
        <f>'H) Péréquation directe'!I97/C86</f>
        <v>0.43484343167102807</v>
      </c>
      <c r="F86" s="110">
        <f>+'I) Dépenses thématiques'!O86/'K) Plafonnement aide'!C86</f>
        <v>-3.413007923396334</v>
      </c>
      <c r="G86" s="136">
        <f t="shared" si="5"/>
        <v>15.525470616142551</v>
      </c>
      <c r="H86" s="110">
        <f t="shared" si="6"/>
        <v>18.938478539538885</v>
      </c>
      <c r="I86" s="136">
        <f t="shared" si="7"/>
        <v>0</v>
      </c>
      <c r="J86" s="55">
        <f t="shared" si="8"/>
        <v>0</v>
      </c>
      <c r="K86" s="36"/>
    </row>
    <row r="87" spans="1:11" x14ac:dyDescent="0.25">
      <c r="A87" s="49">
        <f>'A) Base RI'!A89</f>
        <v>5534</v>
      </c>
      <c r="B87" s="291" t="str">
        <f>'A) Base RI'!B89</f>
        <v>Rueyres</v>
      </c>
      <c r="C87" s="95">
        <f>'B) D RI'!U89</f>
        <v>10356.386166784428</v>
      </c>
      <c r="D87" s="110">
        <f>'E) Part. coh. soc.'!G93/C87</f>
        <v>17.761165412226052</v>
      </c>
      <c r="E87" s="136">
        <f>'H) Péréquation directe'!I98/C87</f>
        <v>12.70853420809955</v>
      </c>
      <c r="F87" s="110">
        <f>+'I) Dépenses thématiques'!O87/'K) Plafonnement aide'!C87</f>
        <v>-0.19695258732647833</v>
      </c>
      <c r="G87" s="136">
        <f t="shared" si="5"/>
        <v>30.272747032999124</v>
      </c>
      <c r="H87" s="110">
        <f t="shared" si="6"/>
        <v>30.469699620325603</v>
      </c>
      <c r="I87" s="136">
        <f t="shared" si="7"/>
        <v>0</v>
      </c>
      <c r="J87" s="55">
        <f t="shared" si="8"/>
        <v>0</v>
      </c>
      <c r="K87" s="36"/>
    </row>
    <row r="88" spans="1:11" x14ac:dyDescent="0.25">
      <c r="A88" s="49">
        <f>'A) Base RI'!A90</f>
        <v>5535</v>
      </c>
      <c r="B88" s="291" t="str">
        <f>'A) Base RI'!B90</f>
        <v>Saint-Barthélemy</v>
      </c>
      <c r="C88" s="95">
        <f>'B) D RI'!U90</f>
        <v>22444.916025525185</v>
      </c>
      <c r="D88" s="110">
        <f>'E) Part. coh. soc.'!G94/C88</f>
        <v>17.488228313281468</v>
      </c>
      <c r="E88" s="136">
        <f>'H) Péréquation directe'!I99/C88</f>
        <v>0.68056352757891136</v>
      </c>
      <c r="F88" s="110">
        <f>+'I) Dépenses thématiques'!O88/'K) Plafonnement aide'!C88</f>
        <v>-0.80939209172800797</v>
      </c>
      <c r="G88" s="136">
        <f t="shared" si="5"/>
        <v>17.359399749132372</v>
      </c>
      <c r="H88" s="110">
        <f t="shared" si="6"/>
        <v>18.168791840860379</v>
      </c>
      <c r="I88" s="136">
        <f t="shared" si="7"/>
        <v>0</v>
      </c>
      <c r="J88" s="55">
        <f t="shared" si="8"/>
        <v>0</v>
      </c>
      <c r="K88" s="36"/>
    </row>
    <row r="89" spans="1:11" x14ac:dyDescent="0.25">
      <c r="A89" s="49">
        <f>'A) Base RI'!A91</f>
        <v>5537</v>
      </c>
      <c r="B89" s="291" t="str">
        <f>'A) Base RI'!B91</f>
        <v>Villars-le-Terroir</v>
      </c>
      <c r="C89" s="95">
        <f>'B) D RI'!U91</f>
        <v>36279.342540673366</v>
      </c>
      <c r="D89" s="110">
        <f>'E) Part. coh. soc.'!G95/C89</f>
        <v>16.630911165463491</v>
      </c>
      <c r="E89" s="136">
        <f>'H) Péréquation directe'!I100/C89</f>
        <v>2.2545771580316751</v>
      </c>
      <c r="F89" s="110">
        <f>+'I) Dépenses thématiques'!O89/'K) Plafonnement aide'!C89</f>
        <v>-0.86747476806375157</v>
      </c>
      <c r="G89" s="136">
        <f t="shared" si="5"/>
        <v>18.018013555431416</v>
      </c>
      <c r="H89" s="110">
        <f t="shared" si="6"/>
        <v>18.885488323495167</v>
      </c>
      <c r="I89" s="136">
        <f t="shared" si="7"/>
        <v>0</v>
      </c>
      <c r="J89" s="55">
        <f t="shared" si="8"/>
        <v>0</v>
      </c>
      <c r="K89" s="36"/>
    </row>
    <row r="90" spans="1:11" x14ac:dyDescent="0.25">
      <c r="A90" s="49">
        <f>'A) Base RI'!A92</f>
        <v>5539</v>
      </c>
      <c r="B90" s="291" t="str">
        <f>'A) Base RI'!B92</f>
        <v>Vuarrens</v>
      </c>
      <c r="C90" s="95">
        <f>'B) D RI'!U92</f>
        <v>30001.761907299908</v>
      </c>
      <c r="D90" s="110">
        <f>'E) Part. coh. soc.'!G96/C90</f>
        <v>18.777492064750344</v>
      </c>
      <c r="E90" s="136">
        <f>'H) Péréquation directe'!I101/C90</f>
        <v>1.1459516072836964</v>
      </c>
      <c r="F90" s="110">
        <f>+'I) Dépenses thématiques'!O90/'K) Plafonnement aide'!C90</f>
        <v>-0.72417465412874649</v>
      </c>
      <c r="G90" s="136">
        <f t="shared" si="5"/>
        <v>19.199269017905294</v>
      </c>
      <c r="H90" s="110">
        <f t="shared" si="6"/>
        <v>19.92344367203404</v>
      </c>
      <c r="I90" s="136">
        <f t="shared" si="7"/>
        <v>0</v>
      </c>
      <c r="J90" s="55">
        <f t="shared" si="8"/>
        <v>0</v>
      </c>
      <c r="K90" s="36"/>
    </row>
    <row r="91" spans="1:11" x14ac:dyDescent="0.25">
      <c r="A91" s="49">
        <f>'A) Base RI'!A93</f>
        <v>5540</v>
      </c>
      <c r="B91" s="291" t="str">
        <f>'A) Base RI'!B93</f>
        <v>Montilliez</v>
      </c>
      <c r="C91" s="95">
        <f>'B) D RI'!U93</f>
        <v>64637.646238645939</v>
      </c>
      <c r="D91" s="110">
        <f>'E) Part. coh. soc.'!G97/C91</f>
        <v>16.553850053860248</v>
      </c>
      <c r="E91" s="136">
        <f>'H) Péréquation directe'!I102/C91</f>
        <v>6.8801682829681337</v>
      </c>
      <c r="F91" s="110">
        <f>+'I) Dépenses thématiques'!O91/'K) Plafonnement aide'!C91</f>
        <v>-4.3994415701558989</v>
      </c>
      <c r="G91" s="136">
        <f t="shared" si="5"/>
        <v>19.03457676667248</v>
      </c>
      <c r="H91" s="110">
        <f t="shared" si="6"/>
        <v>23.43401833682838</v>
      </c>
      <c r="I91" s="136">
        <f t="shared" si="7"/>
        <v>0</v>
      </c>
      <c r="J91" s="55">
        <f t="shared" si="8"/>
        <v>0</v>
      </c>
      <c r="K91" s="36"/>
    </row>
    <row r="92" spans="1:11" x14ac:dyDescent="0.25">
      <c r="A92" s="49">
        <f>'A) Base RI'!A94</f>
        <v>5541</v>
      </c>
      <c r="B92" s="291" t="str">
        <f>'A) Base RI'!B94</f>
        <v>Goumoëns</v>
      </c>
      <c r="C92" s="95">
        <f>'B) D RI'!U94</f>
        <v>37288.389369533332</v>
      </c>
      <c r="D92" s="110">
        <f>'E) Part. coh. soc.'!G98/C92</f>
        <v>18.244674621182423</v>
      </c>
      <c r="E92" s="136">
        <f>'H) Péréquation directe'!I103/C92</f>
        <v>5.4463291355012577</v>
      </c>
      <c r="F92" s="110">
        <f>+'I) Dépenses thématiques'!O92/'K) Plafonnement aide'!C92</f>
        <v>-7.7493566420791443E-2</v>
      </c>
      <c r="G92" s="136">
        <f t="shared" si="5"/>
        <v>23.61351019026289</v>
      </c>
      <c r="H92" s="110">
        <f t="shared" si="6"/>
        <v>23.691003756683681</v>
      </c>
      <c r="I92" s="136">
        <f t="shared" si="7"/>
        <v>0</v>
      </c>
      <c r="J92" s="55">
        <f t="shared" si="8"/>
        <v>0</v>
      </c>
      <c r="K92" s="36"/>
    </row>
    <row r="93" spans="1:11" x14ac:dyDescent="0.25">
      <c r="A93" s="49">
        <f>'A) Base RI'!A95</f>
        <v>5551</v>
      </c>
      <c r="B93" s="291" t="str">
        <f>'A) Base RI'!B95</f>
        <v>Bonvillars</v>
      </c>
      <c r="C93" s="95">
        <f>'B) D RI'!U95</f>
        <v>18267.607293736826</v>
      </c>
      <c r="D93" s="110">
        <f>'E) Part. coh. soc.'!G99/C93</f>
        <v>16.003794626743531</v>
      </c>
      <c r="E93" s="136">
        <f>'H) Péréquation directe'!I104/C93</f>
        <v>13.485374150451516</v>
      </c>
      <c r="F93" s="110">
        <f>+'I) Dépenses thématiques'!O93/'K) Plafonnement aide'!C93</f>
        <v>-4.926160013168575</v>
      </c>
      <c r="G93" s="136">
        <f t="shared" si="5"/>
        <v>24.56300876402647</v>
      </c>
      <c r="H93" s="110">
        <f t="shared" si="6"/>
        <v>29.489168777195047</v>
      </c>
      <c r="I93" s="136">
        <f t="shared" si="7"/>
        <v>0</v>
      </c>
      <c r="J93" s="55">
        <f t="shared" si="8"/>
        <v>0</v>
      </c>
      <c r="K93" s="36"/>
    </row>
    <row r="94" spans="1:11" x14ac:dyDescent="0.25">
      <c r="A94" s="49">
        <f>'A) Base RI'!A96</f>
        <v>5552</v>
      </c>
      <c r="B94" s="291" t="str">
        <f>'A) Base RI'!B96</f>
        <v>Bullet</v>
      </c>
      <c r="C94" s="95">
        <f>'B) D RI'!U96</f>
        <v>18370.265732879256</v>
      </c>
      <c r="D94" s="110">
        <f>'E) Part. coh. soc.'!G100/C94</f>
        <v>18.95678713064893</v>
      </c>
      <c r="E94" s="136">
        <f>'H) Péréquation directe'!I105/C94</f>
        <v>1.5807130898094763</v>
      </c>
      <c r="F94" s="110">
        <f>+'I) Dépenses thématiques'!O94/'K) Plafonnement aide'!C94</f>
        <v>-11.137943421414874</v>
      </c>
      <c r="G94" s="136">
        <f t="shared" si="5"/>
        <v>9.3995567990435305</v>
      </c>
      <c r="H94" s="110">
        <f t="shared" si="6"/>
        <v>20.537500220458405</v>
      </c>
      <c r="I94" s="136">
        <f t="shared" si="7"/>
        <v>0</v>
      </c>
      <c r="J94" s="55">
        <f t="shared" si="8"/>
        <v>0</v>
      </c>
      <c r="K94" s="36"/>
    </row>
    <row r="95" spans="1:11" x14ac:dyDescent="0.25">
      <c r="A95" s="49">
        <f>'A) Base RI'!A97</f>
        <v>5553</v>
      </c>
      <c r="B95" s="291" t="str">
        <f>'A) Base RI'!B97</f>
        <v>Champagne</v>
      </c>
      <c r="C95" s="95">
        <f>'B) D RI'!U97</f>
        <v>37727.892502871691</v>
      </c>
      <c r="D95" s="110">
        <f>'E) Part. coh. soc.'!G101/C95</f>
        <v>18.234321335027058</v>
      </c>
      <c r="E95" s="136">
        <f>'H) Péréquation directe'!I106/C95</f>
        <v>10.91089913948373</v>
      </c>
      <c r="F95" s="110">
        <f>+'I) Dépenses thématiques'!O95/'K) Plafonnement aide'!C95</f>
        <v>-4.590043254427469</v>
      </c>
      <c r="G95" s="136">
        <f t="shared" si="5"/>
        <v>24.555177220083316</v>
      </c>
      <c r="H95" s="110">
        <f t="shared" si="6"/>
        <v>29.145220474510786</v>
      </c>
      <c r="I95" s="136">
        <f t="shared" si="7"/>
        <v>0</v>
      </c>
      <c r="J95" s="55">
        <f t="shared" si="8"/>
        <v>0</v>
      </c>
      <c r="K95" s="36"/>
    </row>
    <row r="96" spans="1:11" x14ac:dyDescent="0.25">
      <c r="A96" s="49">
        <f>'A) Base RI'!A98</f>
        <v>5554</v>
      </c>
      <c r="B96" s="291" t="str">
        <f>'A) Base RI'!B98</f>
        <v>Concise</v>
      </c>
      <c r="C96" s="95">
        <f>'B) D RI'!U98</f>
        <v>33273.512128706279</v>
      </c>
      <c r="D96" s="110">
        <f>'E) Part. coh. soc.'!G102/C96</f>
        <v>20.901050864327992</v>
      </c>
      <c r="E96" s="136">
        <f>'H) Péréquation directe'!I107/C96</f>
        <v>6.3461398779333784</v>
      </c>
      <c r="F96" s="110">
        <f>+'I) Dépenses thématiques'!O96/'K) Plafonnement aide'!C96</f>
        <v>-4.4229226975380156</v>
      </c>
      <c r="G96" s="136">
        <f t="shared" si="5"/>
        <v>22.824268044723354</v>
      </c>
      <c r="H96" s="110">
        <f t="shared" si="6"/>
        <v>27.24719074226137</v>
      </c>
      <c r="I96" s="136">
        <f t="shared" si="7"/>
        <v>0</v>
      </c>
      <c r="J96" s="55">
        <f t="shared" si="8"/>
        <v>0</v>
      </c>
      <c r="K96" s="36"/>
    </row>
    <row r="97" spans="1:11" x14ac:dyDescent="0.25">
      <c r="A97" s="49">
        <f>'A) Base RI'!A99</f>
        <v>5555</v>
      </c>
      <c r="B97" s="291" t="str">
        <f>'A) Base RI'!B99</f>
        <v>Corcelles-près-Concise</v>
      </c>
      <c r="C97" s="95">
        <f>'B) D RI'!U99</f>
        <v>13532.861505055624</v>
      </c>
      <c r="D97" s="110">
        <f>'E) Part. coh. soc.'!G103/C97</f>
        <v>18.739743703521842</v>
      </c>
      <c r="E97" s="136">
        <f>'H) Péréquation directe'!I108/C97</f>
        <v>8.6997809827446186</v>
      </c>
      <c r="F97" s="110">
        <f>+'I) Dépenses thématiques'!O97/'K) Plafonnement aide'!C97</f>
        <v>-7.9808077379088589</v>
      </c>
      <c r="G97" s="136">
        <f t="shared" si="5"/>
        <v>19.458716948357601</v>
      </c>
      <c r="H97" s="110">
        <f t="shared" si="6"/>
        <v>27.439524686266459</v>
      </c>
      <c r="I97" s="136">
        <f t="shared" si="7"/>
        <v>0</v>
      </c>
      <c r="J97" s="55">
        <f t="shared" si="8"/>
        <v>0</v>
      </c>
      <c r="K97" s="36"/>
    </row>
    <row r="98" spans="1:11" x14ac:dyDescent="0.25">
      <c r="A98" s="49">
        <f>'A) Base RI'!A100</f>
        <v>5556</v>
      </c>
      <c r="B98" s="291" t="str">
        <f>'A) Base RI'!B100</f>
        <v>Fiez</v>
      </c>
      <c r="C98" s="95">
        <f>'B) D RI'!U100</f>
        <v>13065.326581020432</v>
      </c>
      <c r="D98" s="110">
        <f>'E) Part. coh. soc.'!G104/C98</f>
        <v>16.448462336021372</v>
      </c>
      <c r="E98" s="136">
        <f>'H) Péréquation directe'!I109/C98</f>
        <v>4.7158698325903714</v>
      </c>
      <c r="F98" s="110">
        <f>+'I) Dépenses thématiques'!O98/'K) Plafonnement aide'!C98</f>
        <v>-9.9116029360247957</v>
      </c>
      <c r="G98" s="136">
        <f t="shared" si="5"/>
        <v>11.252729232586947</v>
      </c>
      <c r="H98" s="110">
        <f t="shared" si="6"/>
        <v>21.164332168611743</v>
      </c>
      <c r="I98" s="136">
        <f t="shared" si="7"/>
        <v>0</v>
      </c>
      <c r="J98" s="55">
        <f t="shared" si="8"/>
        <v>0</v>
      </c>
      <c r="K98" s="36"/>
    </row>
    <row r="99" spans="1:11" x14ac:dyDescent="0.25">
      <c r="A99" s="49">
        <f>'A) Base RI'!A101</f>
        <v>5557</v>
      </c>
      <c r="B99" s="291" t="str">
        <f>'A) Base RI'!B101</f>
        <v>Fontaines-sur-Grandson</v>
      </c>
      <c r="C99" s="95">
        <f>'B) D RI'!U101</f>
        <v>6528.2227757093106</v>
      </c>
      <c r="D99" s="110">
        <f>'E) Part. coh. soc.'!G105/C99</f>
        <v>15.667465467448494</v>
      </c>
      <c r="E99" s="136">
        <f>'H) Péréquation directe'!I110/C99</f>
        <v>5.8306938231181933</v>
      </c>
      <c r="F99" s="110">
        <f>+'I) Dépenses thématiques'!O99/'K) Plafonnement aide'!C99</f>
        <v>-5.3298436490481516</v>
      </c>
      <c r="G99" s="136">
        <f t="shared" si="5"/>
        <v>16.168315641518536</v>
      </c>
      <c r="H99" s="110">
        <f t="shared" si="6"/>
        <v>21.498159290566687</v>
      </c>
      <c r="I99" s="136">
        <f t="shared" si="7"/>
        <v>0</v>
      </c>
      <c r="J99" s="55">
        <f t="shared" si="8"/>
        <v>0</v>
      </c>
      <c r="K99" s="36"/>
    </row>
    <row r="100" spans="1:11" x14ac:dyDescent="0.25">
      <c r="A100" s="49">
        <f>'A) Base RI'!A102</f>
        <v>5559</v>
      </c>
      <c r="B100" s="291" t="str">
        <f>'A) Base RI'!B102</f>
        <v>Giez</v>
      </c>
      <c r="C100" s="95">
        <f>'B) D RI'!U102</f>
        <v>20929.407833065721</v>
      </c>
      <c r="D100" s="110">
        <f>'E) Part. coh. soc.'!G106/C100</f>
        <v>18.483703049449606</v>
      </c>
      <c r="E100" s="136">
        <f>'H) Péréquation directe'!I111/C100</f>
        <v>17.163688421269917</v>
      </c>
      <c r="F100" s="110">
        <f>+'I) Dépenses thématiques'!O100/'K) Plafonnement aide'!C100</f>
        <v>0</v>
      </c>
      <c r="G100" s="136">
        <f t="shared" si="5"/>
        <v>35.647391470719526</v>
      </c>
      <c r="H100" s="110">
        <f t="shared" si="6"/>
        <v>35.647391470719526</v>
      </c>
      <c r="I100" s="136">
        <f t="shared" si="7"/>
        <v>0</v>
      </c>
      <c r="J100" s="55">
        <f t="shared" si="8"/>
        <v>0</v>
      </c>
      <c r="K100" s="36"/>
    </row>
    <row r="101" spans="1:11" x14ac:dyDescent="0.25">
      <c r="A101" s="49">
        <f>'A) Base RI'!A103</f>
        <v>5560</v>
      </c>
      <c r="B101" s="291" t="str">
        <f>'A) Base RI'!B103</f>
        <v>Grandevent</v>
      </c>
      <c r="C101" s="95">
        <f>'B) D RI'!U103</f>
        <v>7416.8272615804444</v>
      </c>
      <c r="D101" s="110">
        <f>'E) Part. coh. soc.'!G107/C101</f>
        <v>17.24376911924044</v>
      </c>
      <c r="E101" s="136">
        <f>'H) Péréquation directe'!I112/C101</f>
        <v>9.0075699912155809</v>
      </c>
      <c r="F101" s="110">
        <f>+'I) Dépenses thématiques'!O101/'K) Plafonnement aide'!C101</f>
        <v>-1.3253985835672653</v>
      </c>
      <c r="G101" s="136">
        <f t="shared" si="5"/>
        <v>24.925940526888759</v>
      </c>
      <c r="H101" s="110">
        <f t="shared" si="6"/>
        <v>26.251339110456023</v>
      </c>
      <c r="I101" s="136">
        <f t="shared" si="7"/>
        <v>0</v>
      </c>
      <c r="J101" s="55">
        <f t="shared" si="8"/>
        <v>0</v>
      </c>
      <c r="K101" s="36"/>
    </row>
    <row r="102" spans="1:11" x14ac:dyDescent="0.25">
      <c r="A102" s="49">
        <f>'A) Base RI'!A104</f>
        <v>5561</v>
      </c>
      <c r="B102" s="291" t="str">
        <f>'A) Base RI'!B104</f>
        <v>Grandson</v>
      </c>
      <c r="C102" s="95">
        <f>'B) D RI'!U104</f>
        <v>113273.1793379919</v>
      </c>
      <c r="D102" s="110">
        <f>'E) Part. coh. soc.'!G108/C102</f>
        <v>26.970695758564375</v>
      </c>
      <c r="E102" s="136">
        <f>'H) Péréquation directe'!I113/C102</f>
        <v>4.1211597528635942</v>
      </c>
      <c r="F102" s="110">
        <f>+'I) Dépenses thématiques'!O102/'K) Plafonnement aide'!C102</f>
        <v>-9.100015539330002</v>
      </c>
      <c r="G102" s="136">
        <f t="shared" si="5"/>
        <v>21.991839972097967</v>
      </c>
      <c r="H102" s="110">
        <f t="shared" si="6"/>
        <v>31.091855511427969</v>
      </c>
      <c r="I102" s="136">
        <f t="shared" si="7"/>
        <v>0</v>
      </c>
      <c r="J102" s="55">
        <f t="shared" si="8"/>
        <v>0</v>
      </c>
      <c r="K102" s="36"/>
    </row>
    <row r="103" spans="1:11" x14ac:dyDescent="0.25">
      <c r="A103" s="49">
        <f>'A) Base RI'!A105</f>
        <v>5562</v>
      </c>
      <c r="B103" s="291" t="str">
        <f>'A) Base RI'!B105</f>
        <v>Mauborget</v>
      </c>
      <c r="C103" s="95">
        <f>'B) D RI'!U105</f>
        <v>5481.8555000000006</v>
      </c>
      <c r="D103" s="110">
        <f>'E) Part. coh. soc.'!G109/C103</f>
        <v>22.922938071901779</v>
      </c>
      <c r="E103" s="136">
        <f>'H) Péréquation directe'!I114/C103</f>
        <v>16.763790369429515</v>
      </c>
      <c r="F103" s="110">
        <f>+'I) Dépenses thématiques'!O103/'K) Plafonnement aide'!C103</f>
        <v>-0.15699273926734594</v>
      </c>
      <c r="G103" s="136">
        <f t="shared" si="5"/>
        <v>39.529735702063952</v>
      </c>
      <c r="H103" s="110">
        <f t="shared" si="6"/>
        <v>39.686728441331297</v>
      </c>
      <c r="I103" s="136">
        <f t="shared" si="7"/>
        <v>0</v>
      </c>
      <c r="J103" s="55">
        <f t="shared" si="8"/>
        <v>0</v>
      </c>
      <c r="K103" s="36"/>
    </row>
    <row r="104" spans="1:11" x14ac:dyDescent="0.25">
      <c r="A104" s="49">
        <f>'A) Base RI'!A106</f>
        <v>5563</v>
      </c>
      <c r="B104" s="291" t="str">
        <f>'A) Base RI'!B106</f>
        <v>Mutrux</v>
      </c>
      <c r="C104" s="95">
        <f>'B) D RI'!U106</f>
        <v>4024.138375587273</v>
      </c>
      <c r="D104" s="110">
        <f>'E) Part. coh. soc.'!G110/C104</f>
        <v>15.922633936009181</v>
      </c>
      <c r="E104" s="136">
        <f>'H) Péréquation directe'!I115/C104</f>
        <v>-4.0536425637998521</v>
      </c>
      <c r="F104" s="110">
        <f>+'I) Dépenses thématiques'!O104/'K) Plafonnement aide'!C104</f>
        <v>-7.062038157987959</v>
      </c>
      <c r="G104" s="136">
        <f t="shared" si="5"/>
        <v>4.8069532142213705</v>
      </c>
      <c r="H104" s="110">
        <f t="shared" si="6"/>
        <v>11.868991372209329</v>
      </c>
      <c r="I104" s="136">
        <f t="shared" si="7"/>
        <v>0</v>
      </c>
      <c r="J104" s="55">
        <f t="shared" si="8"/>
        <v>0</v>
      </c>
      <c r="K104" s="36"/>
    </row>
    <row r="105" spans="1:11" x14ac:dyDescent="0.25">
      <c r="A105" s="49">
        <f>'A) Base RI'!A107</f>
        <v>5564</v>
      </c>
      <c r="B105" s="291" t="str">
        <f>'A) Base RI'!B107</f>
        <v>Novalles</v>
      </c>
      <c r="C105" s="95">
        <f>'B) D RI'!U107</f>
        <v>2262.9000968180799</v>
      </c>
      <c r="D105" s="110">
        <f>'E) Part. coh. soc.'!G111/C105</f>
        <v>15.337323613908369</v>
      </c>
      <c r="E105" s="136">
        <f>'H) Péréquation directe'!I116/C105</f>
        <v>-9.4568558712525554</v>
      </c>
      <c r="F105" s="110">
        <f>+'I) Dépenses thématiques'!O105/'K) Plafonnement aide'!C105</f>
        <v>-4.3661609912943069</v>
      </c>
      <c r="G105" s="136">
        <f t="shared" si="5"/>
        <v>1.5143067513615067</v>
      </c>
      <c r="H105" s="110">
        <f t="shared" si="6"/>
        <v>5.8804677426558136</v>
      </c>
      <c r="I105" s="136">
        <f t="shared" si="7"/>
        <v>0</v>
      </c>
      <c r="J105" s="55">
        <f t="shared" si="8"/>
        <v>0</v>
      </c>
      <c r="K105" s="36"/>
    </row>
    <row r="106" spans="1:11" x14ac:dyDescent="0.25">
      <c r="A106" s="49">
        <f>'A) Base RI'!A108</f>
        <v>5565</v>
      </c>
      <c r="B106" s="291" t="str">
        <f>'A) Base RI'!B108</f>
        <v>Onnens</v>
      </c>
      <c r="C106" s="95">
        <f>'B) D RI'!U108</f>
        <v>18662.496602351366</v>
      </c>
      <c r="D106" s="110">
        <f>'E) Part. coh. soc.'!G112/C106</f>
        <v>20.151088087193333</v>
      </c>
      <c r="E106" s="136">
        <f>'H) Péréquation directe'!I117/C106</f>
        <v>12.54907754194226</v>
      </c>
      <c r="F106" s="110">
        <f>+'I) Dépenses thématiques'!O106/'K) Plafonnement aide'!C106</f>
        <v>-3.2462111492116392</v>
      </c>
      <c r="G106" s="136">
        <f t="shared" si="5"/>
        <v>29.453954479923958</v>
      </c>
      <c r="H106" s="110">
        <f t="shared" si="6"/>
        <v>32.700165629135597</v>
      </c>
      <c r="I106" s="136">
        <f t="shared" si="7"/>
        <v>0</v>
      </c>
      <c r="J106" s="55">
        <f t="shared" si="8"/>
        <v>0</v>
      </c>
      <c r="K106" s="36"/>
    </row>
    <row r="107" spans="1:11" x14ac:dyDescent="0.25">
      <c r="A107" s="49">
        <f>'A) Base RI'!A109</f>
        <v>5566</v>
      </c>
      <c r="B107" s="291" t="str">
        <f>'A) Base RI'!B109</f>
        <v>Provence</v>
      </c>
      <c r="C107" s="95">
        <f>'B) D RI'!U109</f>
        <v>8507.523402669327</v>
      </c>
      <c r="D107" s="110">
        <f>'E) Part. coh. soc.'!G113/C107</f>
        <v>20.481185490079508</v>
      </c>
      <c r="E107" s="136">
        <f>'H) Péréquation directe'!I118/C107</f>
        <v>-13.129222285329863</v>
      </c>
      <c r="F107" s="110">
        <f>+'I) Dépenses thématiques'!O107/'K) Plafonnement aide'!C107</f>
        <v>-24.868486761796884</v>
      </c>
      <c r="G107" s="136">
        <f t="shared" si="5"/>
        <v>-17.51652355704724</v>
      </c>
      <c r="H107" s="110">
        <f t="shared" si="6"/>
        <v>7.3519632047496444</v>
      </c>
      <c r="I107" s="136">
        <f t="shared" si="7"/>
        <v>0</v>
      </c>
      <c r="J107" s="55">
        <f t="shared" si="8"/>
        <v>0</v>
      </c>
      <c r="K107" s="36"/>
    </row>
    <row r="108" spans="1:11" x14ac:dyDescent="0.25">
      <c r="A108" s="49">
        <f>'A) Base RI'!A110</f>
        <v>5568</v>
      </c>
      <c r="B108" s="291" t="str">
        <f>'A) Base RI'!B110</f>
        <v>Sainte-Croix</v>
      </c>
      <c r="C108" s="95">
        <f>'B) D RI'!U110</f>
        <v>109442.50057575936</v>
      </c>
      <c r="D108" s="110">
        <f>'E) Part. coh. soc.'!G114/C108</f>
        <v>25.016609975018032</v>
      </c>
      <c r="E108" s="136">
        <f>'H) Péréquation directe'!I119/C108</f>
        <v>-16.997740373608305</v>
      </c>
      <c r="F108" s="110">
        <f>+'I) Dépenses thématiques'!O108/'K) Plafonnement aide'!C108</f>
        <v>-11.948558088939095</v>
      </c>
      <c r="G108" s="136">
        <f t="shared" si="5"/>
        <v>-3.9296884875293685</v>
      </c>
      <c r="H108" s="110">
        <f t="shared" si="6"/>
        <v>8.018869601409726</v>
      </c>
      <c r="I108" s="136">
        <f t="shared" si="7"/>
        <v>0</v>
      </c>
      <c r="J108" s="55">
        <f t="shared" si="8"/>
        <v>0</v>
      </c>
      <c r="K108" s="36"/>
    </row>
    <row r="109" spans="1:11" x14ac:dyDescent="0.25">
      <c r="A109" s="49">
        <f>'A) Base RI'!A111</f>
        <v>5571</v>
      </c>
      <c r="B109" s="291" t="str">
        <f>'A) Base RI'!B111</f>
        <v>Tévenon</v>
      </c>
      <c r="C109" s="95">
        <f>'B) D RI'!U111</f>
        <v>24814.739648311806</v>
      </c>
      <c r="D109" s="110">
        <f>'E) Part. coh. soc.'!G115/C109</f>
        <v>18.139168548014705</v>
      </c>
      <c r="E109" s="136">
        <f>'H) Péréquation directe'!I120/C109</f>
        <v>1.2053598086032919</v>
      </c>
      <c r="F109" s="110">
        <f>+'I) Dépenses thématiques'!O109/'K) Plafonnement aide'!C109</f>
        <v>-4.7638376882311908</v>
      </c>
      <c r="G109" s="136">
        <f t="shared" si="5"/>
        <v>14.580690668386804</v>
      </c>
      <c r="H109" s="110">
        <f t="shared" si="6"/>
        <v>19.344528356617996</v>
      </c>
      <c r="I109" s="136">
        <f t="shared" si="7"/>
        <v>0</v>
      </c>
      <c r="J109" s="55">
        <f t="shared" si="8"/>
        <v>0</v>
      </c>
      <c r="K109" s="36"/>
    </row>
    <row r="110" spans="1:11" x14ac:dyDescent="0.25">
      <c r="A110" s="49">
        <f>'A) Base RI'!A112</f>
        <v>5581</v>
      </c>
      <c r="B110" s="291" t="str">
        <f>'A) Base RI'!B112</f>
        <v>Belmont-sur-Lausanne</v>
      </c>
      <c r="C110" s="95">
        <f>'B) D RI'!U112</f>
        <v>187390.297037037</v>
      </c>
      <c r="D110" s="110">
        <f>'E) Part. coh. soc.'!G116/C110</f>
        <v>18.371128854427013</v>
      </c>
      <c r="E110" s="136">
        <f>'H) Péréquation directe'!I121/C110</f>
        <v>13.15108679979949</v>
      </c>
      <c r="F110" s="110">
        <f>+'I) Dépenses thématiques'!O110/'K) Plafonnement aide'!C110</f>
        <v>-5.3009368911085861</v>
      </c>
      <c r="G110" s="136">
        <f t="shared" si="5"/>
        <v>26.221278763117915</v>
      </c>
      <c r="H110" s="110">
        <f t="shared" si="6"/>
        <v>31.5222156542265</v>
      </c>
      <c r="I110" s="136">
        <f t="shared" si="7"/>
        <v>0</v>
      </c>
      <c r="J110" s="55">
        <f t="shared" si="8"/>
        <v>0</v>
      </c>
      <c r="K110" s="36"/>
    </row>
    <row r="111" spans="1:11" x14ac:dyDescent="0.25">
      <c r="A111" s="49">
        <f>'A) Base RI'!A113</f>
        <v>5582</v>
      </c>
      <c r="B111" s="291" t="str">
        <f>'A) Base RI'!B113</f>
        <v>Cheseaux-sur-Lausanne</v>
      </c>
      <c r="C111" s="95">
        <f>'B) D RI'!U113</f>
        <v>165596.20409124478</v>
      </c>
      <c r="D111" s="110">
        <f>'E) Part. coh. soc.'!G117/C111</f>
        <v>18.996372193459408</v>
      </c>
      <c r="E111" s="136">
        <f>'H) Péréquation directe'!I122/C111</f>
        <v>6.0789215532469703</v>
      </c>
      <c r="F111" s="110">
        <f>+'I) Dépenses thématiques'!O111/'K) Plafonnement aide'!C111</f>
        <v>-2.13882756662644</v>
      </c>
      <c r="G111" s="136">
        <f t="shared" si="5"/>
        <v>22.93646618007994</v>
      </c>
      <c r="H111" s="110">
        <f t="shared" si="6"/>
        <v>25.075293746706379</v>
      </c>
      <c r="I111" s="136">
        <f t="shared" si="7"/>
        <v>0</v>
      </c>
      <c r="J111" s="55">
        <f t="shared" si="8"/>
        <v>0</v>
      </c>
      <c r="K111" s="36"/>
    </row>
    <row r="112" spans="1:11" x14ac:dyDescent="0.25">
      <c r="A112" s="49">
        <f>'A) Base RI'!A114</f>
        <v>5583</v>
      </c>
      <c r="B112" s="291" t="str">
        <f>'A) Base RI'!B114</f>
        <v>Crissier</v>
      </c>
      <c r="C112" s="95">
        <f>'B) D RI'!U114</f>
        <v>307386.12106978399</v>
      </c>
      <c r="D112" s="110">
        <f>'E) Part. coh. soc.'!G118/C112</f>
        <v>20.020197473787523</v>
      </c>
      <c r="E112" s="136">
        <f>'H) Péréquation directe'!I123/C112</f>
        <v>4.7563393172897221</v>
      </c>
      <c r="F112" s="110">
        <f>+'I) Dépenses thématiques'!O112/'K) Plafonnement aide'!C112</f>
        <v>-7.6467365713489217</v>
      </c>
      <c r="G112" s="136">
        <f t="shared" si="5"/>
        <v>17.129800219728324</v>
      </c>
      <c r="H112" s="110">
        <f t="shared" si="6"/>
        <v>24.776536791077245</v>
      </c>
      <c r="I112" s="136">
        <f t="shared" si="7"/>
        <v>0</v>
      </c>
      <c r="J112" s="55">
        <f t="shared" si="8"/>
        <v>0</v>
      </c>
      <c r="K112" s="36"/>
    </row>
    <row r="113" spans="1:11" x14ac:dyDescent="0.25">
      <c r="A113" s="49">
        <f>'A) Base RI'!A115</f>
        <v>5584</v>
      </c>
      <c r="B113" s="291" t="str">
        <f>'A) Base RI'!B115</f>
        <v>Epalinges</v>
      </c>
      <c r="C113" s="95">
        <f>'B) D RI'!U115</f>
        <v>474209.93693948264</v>
      </c>
      <c r="D113" s="110">
        <f>'E) Part. coh. soc.'!G119/C113</f>
        <v>18.680419367612746</v>
      </c>
      <c r="E113" s="136">
        <f>'H) Péréquation directe'!I124/C113</f>
        <v>9.4315192861245336</v>
      </c>
      <c r="F113" s="110">
        <f>+'I) Dépenses thématiques'!O113/'K) Plafonnement aide'!C113</f>
        <v>-7.4098487634672772</v>
      </c>
      <c r="G113" s="136">
        <f t="shared" si="5"/>
        <v>20.702089890270003</v>
      </c>
      <c r="H113" s="110">
        <f t="shared" si="6"/>
        <v>28.11193865373728</v>
      </c>
      <c r="I113" s="136">
        <f t="shared" si="7"/>
        <v>0</v>
      </c>
      <c r="J113" s="55">
        <f t="shared" si="8"/>
        <v>0</v>
      </c>
      <c r="K113" s="36"/>
    </row>
    <row r="114" spans="1:11" x14ac:dyDescent="0.25">
      <c r="A114" s="49">
        <f>'A) Base RI'!A116</f>
        <v>5585</v>
      </c>
      <c r="B114" s="291" t="str">
        <f>'A) Base RI'!B116</f>
        <v>Jouxtens-Mézery</v>
      </c>
      <c r="C114" s="95">
        <f>'B) D RI'!U116</f>
        <v>229667.26461667338</v>
      </c>
      <c r="D114" s="110">
        <f>'E) Part. coh. soc.'!G120/C114</f>
        <v>35.377875078268822</v>
      </c>
      <c r="E114" s="136">
        <f>'H) Péréquation directe'!I125/C114</f>
        <v>18.453849255017406</v>
      </c>
      <c r="F114" s="110">
        <f>+'I) Dépenses thématiques'!O114/'K) Plafonnement aide'!C114</f>
        <v>0</v>
      </c>
      <c r="G114" s="136">
        <f t="shared" si="5"/>
        <v>53.831724333286232</v>
      </c>
      <c r="H114" s="110">
        <f t="shared" si="6"/>
        <v>53.831724333286232</v>
      </c>
      <c r="I114" s="136">
        <f t="shared" si="7"/>
        <v>0</v>
      </c>
      <c r="J114" s="55">
        <f t="shared" si="8"/>
        <v>0</v>
      </c>
      <c r="K114" s="36"/>
    </row>
    <row r="115" spans="1:11" x14ac:dyDescent="0.25">
      <c r="A115" s="49">
        <f>'A) Base RI'!A117</f>
        <v>5586</v>
      </c>
      <c r="B115" s="291" t="str">
        <f>'A) Base RI'!B117</f>
        <v>Lausanne</v>
      </c>
      <c r="C115" s="95">
        <f>'B) D RI'!U117</f>
        <v>5921149.2978412546</v>
      </c>
      <c r="D115" s="110">
        <f>'E) Part. coh. soc.'!G121/C115</f>
        <v>18.746273161237898</v>
      </c>
      <c r="E115" s="136">
        <f>'H) Péréquation directe'!I126/C115</f>
        <v>-6.346555922143712</v>
      </c>
      <c r="F115" s="110">
        <f>+'I) Dépenses thématiques'!O115/'K) Plafonnement aide'!C115</f>
        <v>-9.5665514221183674</v>
      </c>
      <c r="G115" s="136">
        <f t="shared" si="5"/>
        <v>2.8331658169758196</v>
      </c>
      <c r="H115" s="110">
        <f t="shared" si="6"/>
        <v>12.399717239094187</v>
      </c>
      <c r="I115" s="136">
        <f t="shared" si="7"/>
        <v>0</v>
      </c>
      <c r="J115" s="55">
        <f t="shared" si="8"/>
        <v>0</v>
      </c>
      <c r="K115" s="36"/>
    </row>
    <row r="116" spans="1:11" x14ac:dyDescent="0.25">
      <c r="A116" s="49">
        <f>'A) Base RI'!A118</f>
        <v>5587</v>
      </c>
      <c r="B116" s="291" t="str">
        <f>'A) Base RI'!B118</f>
        <v>Le Mont-sur-Lausanne</v>
      </c>
      <c r="C116" s="95">
        <f>'B) D RI'!U118</f>
        <v>435325.60080081096</v>
      </c>
      <c r="D116" s="110">
        <f>'E) Part. coh. soc.'!G122/C116</f>
        <v>18.203834496646433</v>
      </c>
      <c r="E116" s="136">
        <f>'H) Péréquation directe'!I127/C116</f>
        <v>9.9069914255533345</v>
      </c>
      <c r="F116" s="110">
        <f>+'I) Dépenses thématiques'!O116/'K) Plafonnement aide'!C116</f>
        <v>-5.7484191074030697</v>
      </c>
      <c r="G116" s="136">
        <f t="shared" si="5"/>
        <v>22.362406814796696</v>
      </c>
      <c r="H116" s="110">
        <f t="shared" si="6"/>
        <v>28.110825922199766</v>
      </c>
      <c r="I116" s="136">
        <f t="shared" si="7"/>
        <v>0</v>
      </c>
      <c r="J116" s="55">
        <f t="shared" si="8"/>
        <v>0</v>
      </c>
      <c r="K116" s="36"/>
    </row>
    <row r="117" spans="1:11" x14ac:dyDescent="0.25">
      <c r="A117" s="49">
        <f>'A) Base RI'!A119</f>
        <v>5588</v>
      </c>
      <c r="B117" s="291" t="str">
        <f>'A) Base RI'!B119</f>
        <v>Paudex</v>
      </c>
      <c r="C117" s="95">
        <f>'B) D RI'!U119</f>
        <v>133190.693055262</v>
      </c>
      <c r="D117" s="110">
        <f>'E) Part. coh. soc.'!G123/C117</f>
        <v>26.257253817031067</v>
      </c>
      <c r="E117" s="136">
        <f>'H) Péréquation directe'!I128/C117</f>
        <v>17.300470854968857</v>
      </c>
      <c r="F117" s="110">
        <f>+'I) Dépenses thématiques'!O117/'K) Plafonnement aide'!C117</f>
        <v>0</v>
      </c>
      <c r="G117" s="136">
        <f t="shared" si="5"/>
        <v>43.557724671999921</v>
      </c>
      <c r="H117" s="110">
        <f t="shared" si="6"/>
        <v>43.557724671999921</v>
      </c>
      <c r="I117" s="136">
        <f t="shared" si="7"/>
        <v>0</v>
      </c>
      <c r="J117" s="55">
        <f t="shared" si="8"/>
        <v>0</v>
      </c>
      <c r="K117" s="36"/>
    </row>
    <row r="118" spans="1:11" x14ac:dyDescent="0.25">
      <c r="A118" s="49">
        <f>'A) Base RI'!A120</f>
        <v>5589</v>
      </c>
      <c r="B118" s="291" t="str">
        <f>'A) Base RI'!B120</f>
        <v>Prilly</v>
      </c>
      <c r="C118" s="95">
        <f>'B) D RI'!U120</f>
        <v>406505.26778654603</v>
      </c>
      <c r="D118" s="110">
        <f>'E) Part. coh. soc.'!G124/C118</f>
        <v>18.016818160541895</v>
      </c>
      <c r="E118" s="136">
        <f>'H) Péréquation directe'!I129/C118</f>
        <v>-6.8030335736125442</v>
      </c>
      <c r="F118" s="110">
        <f>+'I) Dépenses thématiques'!O118/'K) Plafonnement aide'!C118</f>
        <v>-6.897963559616759</v>
      </c>
      <c r="G118" s="136">
        <f t="shared" si="5"/>
        <v>4.315821027312591</v>
      </c>
      <c r="H118" s="110">
        <f t="shared" si="6"/>
        <v>11.21378458692935</v>
      </c>
      <c r="I118" s="136">
        <f t="shared" si="7"/>
        <v>0</v>
      </c>
      <c r="J118" s="55">
        <f t="shared" si="8"/>
        <v>0</v>
      </c>
      <c r="K118" s="36"/>
    </row>
    <row r="119" spans="1:11" x14ac:dyDescent="0.25">
      <c r="A119" s="49">
        <f>'A) Base RI'!A121</f>
        <v>5590</v>
      </c>
      <c r="B119" s="291" t="str">
        <f>'A) Base RI'!B121</f>
        <v>Pully</v>
      </c>
      <c r="C119" s="95">
        <f>'B) D RI'!U121</f>
        <v>1525137.1517209217</v>
      </c>
      <c r="D119" s="110">
        <f>'E) Part. coh. soc.'!G125/C119</f>
        <v>27.02065558889629</v>
      </c>
      <c r="E119" s="136">
        <f>'H) Péréquation directe'!I130/C119</f>
        <v>10.788943533261678</v>
      </c>
      <c r="F119" s="110">
        <f>+'I) Dépenses thématiques'!O119/'K) Plafonnement aide'!C119</f>
        <v>-1.3531195526385753</v>
      </c>
      <c r="G119" s="136">
        <f t="shared" si="5"/>
        <v>36.456479569519395</v>
      </c>
      <c r="H119" s="110">
        <f t="shared" si="6"/>
        <v>37.809599122157969</v>
      </c>
      <c r="I119" s="136">
        <f t="shared" si="7"/>
        <v>0</v>
      </c>
      <c r="J119" s="55">
        <f t="shared" si="8"/>
        <v>0</v>
      </c>
      <c r="K119" s="36"/>
    </row>
    <row r="120" spans="1:11" x14ac:dyDescent="0.25">
      <c r="A120" s="49">
        <f>'A) Base RI'!A122</f>
        <v>5591</v>
      </c>
      <c r="B120" s="291" t="str">
        <f>'A) Base RI'!B122</f>
        <v>Renens</v>
      </c>
      <c r="C120" s="95">
        <f>'B) D RI'!U122</f>
        <v>560894.98850347521</v>
      </c>
      <c r="D120" s="110">
        <f>'E) Part. coh. soc.'!G126/C120</f>
        <v>18.848611994750943</v>
      </c>
      <c r="E120" s="136">
        <f>'H) Péréquation directe'!I131/C120</f>
        <v>-26.449089119951477</v>
      </c>
      <c r="F120" s="110">
        <f>+'I) Dépenses thématiques'!O120/'K) Plafonnement aide'!C120</f>
        <v>-10.742014080129248</v>
      </c>
      <c r="G120" s="136">
        <f t="shared" si="5"/>
        <v>-18.342491205329782</v>
      </c>
      <c r="H120" s="110">
        <f t="shared" si="6"/>
        <v>-7.6004771252005341</v>
      </c>
      <c r="I120" s="136">
        <f t="shared" si="7"/>
        <v>0</v>
      </c>
      <c r="J120" s="55">
        <f t="shared" si="8"/>
        <v>0</v>
      </c>
      <c r="K120" s="36"/>
    </row>
    <row r="121" spans="1:11" x14ac:dyDescent="0.25">
      <c r="A121" s="49">
        <f>'A) Base RI'!A123</f>
        <v>5592</v>
      </c>
      <c r="B121" s="291" t="str">
        <f>'A) Base RI'!B123</f>
        <v>Romanel-sur-Lausanne</v>
      </c>
      <c r="C121" s="95">
        <f>'B) D RI'!U123</f>
        <v>112590.71279371857</v>
      </c>
      <c r="D121" s="110">
        <f>'E) Part. coh. soc.'!G127/C121</f>
        <v>18.518997005016523</v>
      </c>
      <c r="E121" s="136">
        <f>'H) Péréquation directe'!I132/C121</f>
        <v>3.8941370686570584</v>
      </c>
      <c r="F121" s="110">
        <f>+'I) Dépenses thématiques'!O121/'K) Plafonnement aide'!C121</f>
        <v>-2.4201791941897803</v>
      </c>
      <c r="G121" s="136">
        <f t="shared" si="5"/>
        <v>19.992954879483801</v>
      </c>
      <c r="H121" s="110">
        <f t="shared" si="6"/>
        <v>22.413134073673582</v>
      </c>
      <c r="I121" s="136">
        <f t="shared" si="7"/>
        <v>0</v>
      </c>
      <c r="J121" s="55">
        <f t="shared" si="8"/>
        <v>0</v>
      </c>
      <c r="K121" s="36"/>
    </row>
    <row r="122" spans="1:11" x14ac:dyDescent="0.25">
      <c r="A122" s="49">
        <f>'A) Base RI'!A124</f>
        <v>5601</v>
      </c>
      <c r="B122" s="291" t="str">
        <f>'A) Base RI'!B124</f>
        <v>Chexbres</v>
      </c>
      <c r="C122" s="95">
        <f>'B) D RI'!U124</f>
        <v>103283.91611303072</v>
      </c>
      <c r="D122" s="110">
        <f>'E) Part. coh. soc.'!G128/C122</f>
        <v>19.513339456508305</v>
      </c>
      <c r="E122" s="136">
        <f>'H) Péréquation directe'!I133/C122</f>
        <v>14.226261869069106</v>
      </c>
      <c r="F122" s="110">
        <f>+'I) Dépenses thématiques'!O122/'K) Plafonnement aide'!C122</f>
        <v>-2.8476617974862322</v>
      </c>
      <c r="G122" s="136">
        <f t="shared" si="5"/>
        <v>30.891939528091179</v>
      </c>
      <c r="H122" s="110">
        <f t="shared" si="6"/>
        <v>33.739601325577411</v>
      </c>
      <c r="I122" s="136">
        <f t="shared" si="7"/>
        <v>0</v>
      </c>
      <c r="J122" s="55">
        <f t="shared" si="8"/>
        <v>0</v>
      </c>
      <c r="K122" s="36"/>
    </row>
    <row r="123" spans="1:11" x14ac:dyDescent="0.25">
      <c r="A123" s="49">
        <f>'A) Base RI'!A125</f>
        <v>5604</v>
      </c>
      <c r="B123" s="291" t="str">
        <f>'A) Base RI'!B125</f>
        <v>Forel (Lavaux)</v>
      </c>
      <c r="C123" s="95">
        <f>'B) D RI'!U125</f>
        <v>73662.582961552936</v>
      </c>
      <c r="D123" s="110">
        <f>'E) Part. coh. soc.'!G129/C123</f>
        <v>18.023520789754926</v>
      </c>
      <c r="E123" s="136">
        <f>'H) Péréquation directe'!I134/C123</f>
        <v>7.2726617648897047</v>
      </c>
      <c r="F123" s="110">
        <f>+'I) Dépenses thématiques'!O123/'K) Plafonnement aide'!C123</f>
        <v>-4.6126251639122584</v>
      </c>
      <c r="G123" s="136">
        <f t="shared" si="5"/>
        <v>20.683557390732371</v>
      </c>
      <c r="H123" s="110">
        <f t="shared" si="6"/>
        <v>25.296182554644631</v>
      </c>
      <c r="I123" s="136">
        <f t="shared" si="7"/>
        <v>0</v>
      </c>
      <c r="J123" s="55">
        <f t="shared" si="8"/>
        <v>0</v>
      </c>
      <c r="K123" s="36"/>
    </row>
    <row r="124" spans="1:11" x14ac:dyDescent="0.25">
      <c r="A124" s="49">
        <f>'A) Base RI'!A126</f>
        <v>5606</v>
      </c>
      <c r="B124" s="291" t="str">
        <f>'A) Base RI'!B126</f>
        <v>Lutry</v>
      </c>
      <c r="C124" s="95">
        <f>'B) D RI'!U126</f>
        <v>807933.92151435383</v>
      </c>
      <c r="D124" s="110">
        <f>'E) Part. coh. soc.'!G130/C124</f>
        <v>26.708061465235843</v>
      </c>
      <c r="E124" s="136">
        <f>'H) Péréquation directe'!I135/C124</f>
        <v>12.958195397039168</v>
      </c>
      <c r="F124" s="110">
        <f>+'I) Dépenses thématiques'!O124/'K) Plafonnement aide'!C124</f>
        <v>-3.0660759480423909</v>
      </c>
      <c r="G124" s="136">
        <f t="shared" si="5"/>
        <v>36.600180914232624</v>
      </c>
      <c r="H124" s="110">
        <f t="shared" si="6"/>
        <v>39.666256862275013</v>
      </c>
      <c r="I124" s="136">
        <f t="shared" si="7"/>
        <v>0</v>
      </c>
      <c r="J124" s="55">
        <f t="shared" si="8"/>
        <v>0</v>
      </c>
      <c r="K124" s="36"/>
    </row>
    <row r="125" spans="1:11" x14ac:dyDescent="0.25">
      <c r="A125" s="49">
        <f>'A) Base RI'!A127</f>
        <v>5607</v>
      </c>
      <c r="B125" s="291" t="str">
        <f>'A) Base RI'!B127</f>
        <v>Puidoux</v>
      </c>
      <c r="C125" s="95">
        <f>'B) D RI'!U127</f>
        <v>99930.249355206179</v>
      </c>
      <c r="D125" s="110">
        <f>'E) Part. coh. soc.'!G131/C125</f>
        <v>17.166590774125865</v>
      </c>
      <c r="E125" s="136">
        <f>'H) Péréquation directe'!I136/C125</f>
        <v>5.4593619534527118</v>
      </c>
      <c r="F125" s="110">
        <f>+'I) Dépenses thématiques'!O125/'K) Plafonnement aide'!C125</f>
        <v>-7.9271911283947958</v>
      </c>
      <c r="G125" s="136">
        <f t="shared" si="5"/>
        <v>14.698761599183783</v>
      </c>
      <c r="H125" s="110">
        <f t="shared" si="6"/>
        <v>22.625952727578579</v>
      </c>
      <c r="I125" s="136">
        <f t="shared" si="7"/>
        <v>0</v>
      </c>
      <c r="J125" s="55">
        <f t="shared" si="8"/>
        <v>0</v>
      </c>
      <c r="K125" s="36"/>
    </row>
    <row r="126" spans="1:11" x14ac:dyDescent="0.25">
      <c r="A126" s="49">
        <f>'A) Base RI'!A128</f>
        <v>5609</v>
      </c>
      <c r="B126" s="291" t="str">
        <f>'A) Base RI'!B128</f>
        <v>Rivaz</v>
      </c>
      <c r="C126" s="95">
        <f>'B) D RI'!U128</f>
        <v>13671.143301269074</v>
      </c>
      <c r="D126" s="110">
        <f>'E) Part. coh. soc.'!G132/C126</f>
        <v>16.694758721889471</v>
      </c>
      <c r="E126" s="136">
        <f>'H) Péréquation directe'!I137/C126</f>
        <v>14.105779421531752</v>
      </c>
      <c r="F126" s="110">
        <f>+'I) Dépenses thématiques'!O126/'K) Plafonnement aide'!C126</f>
        <v>-3.6207986102186385</v>
      </c>
      <c r="G126" s="136">
        <f t="shared" si="5"/>
        <v>27.179739533202582</v>
      </c>
      <c r="H126" s="110">
        <f t="shared" si="6"/>
        <v>30.800538143421221</v>
      </c>
      <c r="I126" s="136">
        <f t="shared" si="7"/>
        <v>0</v>
      </c>
      <c r="J126" s="55">
        <f t="shared" si="8"/>
        <v>0</v>
      </c>
      <c r="K126" s="36"/>
    </row>
    <row r="127" spans="1:11" x14ac:dyDescent="0.25">
      <c r="A127" s="49">
        <f>'A) Base RI'!A129</f>
        <v>5610</v>
      </c>
      <c r="B127" s="291" t="str">
        <f>'A) Base RI'!B129</f>
        <v>St-Saphorin (Lavaux)</v>
      </c>
      <c r="C127" s="95">
        <f>'B) D RI'!U129</f>
        <v>22273.105318410097</v>
      </c>
      <c r="D127" s="110">
        <f>'E) Part. coh. soc.'!G133/C127</f>
        <v>19.326902288646437</v>
      </c>
      <c r="E127" s="136">
        <f>'H) Péréquation directe'!I138/C127</f>
        <v>17.482817631779366</v>
      </c>
      <c r="F127" s="110">
        <f>+'I) Dépenses thématiques'!O127/'K) Plafonnement aide'!C127</f>
        <v>-0.97351726197822119</v>
      </c>
      <c r="G127" s="136">
        <f t="shared" si="5"/>
        <v>35.836202658447583</v>
      </c>
      <c r="H127" s="110">
        <f t="shared" si="6"/>
        <v>36.809719920425806</v>
      </c>
      <c r="I127" s="136">
        <f t="shared" si="7"/>
        <v>0</v>
      </c>
      <c r="J127" s="55">
        <f t="shared" si="8"/>
        <v>0</v>
      </c>
      <c r="K127" s="36"/>
    </row>
    <row r="128" spans="1:11" x14ac:dyDescent="0.25">
      <c r="A128" s="49">
        <f>'A) Base RI'!A130</f>
        <v>5611</v>
      </c>
      <c r="B128" s="291" t="str">
        <f>'A) Base RI'!B130</f>
        <v>Savigny</v>
      </c>
      <c r="C128" s="95">
        <f>'B) D RI'!U130</f>
        <v>134511.88344270343</v>
      </c>
      <c r="D128" s="110">
        <f>'E) Part. coh. soc.'!G134/C128</f>
        <v>20.203691996590081</v>
      </c>
      <c r="E128" s="136">
        <f>'H) Péréquation directe'!I139/C128</f>
        <v>9.3478551766118336</v>
      </c>
      <c r="F128" s="110">
        <f>+'I) Dépenses thématiques'!O128/'K) Plafonnement aide'!C128</f>
        <v>-3.564395347935184</v>
      </c>
      <c r="G128" s="136">
        <f t="shared" si="5"/>
        <v>25.987151825266729</v>
      </c>
      <c r="H128" s="110">
        <f t="shared" si="6"/>
        <v>29.551547173201911</v>
      </c>
      <c r="I128" s="136">
        <f t="shared" si="7"/>
        <v>0</v>
      </c>
      <c r="J128" s="55">
        <f t="shared" si="8"/>
        <v>0</v>
      </c>
      <c r="K128" s="36"/>
    </row>
    <row r="129" spans="1:11" x14ac:dyDescent="0.25">
      <c r="A129" s="49">
        <f>'A) Base RI'!A131</f>
        <v>5613</v>
      </c>
      <c r="B129" s="291" t="str">
        <f>'A) Base RI'!B131</f>
        <v>Bourg-en-Lavaux</v>
      </c>
      <c r="C129" s="95">
        <f>'B) D RI'!U131</f>
        <v>332932.37553055235</v>
      </c>
      <c r="D129" s="110">
        <f>'E) Part. coh. soc.'!G135/C129</f>
        <v>22.392294264311264</v>
      </c>
      <c r="E129" s="136">
        <f>'H) Péréquation directe'!I140/C129</f>
        <v>13.514681002697641</v>
      </c>
      <c r="F129" s="110">
        <f>+'I) Dépenses thématiques'!O129/'K) Plafonnement aide'!C129</f>
        <v>0</v>
      </c>
      <c r="G129" s="136">
        <f t="shared" si="5"/>
        <v>35.906975267008903</v>
      </c>
      <c r="H129" s="110">
        <f t="shared" si="6"/>
        <v>35.906975267008903</v>
      </c>
      <c r="I129" s="136">
        <f t="shared" si="7"/>
        <v>0</v>
      </c>
      <c r="J129" s="55">
        <f t="shared" si="8"/>
        <v>0</v>
      </c>
      <c r="K129" s="36"/>
    </row>
    <row r="130" spans="1:11" x14ac:dyDescent="0.25">
      <c r="A130" s="49">
        <f>'A) Base RI'!A132</f>
        <v>5621</v>
      </c>
      <c r="B130" s="291" t="str">
        <f>'A) Base RI'!B132</f>
        <v>Aclens</v>
      </c>
      <c r="C130" s="95">
        <f>'B) D RI'!U132</f>
        <v>27011.410978345568</v>
      </c>
      <c r="D130" s="110">
        <f>'E) Part. coh. soc.'!G136/C130</f>
        <v>21.627904628042042</v>
      </c>
      <c r="E130" s="136">
        <f>'H) Péréquation directe'!I141/C130</f>
        <v>17.141860400548275</v>
      </c>
      <c r="F130" s="110">
        <f>+'I) Dépenses thématiques'!O130/'K) Plafonnement aide'!C130</f>
        <v>-0.12720328135929285</v>
      </c>
      <c r="G130" s="136">
        <f t="shared" si="5"/>
        <v>38.642561747231021</v>
      </c>
      <c r="H130" s="110">
        <f t="shared" si="6"/>
        <v>38.769765028590314</v>
      </c>
      <c r="I130" s="136">
        <f t="shared" si="7"/>
        <v>0</v>
      </c>
      <c r="J130" s="55">
        <f t="shared" si="8"/>
        <v>0</v>
      </c>
      <c r="K130" s="36"/>
    </row>
    <row r="131" spans="1:11" x14ac:dyDescent="0.25">
      <c r="A131" s="49">
        <f>'A) Base RI'!A133</f>
        <v>5622</v>
      </c>
      <c r="B131" s="291" t="str">
        <f>'A) Base RI'!B133</f>
        <v>Bremblens</v>
      </c>
      <c r="C131" s="95">
        <f>'B) D RI'!U133</f>
        <v>26937.345606060608</v>
      </c>
      <c r="D131" s="110">
        <f>'E) Part. coh. soc.'!G137/C131</f>
        <v>20.0243590218073</v>
      </c>
      <c r="E131" s="136">
        <f>'H) Péréquation directe'!I142/C131</f>
        <v>16.957745559439168</v>
      </c>
      <c r="F131" s="110">
        <f>+'I) Dépenses thématiques'!O131/'K) Plafonnement aide'!C131</f>
        <v>0</v>
      </c>
      <c r="G131" s="136">
        <f t="shared" si="5"/>
        <v>36.982104581246467</v>
      </c>
      <c r="H131" s="110">
        <f t="shared" si="6"/>
        <v>36.982104581246467</v>
      </c>
      <c r="I131" s="136">
        <f t="shared" si="7"/>
        <v>0</v>
      </c>
      <c r="J131" s="55">
        <f t="shared" si="8"/>
        <v>0</v>
      </c>
      <c r="K131" s="36"/>
    </row>
    <row r="132" spans="1:11" x14ac:dyDescent="0.25">
      <c r="A132" s="49">
        <f>'A) Base RI'!A134</f>
        <v>5623</v>
      </c>
      <c r="B132" s="291" t="str">
        <f>'A) Base RI'!B134</f>
        <v>Buchillon</v>
      </c>
      <c r="C132" s="95">
        <f>'B) D RI'!U134</f>
        <v>89461.877418085525</v>
      </c>
      <c r="D132" s="110">
        <f>'E) Part. coh. soc.'!G138/C132</f>
        <v>31.916453901058183</v>
      </c>
      <c r="E132" s="136">
        <f>'H) Péréquation directe'!I143/C132</f>
        <v>18.685393154036262</v>
      </c>
      <c r="F132" s="110">
        <f>+'I) Dépenses thématiques'!O132/'K) Plafonnement aide'!C132</f>
        <v>0</v>
      </c>
      <c r="G132" s="136">
        <f t="shared" si="5"/>
        <v>50.601847055094446</v>
      </c>
      <c r="H132" s="110">
        <f t="shared" si="6"/>
        <v>50.601847055094446</v>
      </c>
      <c r="I132" s="136">
        <f t="shared" si="7"/>
        <v>0</v>
      </c>
      <c r="J132" s="55">
        <f t="shared" si="8"/>
        <v>0</v>
      </c>
      <c r="K132" s="36"/>
    </row>
    <row r="133" spans="1:11" x14ac:dyDescent="0.25">
      <c r="A133" s="49">
        <f>'A) Base RI'!A135</f>
        <v>5624</v>
      </c>
      <c r="B133" s="291" t="str">
        <f>'A) Base RI'!B135</f>
        <v>Bussigny</v>
      </c>
      <c r="C133" s="95">
        <f>'B) D RI'!U135</f>
        <v>400390.10765672859</v>
      </c>
      <c r="D133" s="110">
        <f>'E) Part. coh. soc.'!G139/C133</f>
        <v>20.157811956703085</v>
      </c>
      <c r="E133" s="136">
        <f>'H) Péréquation directe'!I144/C133</f>
        <v>8.6213348569298223</v>
      </c>
      <c r="F133" s="110">
        <f>+'I) Dépenses thématiques'!O133/'K) Plafonnement aide'!C133</f>
        <v>-2.4992625337144059</v>
      </c>
      <c r="G133" s="136">
        <f t="shared" ref="G133:G196" si="9">SUM(D133:F133)</f>
        <v>26.279884279918498</v>
      </c>
      <c r="H133" s="110">
        <f t="shared" ref="H133:H196" si="10">G133-F133</f>
        <v>28.779146813632906</v>
      </c>
      <c r="I133" s="136">
        <f t="shared" ref="I133:I196" si="11">IF(H133&lt;I$4,H133-I$4,0)</f>
        <v>0</v>
      </c>
      <c r="J133" s="55">
        <f t="shared" ref="J133:J196" si="12">-I133*C133</f>
        <v>0</v>
      </c>
      <c r="K133" s="36"/>
    </row>
    <row r="134" spans="1:11" x14ac:dyDescent="0.25">
      <c r="A134" s="49">
        <f>'A) Base RI'!A136</f>
        <v>5625</v>
      </c>
      <c r="B134" s="291" t="str">
        <f>'A) Base RI'!B136</f>
        <v>Bussy-Chardonney</v>
      </c>
      <c r="C134" s="95">
        <f>'B) D RI'!U136</f>
        <v>16815.127999439792</v>
      </c>
      <c r="D134" s="110">
        <f>'E) Part. coh. soc.'!G140/C134</f>
        <v>17.923528144309284</v>
      </c>
      <c r="E134" s="136">
        <f>'H) Péréquation directe'!I145/C134</f>
        <v>15.597699351632887</v>
      </c>
      <c r="F134" s="110">
        <f>+'I) Dépenses thématiques'!O134/'K) Plafonnement aide'!C134</f>
        <v>-1.9860254261515631</v>
      </c>
      <c r="G134" s="136">
        <f t="shared" si="9"/>
        <v>31.535202069790607</v>
      </c>
      <c r="H134" s="110">
        <f t="shared" si="10"/>
        <v>33.521227495942171</v>
      </c>
      <c r="I134" s="136">
        <f t="shared" si="11"/>
        <v>0</v>
      </c>
      <c r="J134" s="55">
        <f t="shared" si="12"/>
        <v>0</v>
      </c>
      <c r="K134" s="36"/>
    </row>
    <row r="135" spans="1:11" x14ac:dyDescent="0.25">
      <c r="A135" s="49">
        <f>'A) Base RI'!A137</f>
        <v>5627</v>
      </c>
      <c r="B135" s="291" t="str">
        <f>'A) Base RI'!B137</f>
        <v>Chavannes-près-Renens</v>
      </c>
      <c r="C135" s="95">
        <f>'B) D RI'!U137</f>
        <v>214338.77376035714</v>
      </c>
      <c r="D135" s="110">
        <f>'E) Part. coh. soc.'!G141/C135</f>
        <v>21.952180299847345</v>
      </c>
      <c r="E135" s="136">
        <f>'H) Péréquation directe'!I146/C135</f>
        <v>-14.099553181134558</v>
      </c>
      <c r="F135" s="110">
        <f>+'I) Dépenses thématiques'!O135/'K) Plafonnement aide'!C135</f>
        <v>-5.8694954763548468</v>
      </c>
      <c r="G135" s="136">
        <f t="shared" si="9"/>
        <v>1.9831316423579404</v>
      </c>
      <c r="H135" s="110">
        <f t="shared" si="10"/>
        <v>7.8526271187127872</v>
      </c>
      <c r="I135" s="136">
        <f t="shared" si="11"/>
        <v>0</v>
      </c>
      <c r="J135" s="55">
        <f t="shared" si="12"/>
        <v>0</v>
      </c>
      <c r="K135" s="36"/>
    </row>
    <row r="136" spans="1:11" x14ac:dyDescent="0.25">
      <c r="A136" s="49">
        <f>'A) Base RI'!A138</f>
        <v>5628</v>
      </c>
      <c r="B136" s="291" t="str">
        <f>'A) Base RI'!B138</f>
        <v>Chigny</v>
      </c>
      <c r="C136" s="95">
        <f>'B) D RI'!U138</f>
        <v>22372.02129032258</v>
      </c>
      <c r="D136" s="110">
        <f>'E) Part. coh. soc.'!G142/C136</f>
        <v>21.90509747004532</v>
      </c>
      <c r="E136" s="136">
        <f>'H) Péréquation directe'!I147/C136</f>
        <v>17.503624881138421</v>
      </c>
      <c r="F136" s="110">
        <f>+'I) Dépenses thématiques'!O136/'K) Plafonnement aide'!C136</f>
        <v>0</v>
      </c>
      <c r="G136" s="136">
        <f t="shared" si="9"/>
        <v>39.408722351183741</v>
      </c>
      <c r="H136" s="110">
        <f t="shared" si="10"/>
        <v>39.408722351183741</v>
      </c>
      <c r="I136" s="136">
        <f t="shared" si="11"/>
        <v>0</v>
      </c>
      <c r="J136" s="55">
        <f t="shared" si="12"/>
        <v>0</v>
      </c>
      <c r="K136" s="36"/>
    </row>
    <row r="137" spans="1:11" x14ac:dyDescent="0.25">
      <c r="A137" s="49">
        <f>'A) Base RI'!A139</f>
        <v>5629</v>
      </c>
      <c r="B137" s="291" t="str">
        <f>'A) Base RI'!B139</f>
        <v>Clarmont</v>
      </c>
      <c r="C137" s="95">
        <f>'B) D RI'!U139</f>
        <v>6749.9170666666651</v>
      </c>
      <c r="D137" s="110">
        <f>'E) Part. coh. soc.'!G143/C137</f>
        <v>22.93992734467173</v>
      </c>
      <c r="E137" s="136">
        <f>'H) Péréquation directe'!I148/C137</f>
        <v>9.3941343072973016</v>
      </c>
      <c r="F137" s="110">
        <f>+'I) Dépenses thématiques'!O137/'K) Plafonnement aide'!C137</f>
        <v>-6.7377834512565586</v>
      </c>
      <c r="G137" s="136">
        <f t="shared" si="9"/>
        <v>25.596278200712472</v>
      </c>
      <c r="H137" s="110">
        <f t="shared" si="10"/>
        <v>32.33406165196903</v>
      </c>
      <c r="I137" s="136">
        <f t="shared" si="11"/>
        <v>0</v>
      </c>
      <c r="J137" s="55">
        <f t="shared" si="12"/>
        <v>0</v>
      </c>
      <c r="K137" s="36"/>
    </row>
    <row r="138" spans="1:11" x14ac:dyDescent="0.25">
      <c r="A138" s="49">
        <f>'A) Base RI'!A140</f>
        <v>5631</v>
      </c>
      <c r="B138" s="291" t="str">
        <f>'A) Base RI'!B140</f>
        <v>Denens</v>
      </c>
      <c r="C138" s="95">
        <f>'B) D RI'!U140</f>
        <v>51374.095571428574</v>
      </c>
      <c r="D138" s="110">
        <f>'E) Part. coh. soc.'!G144/C138</f>
        <v>22.486892229094209</v>
      </c>
      <c r="E138" s="136">
        <f>'H) Péréquation directe'!I149/C138</f>
        <v>17.834257470935444</v>
      </c>
      <c r="F138" s="110">
        <f>+'I) Dépenses thématiques'!O138/'K) Plafonnement aide'!C138</f>
        <v>0</v>
      </c>
      <c r="G138" s="136">
        <f t="shared" si="9"/>
        <v>40.32114970002965</v>
      </c>
      <c r="H138" s="110">
        <f t="shared" si="10"/>
        <v>40.32114970002965</v>
      </c>
      <c r="I138" s="136">
        <f t="shared" si="11"/>
        <v>0</v>
      </c>
      <c r="J138" s="55">
        <f t="shared" si="12"/>
        <v>0</v>
      </c>
      <c r="K138" s="36"/>
    </row>
    <row r="139" spans="1:11" x14ac:dyDescent="0.25">
      <c r="A139" s="49">
        <f>'A) Base RI'!A141</f>
        <v>5632</v>
      </c>
      <c r="B139" s="291" t="str">
        <f>'A) Base RI'!B141</f>
        <v>Denges</v>
      </c>
      <c r="C139" s="95">
        <f>'B) D RI'!U141</f>
        <v>73160.20406689003</v>
      </c>
      <c r="D139" s="110">
        <f>'E) Part. coh. soc.'!G145/C139</f>
        <v>17.684581899653743</v>
      </c>
      <c r="E139" s="136">
        <f>'H) Péréquation directe'!I150/C139</f>
        <v>14.826106639710321</v>
      </c>
      <c r="F139" s="110">
        <f>+'I) Dépenses thématiques'!O139/'K) Plafonnement aide'!C139</f>
        <v>-2.0875298120593566</v>
      </c>
      <c r="G139" s="136">
        <f t="shared" si="9"/>
        <v>30.42315872730471</v>
      </c>
      <c r="H139" s="110">
        <f t="shared" si="10"/>
        <v>32.510688539364068</v>
      </c>
      <c r="I139" s="136">
        <f t="shared" si="11"/>
        <v>0</v>
      </c>
      <c r="J139" s="55">
        <f t="shared" si="12"/>
        <v>0</v>
      </c>
      <c r="K139" s="36"/>
    </row>
    <row r="140" spans="1:11" x14ac:dyDescent="0.25">
      <c r="A140" s="49">
        <f>'A) Base RI'!A142</f>
        <v>5633</v>
      </c>
      <c r="B140" s="291" t="str">
        <f>'A) Base RI'!B142</f>
        <v>Echandens</v>
      </c>
      <c r="C140" s="95">
        <f>'B) D RI'!U142</f>
        <v>160114.83181506293</v>
      </c>
      <c r="D140" s="110">
        <f>'E) Part. coh. soc.'!G146/C140</f>
        <v>20.225024037655665</v>
      </c>
      <c r="E140" s="136">
        <f>'H) Péréquation directe'!I151/C140</f>
        <v>15.043651066085699</v>
      </c>
      <c r="F140" s="110">
        <f>+'I) Dépenses thématiques'!O140/'K) Plafonnement aide'!C140</f>
        <v>-3.3638133298787567</v>
      </c>
      <c r="G140" s="136">
        <f t="shared" si="9"/>
        <v>31.90486177386261</v>
      </c>
      <c r="H140" s="110">
        <f t="shared" si="10"/>
        <v>35.268675103741366</v>
      </c>
      <c r="I140" s="136">
        <f t="shared" si="11"/>
        <v>0</v>
      </c>
      <c r="J140" s="55">
        <f t="shared" si="12"/>
        <v>0</v>
      </c>
      <c r="K140" s="36"/>
    </row>
    <row r="141" spans="1:11" x14ac:dyDescent="0.25">
      <c r="A141" s="49">
        <f>'A) Base RI'!A143</f>
        <v>5634</v>
      </c>
      <c r="B141" s="291" t="str">
        <f>'A) Base RI'!B143</f>
        <v>Echichens</v>
      </c>
      <c r="C141" s="95">
        <f>'B) D RI'!U143</f>
        <v>173888.96393435504</v>
      </c>
      <c r="D141" s="110">
        <f>'E) Part. coh. soc.'!G147/C141</f>
        <v>21.79026588369916</v>
      </c>
      <c r="E141" s="136">
        <f>'H) Péréquation directe'!I152/C141</f>
        <v>14.657931973394083</v>
      </c>
      <c r="F141" s="110">
        <f>+'I) Dépenses thématiques'!O141/'K) Plafonnement aide'!C141</f>
        <v>0</v>
      </c>
      <c r="G141" s="136">
        <f t="shared" si="9"/>
        <v>36.448197857093241</v>
      </c>
      <c r="H141" s="110">
        <f t="shared" si="10"/>
        <v>36.448197857093241</v>
      </c>
      <c r="I141" s="136">
        <f t="shared" si="11"/>
        <v>0</v>
      </c>
      <c r="J141" s="55">
        <f t="shared" si="12"/>
        <v>0</v>
      </c>
      <c r="K141" s="36"/>
    </row>
    <row r="142" spans="1:11" x14ac:dyDescent="0.25">
      <c r="A142" s="49">
        <f>'A) Base RI'!A144</f>
        <v>5635</v>
      </c>
      <c r="B142" s="291" t="str">
        <f>'A) Base RI'!B144</f>
        <v>Ecublens</v>
      </c>
      <c r="C142" s="95">
        <f>'B) D RI'!U144</f>
        <v>488507.72683115519</v>
      </c>
      <c r="D142" s="110">
        <f>'E) Part. coh. soc.'!G148/C142</f>
        <v>19.28042906232891</v>
      </c>
      <c r="E142" s="136">
        <f>'H) Péréquation directe'!I153/C142</f>
        <v>-0.29085379713570569</v>
      </c>
      <c r="F142" s="110">
        <f>+'I) Dépenses thématiques'!O142/'K) Plafonnement aide'!C142</f>
        <v>-5.7490961861923857</v>
      </c>
      <c r="G142" s="136">
        <f t="shared" si="9"/>
        <v>13.240479079000817</v>
      </c>
      <c r="H142" s="110">
        <f t="shared" si="10"/>
        <v>18.989575265193203</v>
      </c>
      <c r="I142" s="136">
        <f t="shared" si="11"/>
        <v>0</v>
      </c>
      <c r="J142" s="55">
        <f t="shared" si="12"/>
        <v>0</v>
      </c>
      <c r="K142" s="36"/>
    </row>
    <row r="143" spans="1:11" x14ac:dyDescent="0.25">
      <c r="A143" s="49">
        <f>'A) Base RI'!A145</f>
        <v>5636</v>
      </c>
      <c r="B143" s="291" t="str">
        <f>'A) Base RI'!B145</f>
        <v>Etoy</v>
      </c>
      <c r="C143" s="95">
        <f>'B) D RI'!U145</f>
        <v>176831.6240274295</v>
      </c>
      <c r="D143" s="110">
        <f>'E) Part. coh. soc.'!G149/C143</f>
        <v>22.374739585085745</v>
      </c>
      <c r="E143" s="136">
        <f>'H) Péréquation directe'!I154/C143</f>
        <v>15.093079380376958</v>
      </c>
      <c r="F143" s="110">
        <f>+'I) Dépenses thématiques'!O143/'K) Plafonnement aide'!C143</f>
        <v>-0.97932101296262264</v>
      </c>
      <c r="G143" s="136">
        <f t="shared" si="9"/>
        <v>36.488497952500083</v>
      </c>
      <c r="H143" s="110">
        <f t="shared" si="10"/>
        <v>37.467818965462705</v>
      </c>
      <c r="I143" s="136">
        <f t="shared" si="11"/>
        <v>0</v>
      </c>
      <c r="J143" s="55">
        <f t="shared" si="12"/>
        <v>0</v>
      </c>
      <c r="K143" s="36"/>
    </row>
    <row r="144" spans="1:11" x14ac:dyDescent="0.25">
      <c r="A144" s="49">
        <f>'A) Base RI'!A146</f>
        <v>5637</v>
      </c>
      <c r="B144" s="291" t="str">
        <f>'A) Base RI'!B146</f>
        <v>Lavigny</v>
      </c>
      <c r="C144" s="95">
        <f>'B) D RI'!U146</f>
        <v>37137.682399987621</v>
      </c>
      <c r="D144" s="110">
        <f>'E) Part. coh. soc.'!G150/C144</f>
        <v>18.56588993725158</v>
      </c>
      <c r="E144" s="136">
        <f>'H) Péréquation directe'!I155/C144</f>
        <v>11.280333133144747</v>
      </c>
      <c r="F144" s="110">
        <f>+'I) Dépenses thématiques'!O144/'K) Plafonnement aide'!C144</f>
        <v>-4.7809309044947854</v>
      </c>
      <c r="G144" s="136">
        <f t="shared" si="9"/>
        <v>25.065292165901543</v>
      </c>
      <c r="H144" s="110">
        <f t="shared" si="10"/>
        <v>29.846223070396327</v>
      </c>
      <c r="I144" s="136">
        <f t="shared" si="11"/>
        <v>0</v>
      </c>
      <c r="J144" s="55">
        <f t="shared" si="12"/>
        <v>0</v>
      </c>
      <c r="K144" s="36"/>
    </row>
    <row r="145" spans="1:11" x14ac:dyDescent="0.25">
      <c r="A145" s="49">
        <f>'A) Base RI'!A147</f>
        <v>5638</v>
      </c>
      <c r="B145" s="291" t="str">
        <f>'A) Base RI'!B147</f>
        <v>Lonay</v>
      </c>
      <c r="C145" s="95">
        <f>'B) D RI'!U147</f>
        <v>154797.39129324263</v>
      </c>
      <c r="D145" s="110">
        <f>'E) Part. coh. soc.'!G151/C145</f>
        <v>28.419198541007276</v>
      </c>
      <c r="E145" s="136">
        <f>'H) Péréquation directe'!I156/C145</f>
        <v>15.028623144376303</v>
      </c>
      <c r="F145" s="110">
        <f>+'I) Dépenses thématiques'!O145/'K) Plafonnement aide'!C145</f>
        <v>-2.4928403428913173</v>
      </c>
      <c r="G145" s="136">
        <f t="shared" si="9"/>
        <v>40.95498134249226</v>
      </c>
      <c r="H145" s="110">
        <f t="shared" si="10"/>
        <v>43.44782168538358</v>
      </c>
      <c r="I145" s="136">
        <f t="shared" si="11"/>
        <v>0</v>
      </c>
      <c r="J145" s="55">
        <f t="shared" si="12"/>
        <v>0</v>
      </c>
      <c r="K145" s="36"/>
    </row>
    <row r="146" spans="1:11" x14ac:dyDescent="0.25">
      <c r="A146" s="49">
        <f>'A) Base RI'!A148</f>
        <v>5639</v>
      </c>
      <c r="B146" s="291" t="str">
        <f>'A) Base RI'!B148</f>
        <v>Lully</v>
      </c>
      <c r="C146" s="95">
        <f>'B) D RI'!U148</f>
        <v>46990.489786222082</v>
      </c>
      <c r="D146" s="110">
        <f>'E) Part. coh. soc.'!G152/C146</f>
        <v>19.388362725316906</v>
      </c>
      <c r="E146" s="136">
        <f>'H) Péréquation directe'!I157/C146</f>
        <v>17.461805716962878</v>
      </c>
      <c r="F146" s="110">
        <f>+'I) Dépenses thématiques'!O146/'K) Plafonnement aide'!C146</f>
        <v>0</v>
      </c>
      <c r="G146" s="136">
        <f t="shared" si="9"/>
        <v>36.850168442279781</v>
      </c>
      <c r="H146" s="110">
        <f t="shared" si="10"/>
        <v>36.850168442279781</v>
      </c>
      <c r="I146" s="136">
        <f t="shared" si="11"/>
        <v>0</v>
      </c>
      <c r="J146" s="55">
        <f t="shared" si="12"/>
        <v>0</v>
      </c>
      <c r="K146" s="36"/>
    </row>
    <row r="147" spans="1:11" x14ac:dyDescent="0.25">
      <c r="A147" s="49">
        <f>'A) Base RI'!A149</f>
        <v>5640</v>
      </c>
      <c r="B147" s="291" t="str">
        <f>'A) Base RI'!B149</f>
        <v>Lussy-sur-Morges</v>
      </c>
      <c r="C147" s="95">
        <f>'B) D RI'!U149</f>
        <v>60932.654829076157</v>
      </c>
      <c r="D147" s="110">
        <f>'E) Part. coh. soc.'!G153/C147</f>
        <v>29.22548645501443</v>
      </c>
      <c r="E147" s="136">
        <f>'H) Péréquation directe'!I158/C147</f>
        <v>18.213735508020768</v>
      </c>
      <c r="F147" s="110">
        <f>+'I) Dépenses thématiques'!O147/'K) Plafonnement aide'!C147</f>
        <v>0</v>
      </c>
      <c r="G147" s="136">
        <f t="shared" si="9"/>
        <v>47.439221963035195</v>
      </c>
      <c r="H147" s="110">
        <f t="shared" si="10"/>
        <v>47.439221963035195</v>
      </c>
      <c r="I147" s="136">
        <f t="shared" si="11"/>
        <v>0</v>
      </c>
      <c r="J147" s="55">
        <f t="shared" si="12"/>
        <v>0</v>
      </c>
      <c r="K147" s="36"/>
    </row>
    <row r="148" spans="1:11" x14ac:dyDescent="0.25">
      <c r="A148" s="49">
        <f>'A) Base RI'!A150</f>
        <v>5642</v>
      </c>
      <c r="B148" s="291" t="str">
        <f>'A) Base RI'!B150</f>
        <v>Morges</v>
      </c>
      <c r="C148" s="95">
        <f>'B) D RI'!U150</f>
        <v>860073.47085290938</v>
      </c>
      <c r="D148" s="110">
        <f>'E) Part. coh. soc.'!G154/C148</f>
        <v>21.340017289467319</v>
      </c>
      <c r="E148" s="136">
        <f>'H) Péréquation directe'!I159/C148</f>
        <v>7.1686003099883813</v>
      </c>
      <c r="F148" s="110">
        <f>+'I) Dépenses thématiques'!O148/'K) Plafonnement aide'!C148</f>
        <v>-0.97435503282197089</v>
      </c>
      <c r="G148" s="136">
        <f t="shared" si="9"/>
        <v>27.534262566633728</v>
      </c>
      <c r="H148" s="110">
        <f t="shared" si="10"/>
        <v>28.5086175994557</v>
      </c>
      <c r="I148" s="136">
        <f t="shared" si="11"/>
        <v>0</v>
      </c>
      <c r="J148" s="55">
        <f t="shared" si="12"/>
        <v>0</v>
      </c>
      <c r="K148" s="36"/>
    </row>
    <row r="149" spans="1:11" x14ac:dyDescent="0.25">
      <c r="A149" s="49">
        <f>'A) Base RI'!A151</f>
        <v>5643</v>
      </c>
      <c r="B149" s="291" t="str">
        <f>'A) Base RI'!B151</f>
        <v>Préverenges</v>
      </c>
      <c r="C149" s="95">
        <f>'B) D RI'!U151</f>
        <v>258751.58879529274</v>
      </c>
      <c r="D149" s="110">
        <f>'E) Part. coh. soc.'!G155/C149</f>
        <v>19.786800661204634</v>
      </c>
      <c r="E149" s="136">
        <f>'H) Péréquation directe'!I160/C149</f>
        <v>11.993839139138705</v>
      </c>
      <c r="F149" s="110">
        <f>+'I) Dépenses thématiques'!O149/'K) Plafonnement aide'!C149</f>
        <v>0</v>
      </c>
      <c r="G149" s="136">
        <f t="shared" si="9"/>
        <v>31.780639800343337</v>
      </c>
      <c r="H149" s="110">
        <f t="shared" si="10"/>
        <v>31.780639800343337</v>
      </c>
      <c r="I149" s="136">
        <f t="shared" si="11"/>
        <v>0</v>
      </c>
      <c r="J149" s="55">
        <f t="shared" si="12"/>
        <v>0</v>
      </c>
      <c r="K149" s="36"/>
    </row>
    <row r="150" spans="1:11" x14ac:dyDescent="0.25">
      <c r="A150" s="49">
        <f>'A) Base RI'!A152</f>
        <v>5644</v>
      </c>
      <c r="B150" s="291" t="str">
        <f>'A) Base RI'!B152</f>
        <v>Reverolle</v>
      </c>
      <c r="C150" s="95">
        <f>'B) D RI'!U152</f>
        <v>16806.032344441897</v>
      </c>
      <c r="D150" s="110">
        <f>'E) Part. coh. soc.'!G156/C150</f>
        <v>17.760056069116548</v>
      </c>
      <c r="E150" s="136">
        <f>'H) Péréquation directe'!I161/C150</f>
        <v>13.586662853443014</v>
      </c>
      <c r="F150" s="110">
        <f>+'I) Dépenses thématiques'!O150/'K) Plafonnement aide'!C150</f>
        <v>-2.9022100099642882</v>
      </c>
      <c r="G150" s="136">
        <f t="shared" si="9"/>
        <v>28.444508912595271</v>
      </c>
      <c r="H150" s="110">
        <f t="shared" si="10"/>
        <v>31.34671892255956</v>
      </c>
      <c r="I150" s="136">
        <f t="shared" si="11"/>
        <v>0</v>
      </c>
      <c r="J150" s="55">
        <f t="shared" si="12"/>
        <v>0</v>
      </c>
      <c r="K150" s="36"/>
    </row>
    <row r="151" spans="1:11" x14ac:dyDescent="0.25">
      <c r="A151" s="49">
        <f>'A) Base RI'!A153</f>
        <v>5645</v>
      </c>
      <c r="B151" s="291" t="str">
        <f>'A) Base RI'!B153</f>
        <v>Romanel-sur-Morges</v>
      </c>
      <c r="C151" s="95">
        <f>'B) D RI'!U153</f>
        <v>30104.624556076433</v>
      </c>
      <c r="D151" s="110">
        <f>'E) Part. coh. soc.'!G157/C151</f>
        <v>22.253782883213585</v>
      </c>
      <c r="E151" s="136">
        <f>'H) Péréquation directe'!I162/C151</f>
        <v>17.687379516525638</v>
      </c>
      <c r="F151" s="110">
        <f>+'I) Dépenses thématiques'!O151/'K) Plafonnement aide'!C151</f>
        <v>0</v>
      </c>
      <c r="G151" s="136">
        <f t="shared" si="9"/>
        <v>39.941162399739227</v>
      </c>
      <c r="H151" s="110">
        <f t="shared" si="10"/>
        <v>39.941162399739227</v>
      </c>
      <c r="I151" s="136">
        <f t="shared" si="11"/>
        <v>0</v>
      </c>
      <c r="J151" s="55">
        <f t="shared" si="12"/>
        <v>0</v>
      </c>
      <c r="K151" s="36"/>
    </row>
    <row r="152" spans="1:11" x14ac:dyDescent="0.25">
      <c r="A152" s="49">
        <f>'A) Base RI'!A154</f>
        <v>5646</v>
      </c>
      <c r="B152" s="291" t="str">
        <f>'A) Base RI'!B154</f>
        <v>Saint-Prex</v>
      </c>
      <c r="C152" s="95">
        <f>'B) D RI'!U154</f>
        <v>410896.75287158613</v>
      </c>
      <c r="D152" s="110">
        <f>'E) Part. coh. soc.'!G158/C152</f>
        <v>22.901584261766157</v>
      </c>
      <c r="E152" s="136">
        <f>'H) Péréquation directe'!I163/C152</f>
        <v>14.048980752860277</v>
      </c>
      <c r="F152" s="110">
        <f>+'I) Dépenses thématiques'!O152/'K) Plafonnement aide'!C152</f>
        <v>0</v>
      </c>
      <c r="G152" s="136">
        <f t="shared" si="9"/>
        <v>36.950565014626434</v>
      </c>
      <c r="H152" s="110">
        <f t="shared" si="10"/>
        <v>36.950565014626434</v>
      </c>
      <c r="I152" s="136">
        <f t="shared" si="11"/>
        <v>0</v>
      </c>
      <c r="J152" s="55">
        <f t="shared" si="12"/>
        <v>0</v>
      </c>
      <c r="K152" s="36"/>
    </row>
    <row r="153" spans="1:11" x14ac:dyDescent="0.25">
      <c r="A153" s="49">
        <f>'A) Base RI'!A155</f>
        <v>5648</v>
      </c>
      <c r="B153" s="291" t="str">
        <f>'A) Base RI'!B155</f>
        <v>Saint-Sulpice</v>
      </c>
      <c r="C153" s="95">
        <f>'B) D RI'!U155</f>
        <v>382700.93610668415</v>
      </c>
      <c r="D153" s="110">
        <f>'E) Part. coh. soc.'!G159/C153</f>
        <v>25.781813133077076</v>
      </c>
      <c r="E153" s="136">
        <f>'H) Péréquation directe'!I164/C153</f>
        <v>15.227599420268785</v>
      </c>
      <c r="F153" s="110">
        <f>+'I) Dépenses thématiques'!O153/'K) Plafonnement aide'!C153</f>
        <v>0</v>
      </c>
      <c r="G153" s="136">
        <f t="shared" si="9"/>
        <v>41.009412553345861</v>
      </c>
      <c r="H153" s="110">
        <f t="shared" si="10"/>
        <v>41.009412553345861</v>
      </c>
      <c r="I153" s="136">
        <f t="shared" si="11"/>
        <v>0</v>
      </c>
      <c r="J153" s="55">
        <f t="shared" si="12"/>
        <v>0</v>
      </c>
      <c r="K153" s="36"/>
    </row>
    <row r="154" spans="1:11" x14ac:dyDescent="0.25">
      <c r="A154" s="49">
        <f>'A) Base RI'!A156</f>
        <v>5649</v>
      </c>
      <c r="B154" s="291" t="str">
        <f>'A) Base RI'!B156</f>
        <v>Tolochenaz</v>
      </c>
      <c r="C154" s="95">
        <f>'B) D RI'!U156</f>
        <v>102752.22096213103</v>
      </c>
      <c r="D154" s="110">
        <f>'E) Part. coh. soc.'!G160/C154</f>
        <v>19.027300357675543</v>
      </c>
      <c r="E154" s="136">
        <f>'H) Péréquation directe'!I165/C154</f>
        <v>15.321073905245655</v>
      </c>
      <c r="F154" s="110">
        <f>+'I) Dépenses thématiques'!O154/'K) Plafonnement aide'!C154</f>
        <v>-4.8848900171336718</v>
      </c>
      <c r="G154" s="136">
        <f t="shared" si="9"/>
        <v>29.463484245787527</v>
      </c>
      <c r="H154" s="110">
        <f t="shared" si="10"/>
        <v>34.348374262921197</v>
      </c>
      <c r="I154" s="136">
        <f t="shared" si="11"/>
        <v>0</v>
      </c>
      <c r="J154" s="55">
        <f t="shared" si="12"/>
        <v>0</v>
      </c>
      <c r="K154" s="36"/>
    </row>
    <row r="155" spans="1:11" x14ac:dyDescent="0.25">
      <c r="A155" s="49">
        <f>'A) Base RI'!A157</f>
        <v>5650</v>
      </c>
      <c r="B155" s="291" t="str">
        <f>'A) Base RI'!B157</f>
        <v>Vaux-sur-Morges</v>
      </c>
      <c r="C155" s="95">
        <f>'B) D RI'!U157</f>
        <v>91360.78017857144</v>
      </c>
      <c r="D155" s="110">
        <f>'E) Part. coh. soc.'!G161/C155</f>
        <v>43.648067651450503</v>
      </c>
      <c r="E155" s="136">
        <f>'H) Péréquation directe'!I166/C155</f>
        <v>19.379206944274408</v>
      </c>
      <c r="F155" s="110">
        <f>+'I) Dépenses thématiques'!O155/'K) Plafonnement aide'!C155</f>
        <v>0</v>
      </c>
      <c r="G155" s="136">
        <f t="shared" si="9"/>
        <v>63.027274595724911</v>
      </c>
      <c r="H155" s="110">
        <f t="shared" si="10"/>
        <v>63.027274595724911</v>
      </c>
      <c r="I155" s="136">
        <f t="shared" si="11"/>
        <v>0</v>
      </c>
      <c r="J155" s="55">
        <f t="shared" si="12"/>
        <v>0</v>
      </c>
      <c r="K155" s="36"/>
    </row>
    <row r="156" spans="1:11" x14ac:dyDescent="0.25">
      <c r="A156" s="49">
        <f>'A) Base RI'!A158</f>
        <v>5651</v>
      </c>
      <c r="B156" s="291" t="str">
        <f>'A) Base RI'!B158</f>
        <v>Villars-Sainte-Croix</v>
      </c>
      <c r="C156" s="95">
        <f>'B) D RI'!U158</f>
        <v>58663.104123472025</v>
      </c>
      <c r="D156" s="110">
        <f>'E) Part. coh. soc.'!G162/C156</f>
        <v>21.195813624882181</v>
      </c>
      <c r="E156" s="136">
        <f>'H) Péréquation directe'!I167/C156</f>
        <v>17.565015183468095</v>
      </c>
      <c r="F156" s="110">
        <f>+'I) Dépenses thématiques'!O156/'K) Plafonnement aide'!C156</f>
        <v>0</v>
      </c>
      <c r="G156" s="136">
        <f t="shared" si="9"/>
        <v>38.760828808350276</v>
      </c>
      <c r="H156" s="110">
        <f t="shared" si="10"/>
        <v>38.760828808350276</v>
      </c>
      <c r="I156" s="136">
        <f t="shared" si="11"/>
        <v>0</v>
      </c>
      <c r="J156" s="55">
        <f t="shared" si="12"/>
        <v>0</v>
      </c>
      <c r="K156" s="36"/>
    </row>
    <row r="157" spans="1:11" x14ac:dyDescent="0.25">
      <c r="A157" s="49">
        <f>'A) Base RI'!A159</f>
        <v>5652</v>
      </c>
      <c r="B157" s="291" t="str">
        <f>'A) Base RI'!B159</f>
        <v>Villars-sous-Yens</v>
      </c>
      <c r="C157" s="95">
        <f>'B) D RI'!U159</f>
        <v>32914.720873332524</v>
      </c>
      <c r="D157" s="110">
        <f>'E) Part. coh. soc.'!G163/C157</f>
        <v>18.747913073748848</v>
      </c>
      <c r="E157" s="136">
        <f>'H) Péréquation directe'!I168/C157</f>
        <v>17.34719551793312</v>
      </c>
      <c r="F157" s="110">
        <f>+'I) Dépenses thématiques'!O157/'K) Plafonnement aide'!C157</f>
        <v>0</v>
      </c>
      <c r="G157" s="136">
        <f t="shared" si="9"/>
        <v>36.095108591681964</v>
      </c>
      <c r="H157" s="110">
        <f t="shared" si="10"/>
        <v>36.095108591681964</v>
      </c>
      <c r="I157" s="136">
        <f t="shared" si="11"/>
        <v>0</v>
      </c>
      <c r="J157" s="55">
        <f t="shared" si="12"/>
        <v>0</v>
      </c>
      <c r="K157" s="36"/>
    </row>
    <row r="158" spans="1:11" x14ac:dyDescent="0.25">
      <c r="A158" s="49">
        <f>'A) Base RI'!A160</f>
        <v>5653</v>
      </c>
      <c r="B158" s="291" t="str">
        <f>'A) Base RI'!B160</f>
        <v>Vufflens-le-Château</v>
      </c>
      <c r="C158" s="95">
        <f>'B) D RI'!U160</f>
        <v>71945.00670599271</v>
      </c>
      <c r="D158" s="110">
        <f>'E) Part. coh. soc.'!G164/C158</f>
        <v>36.108664147355519</v>
      </c>
      <c r="E158" s="136">
        <f>'H) Péréquation directe'!I169/C158</f>
        <v>18.106848476747469</v>
      </c>
      <c r="F158" s="110">
        <f>+'I) Dépenses thématiques'!O158/'K) Plafonnement aide'!C158</f>
        <v>0</v>
      </c>
      <c r="G158" s="136">
        <f t="shared" si="9"/>
        <v>54.215512624102985</v>
      </c>
      <c r="H158" s="110">
        <f t="shared" si="10"/>
        <v>54.215512624102985</v>
      </c>
      <c r="I158" s="136">
        <f t="shared" si="11"/>
        <v>0</v>
      </c>
      <c r="J158" s="55">
        <f t="shared" si="12"/>
        <v>0</v>
      </c>
      <c r="K158" s="36"/>
    </row>
    <row r="159" spans="1:11" x14ac:dyDescent="0.25">
      <c r="A159" s="49">
        <f>'A) Base RI'!A161</f>
        <v>5654</v>
      </c>
      <c r="B159" s="291" t="str">
        <f>'A) Base RI'!B161</f>
        <v>Vullierens</v>
      </c>
      <c r="C159" s="95">
        <f>'B) D RI'!U161</f>
        <v>18024.22731423103</v>
      </c>
      <c r="D159" s="110">
        <f>'E) Part. coh. soc.'!G165/C159</f>
        <v>16.821491841259189</v>
      </c>
      <c r="E159" s="136">
        <f>'H) Péréquation directe'!I170/C159</f>
        <v>9.0204031873125423</v>
      </c>
      <c r="F159" s="110">
        <f>+'I) Dépenses thématiques'!O159/'K) Plafonnement aide'!C159</f>
        <v>-1.0889872061246895</v>
      </c>
      <c r="G159" s="136">
        <f t="shared" si="9"/>
        <v>24.752907822447042</v>
      </c>
      <c r="H159" s="110">
        <f t="shared" si="10"/>
        <v>25.841895028571731</v>
      </c>
      <c r="I159" s="136">
        <f t="shared" si="11"/>
        <v>0</v>
      </c>
      <c r="J159" s="55">
        <f t="shared" si="12"/>
        <v>0</v>
      </c>
      <c r="K159" s="36"/>
    </row>
    <row r="160" spans="1:11" x14ac:dyDescent="0.25">
      <c r="A160" s="49">
        <f>'A) Base RI'!A162</f>
        <v>5655</v>
      </c>
      <c r="B160" s="291" t="str">
        <f>'A) Base RI'!B162</f>
        <v>Yens</v>
      </c>
      <c r="C160" s="95">
        <f>'B) D RI'!U162</f>
        <v>77001.825217451595</v>
      </c>
      <c r="D160" s="110">
        <f>'E) Part. coh. soc.'!G166/C160</f>
        <v>20.482768360872196</v>
      </c>
      <c r="E160" s="136">
        <f>'H) Péréquation directe'!I171/C160</f>
        <v>15.838183121558792</v>
      </c>
      <c r="F160" s="110">
        <f>+'I) Dépenses thématiques'!O160/'K) Plafonnement aide'!C160</f>
        <v>0</v>
      </c>
      <c r="G160" s="136">
        <f t="shared" si="9"/>
        <v>36.320951482430985</v>
      </c>
      <c r="H160" s="110">
        <f t="shared" si="10"/>
        <v>36.320951482430985</v>
      </c>
      <c r="I160" s="136">
        <f t="shared" si="11"/>
        <v>0</v>
      </c>
      <c r="J160" s="55">
        <f t="shared" si="12"/>
        <v>0</v>
      </c>
      <c r="K160" s="36"/>
    </row>
    <row r="161" spans="1:11" x14ac:dyDescent="0.25">
      <c r="A161" s="49">
        <f>'A) Base RI'!A163</f>
        <v>5661</v>
      </c>
      <c r="B161" s="291" t="str">
        <f>'A) Base RI'!B163</f>
        <v>Boulens</v>
      </c>
      <c r="C161" s="95">
        <f>'B) D RI'!U163</f>
        <v>10064.101124681909</v>
      </c>
      <c r="D161" s="110">
        <f>'E) Part. coh. soc.'!G167/C161</f>
        <v>15.947166988624199</v>
      </c>
      <c r="E161" s="136">
        <f>'H) Péréquation directe'!I172/C161</f>
        <v>1.465071986193039</v>
      </c>
      <c r="F161" s="110">
        <f>+'I) Dépenses thématiques'!O161/'K) Plafonnement aide'!C161</f>
        <v>-7.3389979594244847</v>
      </c>
      <c r="G161" s="136">
        <f t="shared" si="9"/>
        <v>10.073241015392753</v>
      </c>
      <c r="H161" s="110">
        <f t="shared" si="10"/>
        <v>17.412238974817239</v>
      </c>
      <c r="I161" s="136">
        <f t="shared" si="11"/>
        <v>0</v>
      </c>
      <c r="J161" s="55">
        <f t="shared" si="12"/>
        <v>0</v>
      </c>
      <c r="K161" s="36"/>
    </row>
    <row r="162" spans="1:11" x14ac:dyDescent="0.25">
      <c r="A162" s="49">
        <f>'A) Base RI'!A164</f>
        <v>5663</v>
      </c>
      <c r="B162" s="291" t="str">
        <f>'A) Base RI'!B164</f>
        <v>Bussy-sur-Moudon</v>
      </c>
      <c r="C162" s="95">
        <f>'B) D RI'!U164</f>
        <v>6370.1104534474161</v>
      </c>
      <c r="D162" s="110">
        <f>'E) Part. coh. soc.'!G168/C162</f>
        <v>18.896007009030136</v>
      </c>
      <c r="E162" s="136">
        <f>'H) Péréquation directe'!I173/C162</f>
        <v>0.83860075857592742</v>
      </c>
      <c r="F162" s="110">
        <f>+'I) Dépenses thématiques'!O162/'K) Plafonnement aide'!C162</f>
        <v>-4.5183708156850324</v>
      </c>
      <c r="G162" s="136">
        <f t="shared" si="9"/>
        <v>15.216236951921033</v>
      </c>
      <c r="H162" s="110">
        <f t="shared" si="10"/>
        <v>19.734607767606064</v>
      </c>
      <c r="I162" s="136">
        <f t="shared" si="11"/>
        <v>0</v>
      </c>
      <c r="J162" s="55">
        <f t="shared" si="12"/>
        <v>0</v>
      </c>
      <c r="K162" s="36"/>
    </row>
    <row r="163" spans="1:11" x14ac:dyDescent="0.25">
      <c r="A163" s="49">
        <f>'A) Base RI'!A165</f>
        <v>5665</v>
      </c>
      <c r="B163" s="291" t="str">
        <f>'A) Base RI'!B165</f>
        <v>Chavannes-sur-Moudon</v>
      </c>
      <c r="C163" s="95">
        <f>'B) D RI'!U165</f>
        <v>4725.8157534246584</v>
      </c>
      <c r="D163" s="110">
        <f>'E) Part. coh. soc.'!G169/C163</f>
        <v>18.454245795620999</v>
      </c>
      <c r="E163" s="136">
        <f>'H) Péréquation directe'!I174/C163</f>
        <v>-7.9027047933729575</v>
      </c>
      <c r="F163" s="110">
        <f>+'I) Dépenses thématiques'!O163/'K) Plafonnement aide'!C163</f>
        <v>-4.2701791308485131</v>
      </c>
      <c r="G163" s="136">
        <f t="shared" si="9"/>
        <v>6.2813618713995272</v>
      </c>
      <c r="H163" s="110">
        <f t="shared" si="10"/>
        <v>10.55154100224804</v>
      </c>
      <c r="I163" s="136">
        <f t="shared" si="11"/>
        <v>0</v>
      </c>
      <c r="J163" s="55">
        <f t="shared" si="12"/>
        <v>0</v>
      </c>
      <c r="K163" s="36"/>
    </row>
    <row r="164" spans="1:11" x14ac:dyDescent="0.25">
      <c r="A164" s="49">
        <f>'A) Base RI'!A166</f>
        <v>5669</v>
      </c>
      <c r="B164" s="291" t="str">
        <f>'A) Base RI'!B166</f>
        <v>Curtilles</v>
      </c>
      <c r="C164" s="95">
        <f>'B) D RI'!U166</f>
        <v>9981.2313977454014</v>
      </c>
      <c r="D164" s="110">
        <f>'E) Part. coh. soc.'!G170/C164</f>
        <v>16.096035904983133</v>
      </c>
      <c r="E164" s="136">
        <f>'H) Péréquation directe'!I175/C164</f>
        <v>6.2257750895078603</v>
      </c>
      <c r="F164" s="110">
        <f>+'I) Dépenses thématiques'!O164/'K) Plafonnement aide'!C164</f>
        <v>0</v>
      </c>
      <c r="G164" s="136">
        <f t="shared" si="9"/>
        <v>22.321810994490992</v>
      </c>
      <c r="H164" s="110">
        <f t="shared" si="10"/>
        <v>22.321810994490992</v>
      </c>
      <c r="I164" s="136">
        <f t="shared" si="11"/>
        <v>0</v>
      </c>
      <c r="J164" s="55">
        <f t="shared" si="12"/>
        <v>0</v>
      </c>
      <c r="K164" s="36"/>
    </row>
    <row r="165" spans="1:11" x14ac:dyDescent="0.25">
      <c r="A165" s="49">
        <f>'A) Base RI'!A167</f>
        <v>5671</v>
      </c>
      <c r="B165" s="291" t="str">
        <f>'A) Base RI'!B167</f>
        <v>Dompierre</v>
      </c>
      <c r="C165" s="95">
        <f>'B) D RI'!U167</f>
        <v>6546.2666570185083</v>
      </c>
      <c r="D165" s="110">
        <f>'E) Part. coh. soc.'!G171/C165</f>
        <v>19.000233617934114</v>
      </c>
      <c r="E165" s="136">
        <f>'H) Péréquation directe'!I176/C165</f>
        <v>-0.72986106536308859</v>
      </c>
      <c r="F165" s="110">
        <f>+'I) Dépenses thématiques'!O165/'K) Plafonnement aide'!C165</f>
        <v>-5.8994534169897559</v>
      </c>
      <c r="G165" s="136">
        <f t="shared" si="9"/>
        <v>12.37091913558127</v>
      </c>
      <c r="H165" s="110">
        <f t="shared" si="10"/>
        <v>18.270372552571025</v>
      </c>
      <c r="I165" s="136">
        <f t="shared" si="11"/>
        <v>0</v>
      </c>
      <c r="J165" s="55">
        <f t="shared" si="12"/>
        <v>0</v>
      </c>
      <c r="K165" s="36"/>
    </row>
    <row r="166" spans="1:11" x14ac:dyDescent="0.25">
      <c r="A166" s="49">
        <f>'A) Base RI'!A168</f>
        <v>5673</v>
      </c>
      <c r="B166" s="291" t="str">
        <f>'A) Base RI'!B168</f>
        <v>Hermenches</v>
      </c>
      <c r="C166" s="95">
        <f>'B) D RI'!U168</f>
        <v>9911.4858119507371</v>
      </c>
      <c r="D166" s="110">
        <f>'E) Part. coh. soc.'!G172/C166</f>
        <v>17.684950247709398</v>
      </c>
      <c r="E166" s="136">
        <f>'H) Péréquation directe'!I177/C166</f>
        <v>-0.62280962424007424</v>
      </c>
      <c r="F166" s="110">
        <f>+'I) Dépenses thématiques'!O166/'K) Plafonnement aide'!C166</f>
        <v>-8.9971909060534756</v>
      </c>
      <c r="G166" s="136">
        <f t="shared" si="9"/>
        <v>8.0649497174158498</v>
      </c>
      <c r="H166" s="110">
        <f t="shared" si="10"/>
        <v>17.062140623469325</v>
      </c>
      <c r="I166" s="136">
        <f t="shared" si="11"/>
        <v>0</v>
      </c>
      <c r="J166" s="55">
        <f t="shared" si="12"/>
        <v>0</v>
      </c>
      <c r="K166" s="36"/>
    </row>
    <row r="167" spans="1:11" x14ac:dyDescent="0.25">
      <c r="A167" s="49">
        <f>'A) Base RI'!A169</f>
        <v>5674</v>
      </c>
      <c r="B167" s="291" t="str">
        <f>'A) Base RI'!B169</f>
        <v>Lovatens</v>
      </c>
      <c r="C167" s="95">
        <f>'B) D RI'!U169</f>
        <v>3212.7201333333333</v>
      </c>
      <c r="D167" s="110">
        <f>'E) Part. coh. soc.'!G173/C167</f>
        <v>15.362417494754705</v>
      </c>
      <c r="E167" s="136">
        <f>'H) Péréquation directe'!I178/C167</f>
        <v>-6.7079146083430219</v>
      </c>
      <c r="F167" s="110">
        <f>+'I) Dépenses thématiques'!O167/'K) Plafonnement aide'!C167</f>
        <v>-3.7496077979429066</v>
      </c>
      <c r="G167" s="136">
        <f t="shared" si="9"/>
        <v>4.9048950884687779</v>
      </c>
      <c r="H167" s="110">
        <f t="shared" si="10"/>
        <v>8.6545028864116844</v>
      </c>
      <c r="I167" s="136">
        <f t="shared" si="11"/>
        <v>0</v>
      </c>
      <c r="J167" s="55">
        <f t="shared" si="12"/>
        <v>0</v>
      </c>
      <c r="K167" s="36"/>
    </row>
    <row r="168" spans="1:11" x14ac:dyDescent="0.25">
      <c r="A168" s="49">
        <f>'A) Base RI'!A170</f>
        <v>5675</v>
      </c>
      <c r="B168" s="291" t="str">
        <f>'A) Base RI'!B170</f>
        <v>Lucens</v>
      </c>
      <c r="C168" s="95">
        <f>'B) D RI'!U170</f>
        <v>97171.957057014763</v>
      </c>
      <c r="D168" s="110">
        <f>'E) Part. coh. soc.'!G174/C168</f>
        <v>20.060958803104448</v>
      </c>
      <c r="E168" s="136">
        <f>'H) Péréquation directe'!I179/C168</f>
        <v>-13.948337748194701</v>
      </c>
      <c r="F168" s="110">
        <f>+'I) Dépenses thématiques'!O168/'K) Plafonnement aide'!C168</f>
        <v>-4.788498773401769</v>
      </c>
      <c r="G168" s="136">
        <f t="shared" si="9"/>
        <v>1.3241222815079778</v>
      </c>
      <c r="H168" s="110">
        <f t="shared" si="10"/>
        <v>6.1126210549097468</v>
      </c>
      <c r="I168" s="136">
        <f t="shared" si="11"/>
        <v>0</v>
      </c>
      <c r="J168" s="55">
        <f t="shared" si="12"/>
        <v>0</v>
      </c>
      <c r="K168" s="36"/>
    </row>
    <row r="169" spans="1:11" x14ac:dyDescent="0.25">
      <c r="A169" s="49">
        <f>'A) Base RI'!A171</f>
        <v>5678</v>
      </c>
      <c r="B169" s="291" t="str">
        <f>'A) Base RI'!B171</f>
        <v>Moudon</v>
      </c>
      <c r="C169" s="95">
        <f>'B) D RI'!U171</f>
        <v>124990.90700543707</v>
      </c>
      <c r="D169" s="110">
        <f>'E) Part. coh. soc.'!G175/C169</f>
        <v>21.366164136915369</v>
      </c>
      <c r="E169" s="136">
        <f>'H) Péréquation directe'!I180/C169</f>
        <v>-27.723206477709468</v>
      </c>
      <c r="F169" s="110">
        <f>+'I) Dépenses thématiques'!O169/'K) Plafonnement aide'!C169</f>
        <v>-8.6395606155199403</v>
      </c>
      <c r="G169" s="136">
        <f t="shared" si="9"/>
        <v>-14.996602956314039</v>
      </c>
      <c r="H169" s="110">
        <f t="shared" si="10"/>
        <v>-6.3570423407940986</v>
      </c>
      <c r="I169" s="136">
        <f t="shared" si="11"/>
        <v>0</v>
      </c>
      <c r="J169" s="55">
        <f t="shared" si="12"/>
        <v>0</v>
      </c>
      <c r="K169" s="36"/>
    </row>
    <row r="170" spans="1:11" x14ac:dyDescent="0.25">
      <c r="A170" s="49">
        <f>'A) Base RI'!A172</f>
        <v>5680</v>
      </c>
      <c r="B170" s="291" t="str">
        <f>'A) Base RI'!B172</f>
        <v>Ogens</v>
      </c>
      <c r="C170" s="95">
        <f>'B) D RI'!U172</f>
        <v>6319.984442335237</v>
      </c>
      <c r="D170" s="110">
        <f>'E) Part. coh. soc.'!G176/C170</f>
        <v>21.135973266813142</v>
      </c>
      <c r="E170" s="136">
        <f>'H) Péréquation directe'!I181/C170</f>
        <v>-13.967239725466335</v>
      </c>
      <c r="F170" s="110">
        <f>+'I) Dépenses thématiques'!O170/'K) Plafonnement aide'!C170</f>
        <v>-4.3307789268816563</v>
      </c>
      <c r="G170" s="136">
        <f t="shared" si="9"/>
        <v>2.8379546144651506</v>
      </c>
      <c r="H170" s="110">
        <f t="shared" si="10"/>
        <v>7.168733541346807</v>
      </c>
      <c r="I170" s="136">
        <f t="shared" si="11"/>
        <v>0</v>
      </c>
      <c r="J170" s="55">
        <f t="shared" si="12"/>
        <v>0</v>
      </c>
      <c r="K170" s="36"/>
    </row>
    <row r="171" spans="1:11" x14ac:dyDescent="0.25">
      <c r="A171" s="49">
        <f>'A) Base RI'!A173</f>
        <v>5683</v>
      </c>
      <c r="B171" s="291" t="str">
        <f>'A) Base RI'!B173</f>
        <v>Prévonloup</v>
      </c>
      <c r="C171" s="95">
        <f>'B) D RI'!U173</f>
        <v>4554.1237837837825</v>
      </c>
      <c r="D171" s="110">
        <f>'E) Part. coh. soc.'!G177/C171</f>
        <v>16.239083487293534</v>
      </c>
      <c r="E171" s="136">
        <f>'H) Péréquation directe'!I182/C171</f>
        <v>-6.4497500933442931</v>
      </c>
      <c r="F171" s="110">
        <f>+'I) Dépenses thématiques'!O171/'K) Plafonnement aide'!C171</f>
        <v>-4.6951186344585594</v>
      </c>
      <c r="G171" s="136">
        <f t="shared" si="9"/>
        <v>5.0942147594906828</v>
      </c>
      <c r="H171" s="110">
        <f t="shared" si="10"/>
        <v>9.7893333939492422</v>
      </c>
      <c r="I171" s="136">
        <f t="shared" si="11"/>
        <v>0</v>
      </c>
      <c r="J171" s="55">
        <f t="shared" si="12"/>
        <v>0</v>
      </c>
      <c r="K171" s="36"/>
    </row>
    <row r="172" spans="1:11" x14ac:dyDescent="0.25">
      <c r="A172" s="49">
        <f>'A) Base RI'!A174</f>
        <v>5684</v>
      </c>
      <c r="B172" s="291" t="str">
        <f>'A) Base RI'!B174</f>
        <v>Rossenges</v>
      </c>
      <c r="C172" s="95">
        <f>'B) D RI'!U174</f>
        <v>3099.5946967890927</v>
      </c>
      <c r="D172" s="110">
        <f>'E) Part. coh. soc.'!G178/C172</f>
        <v>15.332948696953828</v>
      </c>
      <c r="E172" s="136">
        <f>'H) Péréquation directe'!I183/C172</f>
        <v>10.76664529656324</v>
      </c>
      <c r="F172" s="110">
        <f>+'I) Dépenses thématiques'!O172/'K) Plafonnement aide'!C172</f>
        <v>-3.665061079591553</v>
      </c>
      <c r="G172" s="136">
        <f t="shared" si="9"/>
        <v>22.434532913925516</v>
      </c>
      <c r="H172" s="110">
        <f t="shared" si="10"/>
        <v>26.099593993517068</v>
      </c>
      <c r="I172" s="136">
        <f t="shared" si="11"/>
        <v>0</v>
      </c>
      <c r="J172" s="55">
        <f t="shared" si="12"/>
        <v>0</v>
      </c>
      <c r="K172" s="36"/>
    </row>
    <row r="173" spans="1:11" x14ac:dyDescent="0.25">
      <c r="A173" s="49">
        <f>'A) Base RI'!A175</f>
        <v>5688</v>
      </c>
      <c r="B173" s="291" t="str">
        <f>'A) Base RI'!B175</f>
        <v>Syens</v>
      </c>
      <c r="C173" s="95">
        <f>'B) D RI'!U175</f>
        <v>2722.3146828511958</v>
      </c>
      <c r="D173" s="110">
        <f>'E) Part. coh. soc.'!G179/C173</f>
        <v>15.377614730886631</v>
      </c>
      <c r="E173" s="136">
        <f>'H) Péréquation directe'!I184/C173</f>
        <v>-24.041595873945713</v>
      </c>
      <c r="F173" s="110">
        <f>+'I) Dépenses thématiques'!O173/'K) Plafonnement aide'!C173</f>
        <v>-14.955513272178484</v>
      </c>
      <c r="G173" s="136">
        <f t="shared" si="9"/>
        <v>-23.619494415237568</v>
      </c>
      <c r="H173" s="110">
        <f t="shared" si="10"/>
        <v>-8.6639811430590843</v>
      </c>
      <c r="I173" s="136">
        <f t="shared" si="11"/>
        <v>-0.66398114305908429</v>
      </c>
      <c r="J173" s="55">
        <f t="shared" si="12"/>
        <v>1807.5656148860655</v>
      </c>
      <c r="K173" s="36"/>
    </row>
    <row r="174" spans="1:11" x14ac:dyDescent="0.25">
      <c r="A174" s="49">
        <f>'A) Base RI'!A176</f>
        <v>5690</v>
      </c>
      <c r="B174" s="291" t="str">
        <f>'A) Base RI'!B176</f>
        <v>Villars-le-Comte</v>
      </c>
      <c r="C174" s="95">
        <f>'B) D RI'!U176</f>
        <v>3015.9771931576993</v>
      </c>
      <c r="D174" s="110">
        <f>'E) Part. coh. soc.'!G180/C174</f>
        <v>19.244516737575658</v>
      </c>
      <c r="E174" s="136">
        <f>'H) Péréquation directe'!I185/C174</f>
        <v>-2.0864611195364531</v>
      </c>
      <c r="F174" s="110">
        <f>+'I) Dépenses thématiques'!O174/'K) Plafonnement aide'!C174</f>
        <v>0</v>
      </c>
      <c r="G174" s="136">
        <f t="shared" si="9"/>
        <v>17.158055618039207</v>
      </c>
      <c r="H174" s="110">
        <f t="shared" si="10"/>
        <v>17.158055618039207</v>
      </c>
      <c r="I174" s="136">
        <f t="shared" si="11"/>
        <v>0</v>
      </c>
      <c r="J174" s="55">
        <f t="shared" si="12"/>
        <v>0</v>
      </c>
      <c r="K174" s="36"/>
    </row>
    <row r="175" spans="1:11" x14ac:dyDescent="0.25">
      <c r="A175" s="49">
        <f>'A) Base RI'!A177</f>
        <v>5692</v>
      </c>
      <c r="B175" s="291" t="str">
        <f>'A) Base RI'!B177</f>
        <v>Vucherens</v>
      </c>
      <c r="C175" s="95">
        <f>'B) D RI'!U177</f>
        <v>15976.51835443038</v>
      </c>
      <c r="D175" s="110">
        <f>'E) Part. coh. soc.'!G181/C175</f>
        <v>18.499597016546598</v>
      </c>
      <c r="E175" s="136">
        <f>'H) Péréquation directe'!I186/C175</f>
        <v>-1.421132132934422</v>
      </c>
      <c r="F175" s="110">
        <f>+'I) Dépenses thématiques'!O175/'K) Plafonnement aide'!C175</f>
        <v>-4.1067581188998901</v>
      </c>
      <c r="G175" s="136">
        <f t="shared" si="9"/>
        <v>12.971706764712287</v>
      </c>
      <c r="H175" s="110">
        <f t="shared" si="10"/>
        <v>17.078464883612178</v>
      </c>
      <c r="I175" s="136">
        <f t="shared" si="11"/>
        <v>0</v>
      </c>
      <c r="J175" s="55">
        <f t="shared" si="12"/>
        <v>0</v>
      </c>
      <c r="K175" s="36"/>
    </row>
    <row r="176" spans="1:11" x14ac:dyDescent="0.25">
      <c r="A176" s="49">
        <f>'A) Base RI'!A178</f>
        <v>5693</v>
      </c>
      <c r="B176" s="291" t="str">
        <f>'A) Base RI'!B178</f>
        <v>Montanaire</v>
      </c>
      <c r="C176" s="95">
        <f>'B) D RI'!U178</f>
        <v>70480.928098220116</v>
      </c>
      <c r="D176" s="110">
        <f>'E) Part. coh. soc.'!G182/C176</f>
        <v>17.724769499385303</v>
      </c>
      <c r="E176" s="136">
        <f>'H) Péréquation directe'!I187/C176</f>
        <v>-6.5309664447981293</v>
      </c>
      <c r="F176" s="110">
        <f>+'I) Dépenses thématiques'!O176/'K) Plafonnement aide'!C176</f>
        <v>-7.9204167946465187</v>
      </c>
      <c r="G176" s="136">
        <f t="shared" si="9"/>
        <v>3.273386259940656</v>
      </c>
      <c r="H176" s="110">
        <f t="shared" si="10"/>
        <v>11.193803054587175</v>
      </c>
      <c r="I176" s="136">
        <f t="shared" si="11"/>
        <v>0</v>
      </c>
      <c r="J176" s="55">
        <f t="shared" si="12"/>
        <v>0</v>
      </c>
      <c r="K176" s="36"/>
    </row>
    <row r="177" spans="1:11" x14ac:dyDescent="0.25">
      <c r="A177" s="49">
        <f>'A) Base RI'!A179</f>
        <v>5701</v>
      </c>
      <c r="B177" s="291" t="str">
        <f>'A) Base RI'!B179</f>
        <v>Arnex-sur-Nyon</v>
      </c>
      <c r="C177" s="95">
        <f>'B) D RI'!U179</f>
        <v>12114.196611371119</v>
      </c>
      <c r="D177" s="110">
        <f>'E) Part. coh. soc.'!G183/C177</f>
        <v>18.8971780293022</v>
      </c>
      <c r="E177" s="136">
        <f>'H) Péréquation directe'!I188/C177</f>
        <v>17.273907381128755</v>
      </c>
      <c r="F177" s="110">
        <f>+'I) Dépenses thématiques'!O177/'K) Plafonnement aide'!C177</f>
        <v>-13.754136321641466</v>
      </c>
      <c r="G177" s="136">
        <f t="shared" si="9"/>
        <v>22.416949088789487</v>
      </c>
      <c r="H177" s="110">
        <f t="shared" si="10"/>
        <v>36.171085410430955</v>
      </c>
      <c r="I177" s="136">
        <f t="shared" si="11"/>
        <v>0</v>
      </c>
      <c r="J177" s="55">
        <f t="shared" si="12"/>
        <v>0</v>
      </c>
      <c r="K177" s="36"/>
    </row>
    <row r="178" spans="1:11" x14ac:dyDescent="0.25">
      <c r="A178" s="49">
        <f>'A) Base RI'!A180</f>
        <v>5702</v>
      </c>
      <c r="B178" s="291" t="str">
        <f>'A) Base RI'!B180</f>
        <v>Arzier-Le Muids</v>
      </c>
      <c r="C178" s="95">
        <f>'B) D RI'!U180</f>
        <v>174460.56839607147</v>
      </c>
      <c r="D178" s="110">
        <f>'E) Part. coh. soc.'!G184/C178</f>
        <v>23.260219278752434</v>
      </c>
      <c r="E178" s="136">
        <f>'H) Péréquation directe'!I189/C178</f>
        <v>15.297312973886497</v>
      </c>
      <c r="F178" s="110">
        <f>+'I) Dépenses thématiques'!O178/'K) Plafonnement aide'!C178</f>
        <v>-1.5278308126309921</v>
      </c>
      <c r="G178" s="136">
        <f t="shared" si="9"/>
        <v>37.029701440007933</v>
      </c>
      <c r="H178" s="110">
        <f t="shared" si="10"/>
        <v>38.557532252638929</v>
      </c>
      <c r="I178" s="136">
        <f t="shared" si="11"/>
        <v>0</v>
      </c>
      <c r="J178" s="55">
        <f t="shared" si="12"/>
        <v>0</v>
      </c>
      <c r="K178" s="36"/>
    </row>
    <row r="179" spans="1:11" x14ac:dyDescent="0.25">
      <c r="A179" s="49">
        <f>'A) Base RI'!A181</f>
        <v>5703</v>
      </c>
      <c r="B179" s="291" t="str">
        <f>'A) Base RI'!B181</f>
        <v>Bassins</v>
      </c>
      <c r="C179" s="95">
        <f>'B) D RI'!U181</f>
        <v>58935.560453684549</v>
      </c>
      <c r="D179" s="110">
        <f>'E) Part. coh. soc.'!G185/C179</f>
        <v>18.306654955974281</v>
      </c>
      <c r="E179" s="136">
        <f>'H) Péréquation directe'!I190/C179</f>
        <v>13.238911621557159</v>
      </c>
      <c r="F179" s="110">
        <f>+'I) Dépenses thématiques'!O179/'K) Plafonnement aide'!C179</f>
        <v>-5.7733521558683689</v>
      </c>
      <c r="G179" s="136">
        <f t="shared" si="9"/>
        <v>25.772214421663069</v>
      </c>
      <c r="H179" s="110">
        <f t="shared" si="10"/>
        <v>31.545566577531439</v>
      </c>
      <c r="I179" s="136">
        <f t="shared" si="11"/>
        <v>0</v>
      </c>
      <c r="J179" s="55">
        <f t="shared" si="12"/>
        <v>0</v>
      </c>
      <c r="K179" s="36"/>
    </row>
    <row r="180" spans="1:11" x14ac:dyDescent="0.25">
      <c r="A180" s="49">
        <f>'A) Base RI'!A182</f>
        <v>5704</v>
      </c>
      <c r="B180" s="291" t="str">
        <f>'A) Base RI'!B182</f>
        <v>Begnins</v>
      </c>
      <c r="C180" s="95">
        <f>'B) D RI'!U182</f>
        <v>129508.82887740067</v>
      </c>
      <c r="D180" s="110">
        <f>'E) Part. coh. soc.'!G186/C180</f>
        <v>22.920824299949885</v>
      </c>
      <c r="E180" s="136">
        <f>'H) Péréquation directe'!I191/C180</f>
        <v>16.149982403803424</v>
      </c>
      <c r="F180" s="110">
        <f>+'I) Dépenses thématiques'!O180/'K) Plafonnement aide'!C180</f>
        <v>0</v>
      </c>
      <c r="G180" s="136">
        <f t="shared" si="9"/>
        <v>39.070806703753306</v>
      </c>
      <c r="H180" s="110">
        <f t="shared" si="10"/>
        <v>39.070806703753306</v>
      </c>
      <c r="I180" s="136">
        <f t="shared" si="11"/>
        <v>0</v>
      </c>
      <c r="J180" s="55">
        <f t="shared" si="12"/>
        <v>0</v>
      </c>
      <c r="K180" s="36"/>
    </row>
    <row r="181" spans="1:11" x14ac:dyDescent="0.25">
      <c r="A181" s="49">
        <f>'A) Base RI'!A183</f>
        <v>5705</v>
      </c>
      <c r="B181" s="291" t="str">
        <f>'A) Base RI'!B183</f>
        <v>Bogis-Bossey</v>
      </c>
      <c r="C181" s="95">
        <f>'B) D RI'!U183</f>
        <v>47399.998914219243</v>
      </c>
      <c r="D181" s="110">
        <f>'E) Part. coh. soc.'!G187/C181</f>
        <v>22.083727213501369</v>
      </c>
      <c r="E181" s="136">
        <f>'H) Péréquation directe'!I192/C181</f>
        <v>17.462146674160497</v>
      </c>
      <c r="F181" s="110">
        <f>+'I) Dépenses thématiques'!O181/'K) Plafonnement aide'!C181</f>
        <v>0</v>
      </c>
      <c r="G181" s="136">
        <f t="shared" si="9"/>
        <v>39.54587388766187</v>
      </c>
      <c r="H181" s="110">
        <f t="shared" si="10"/>
        <v>39.54587388766187</v>
      </c>
      <c r="I181" s="136">
        <f t="shared" si="11"/>
        <v>0</v>
      </c>
      <c r="J181" s="55">
        <f t="shared" si="12"/>
        <v>0</v>
      </c>
      <c r="K181" s="36"/>
    </row>
    <row r="182" spans="1:11" x14ac:dyDescent="0.25">
      <c r="A182" s="49">
        <f>'A) Base RI'!A184</f>
        <v>5706</v>
      </c>
      <c r="B182" s="291" t="str">
        <f>'A) Base RI'!B184</f>
        <v>Borex</v>
      </c>
      <c r="C182" s="95">
        <f>'B) D RI'!U184</f>
        <v>76732.339331916941</v>
      </c>
      <c r="D182" s="110">
        <f>'E) Part. coh. soc.'!G188/C182</f>
        <v>21.708610559316259</v>
      </c>
      <c r="E182" s="136">
        <f>'H) Péréquation directe'!I193/C182</f>
        <v>17.406368173331654</v>
      </c>
      <c r="F182" s="110">
        <f>+'I) Dépenses thématiques'!O182/'K) Plafonnement aide'!C182</f>
        <v>0</v>
      </c>
      <c r="G182" s="136">
        <f t="shared" si="9"/>
        <v>39.114978732647913</v>
      </c>
      <c r="H182" s="110">
        <f t="shared" si="10"/>
        <v>39.114978732647913</v>
      </c>
      <c r="I182" s="136">
        <f t="shared" si="11"/>
        <v>0</v>
      </c>
      <c r="J182" s="55">
        <f t="shared" si="12"/>
        <v>0</v>
      </c>
      <c r="K182" s="36"/>
    </row>
    <row r="183" spans="1:11" x14ac:dyDescent="0.25">
      <c r="A183" s="49">
        <f>'A) Base RI'!A185</f>
        <v>5707</v>
      </c>
      <c r="B183" s="291" t="str">
        <f>'A) Base RI'!B185</f>
        <v>Chavannes-de-Bogis</v>
      </c>
      <c r="C183" s="95">
        <f>'B) D RI'!U185</f>
        <v>80433.672291066076</v>
      </c>
      <c r="D183" s="110">
        <f>'E) Part. coh. soc.'!G189/C183</f>
        <v>23.138239773459507</v>
      </c>
      <c r="E183" s="136">
        <f>'H) Péréquation directe'!I194/C183</f>
        <v>16.525562644972613</v>
      </c>
      <c r="F183" s="110">
        <f>+'I) Dépenses thématiques'!O183/'K) Plafonnement aide'!C183</f>
        <v>0</v>
      </c>
      <c r="G183" s="136">
        <f t="shared" si="9"/>
        <v>39.66380241843212</v>
      </c>
      <c r="H183" s="110">
        <f t="shared" si="10"/>
        <v>39.66380241843212</v>
      </c>
      <c r="I183" s="136">
        <f t="shared" si="11"/>
        <v>0</v>
      </c>
      <c r="J183" s="55">
        <f t="shared" si="12"/>
        <v>0</v>
      </c>
      <c r="K183" s="36"/>
    </row>
    <row r="184" spans="1:11" x14ac:dyDescent="0.25">
      <c r="A184" s="49">
        <f>'A) Base RI'!A186</f>
        <v>5708</v>
      </c>
      <c r="B184" s="291" t="str">
        <f>'A) Base RI'!B186</f>
        <v>Chavannes-des-Bois</v>
      </c>
      <c r="C184" s="95">
        <f>'B) D RI'!U186</f>
        <v>64673.600200081586</v>
      </c>
      <c r="D184" s="110">
        <f>'E) Part. coh. soc.'!G190/C184</f>
        <v>24.571506204407495</v>
      </c>
      <c r="E184" s="136">
        <f>'H) Péréquation directe'!I195/C184</f>
        <v>17.783918946987807</v>
      </c>
      <c r="F184" s="110">
        <f>+'I) Dépenses thématiques'!O184/'K) Plafonnement aide'!C184</f>
        <v>0</v>
      </c>
      <c r="G184" s="136">
        <f t="shared" si="9"/>
        <v>42.355425151395302</v>
      </c>
      <c r="H184" s="110">
        <f t="shared" si="10"/>
        <v>42.355425151395302</v>
      </c>
      <c r="I184" s="136">
        <f t="shared" si="11"/>
        <v>0</v>
      </c>
      <c r="J184" s="55">
        <f t="shared" si="12"/>
        <v>0</v>
      </c>
      <c r="K184" s="36"/>
    </row>
    <row r="185" spans="1:11" x14ac:dyDescent="0.25">
      <c r="A185" s="49">
        <f>'A) Base RI'!A187</f>
        <v>5709</v>
      </c>
      <c r="B185" s="291" t="str">
        <f>'A) Base RI'!B187</f>
        <v>Chéserex</v>
      </c>
      <c r="C185" s="95">
        <f>'B) D RI'!U187</f>
        <v>96665.564675304791</v>
      </c>
      <c r="D185" s="110">
        <f>'E) Part. coh. soc.'!G191/C185</f>
        <v>25.612037466365102</v>
      </c>
      <c r="E185" s="136">
        <f>'H) Péréquation directe'!I196/C185</f>
        <v>17.483032015297677</v>
      </c>
      <c r="F185" s="110">
        <f>+'I) Dépenses thématiques'!O185/'K) Plafonnement aide'!C185</f>
        <v>0</v>
      </c>
      <c r="G185" s="136">
        <f t="shared" si="9"/>
        <v>43.095069481662776</v>
      </c>
      <c r="H185" s="110">
        <f t="shared" si="10"/>
        <v>43.095069481662776</v>
      </c>
      <c r="I185" s="136">
        <f t="shared" si="11"/>
        <v>0</v>
      </c>
      <c r="J185" s="55">
        <f t="shared" si="12"/>
        <v>0</v>
      </c>
      <c r="K185" s="36"/>
    </row>
    <row r="186" spans="1:11" x14ac:dyDescent="0.25">
      <c r="A186" s="49">
        <f>'A) Base RI'!A188</f>
        <v>5710</v>
      </c>
      <c r="B186" s="291" t="str">
        <f>'A) Base RI'!B188</f>
        <v>Coinsins</v>
      </c>
      <c r="C186" s="95">
        <f>'B) D RI'!U188</f>
        <v>116722.0098047505</v>
      </c>
      <c r="D186" s="110">
        <f>'E) Part. coh. soc.'!G192/C186</f>
        <v>36.948977083790929</v>
      </c>
      <c r="E186" s="136">
        <f>'H) Péréquation directe'!I197/C186</f>
        <v>19.117027566339633</v>
      </c>
      <c r="F186" s="110">
        <f>+'I) Dépenses thématiques'!O186/'K) Plafonnement aide'!C186</f>
        <v>0</v>
      </c>
      <c r="G186" s="136">
        <f t="shared" si="9"/>
        <v>56.066004650130566</v>
      </c>
      <c r="H186" s="110">
        <f t="shared" si="10"/>
        <v>56.066004650130566</v>
      </c>
      <c r="I186" s="136">
        <f t="shared" si="11"/>
        <v>0</v>
      </c>
      <c r="J186" s="55">
        <f t="shared" si="12"/>
        <v>0</v>
      </c>
      <c r="K186" s="36"/>
    </row>
    <row r="187" spans="1:11" x14ac:dyDescent="0.25">
      <c r="A187" s="49">
        <f>'A) Base RI'!A189</f>
        <v>5711</v>
      </c>
      <c r="B187" s="291" t="str">
        <f>'A) Base RI'!B189</f>
        <v>Commugny</v>
      </c>
      <c r="C187" s="95">
        <f>'B) D RI'!U189</f>
        <v>257446.98641964147</v>
      </c>
      <c r="D187" s="110">
        <f>'E) Part. coh. soc.'!G193/C187</f>
        <v>26.777861961919577</v>
      </c>
      <c r="E187" s="136">
        <f>'H) Péréquation directe'!I198/C187</f>
        <v>16.516873003423843</v>
      </c>
      <c r="F187" s="110">
        <f>+'I) Dépenses thématiques'!O187/'K) Plafonnement aide'!C187</f>
        <v>0</v>
      </c>
      <c r="G187" s="136">
        <f t="shared" si="9"/>
        <v>43.294734965343423</v>
      </c>
      <c r="H187" s="110">
        <f t="shared" si="10"/>
        <v>43.294734965343423</v>
      </c>
      <c r="I187" s="136">
        <f t="shared" si="11"/>
        <v>0</v>
      </c>
      <c r="J187" s="55">
        <f t="shared" si="12"/>
        <v>0</v>
      </c>
      <c r="K187" s="36"/>
    </row>
    <row r="188" spans="1:11" x14ac:dyDescent="0.25">
      <c r="A188" s="49">
        <f>'A) Base RI'!A190</f>
        <v>5712</v>
      </c>
      <c r="B188" s="291" t="str">
        <f>'A) Base RI'!B190</f>
        <v>Coppet</v>
      </c>
      <c r="C188" s="95">
        <f>'B) D RI'!U190</f>
        <v>389580.29972433241</v>
      </c>
      <c r="D188" s="110">
        <f>'E) Part. coh. soc.'!G194/C188</f>
        <v>31.316556845107506</v>
      </c>
      <c r="E188" s="136">
        <f>'H) Péréquation directe'!I199/C188</f>
        <v>17.24824124123603</v>
      </c>
      <c r="F188" s="110">
        <f>+'I) Dépenses thématiques'!O188/'K) Plafonnement aide'!C188</f>
        <v>0</v>
      </c>
      <c r="G188" s="136">
        <f t="shared" si="9"/>
        <v>48.564798086343536</v>
      </c>
      <c r="H188" s="110">
        <f t="shared" si="10"/>
        <v>48.564798086343536</v>
      </c>
      <c r="I188" s="136">
        <f t="shared" si="11"/>
        <v>0</v>
      </c>
      <c r="J188" s="55">
        <f t="shared" si="12"/>
        <v>0</v>
      </c>
      <c r="K188" s="36"/>
    </row>
    <row r="189" spans="1:11" x14ac:dyDescent="0.25">
      <c r="A189" s="49">
        <f>'A) Base RI'!A191</f>
        <v>5713</v>
      </c>
      <c r="B189" s="291" t="str">
        <f>'A) Base RI'!B191</f>
        <v>Crans-près-Céligny</v>
      </c>
      <c r="C189" s="95">
        <f>'B) D RI'!U191</f>
        <v>285688.37252656295</v>
      </c>
      <c r="D189" s="110">
        <f>'E) Part. coh. soc.'!G195/C189</f>
        <v>31.403243374242827</v>
      </c>
      <c r="E189" s="136">
        <f>'H) Péréquation directe'!I200/C189</f>
        <v>17.625564970462051</v>
      </c>
      <c r="F189" s="110">
        <f>+'I) Dépenses thématiques'!O189/'K) Plafonnement aide'!C189</f>
        <v>0</v>
      </c>
      <c r="G189" s="136">
        <f t="shared" si="9"/>
        <v>49.028808344704878</v>
      </c>
      <c r="H189" s="110">
        <f t="shared" si="10"/>
        <v>49.028808344704878</v>
      </c>
      <c r="I189" s="136">
        <f t="shared" si="11"/>
        <v>0</v>
      </c>
      <c r="J189" s="55">
        <f t="shared" si="12"/>
        <v>0</v>
      </c>
      <c r="K189" s="36"/>
    </row>
    <row r="190" spans="1:11" x14ac:dyDescent="0.25">
      <c r="A190" s="49">
        <f>'A) Base RI'!A192</f>
        <v>5714</v>
      </c>
      <c r="B190" s="291" t="str">
        <f>'A) Base RI'!B192</f>
        <v>Crassier</v>
      </c>
      <c r="C190" s="95">
        <f>'B) D RI'!U192</f>
        <v>69464.601004636497</v>
      </c>
      <c r="D190" s="110">
        <f>'E) Part. coh. soc.'!G196/C190</f>
        <v>21.432424781357735</v>
      </c>
      <c r="E190" s="136">
        <f>'H) Péréquation directe'!I201/C190</f>
        <v>16.984397962541887</v>
      </c>
      <c r="F190" s="110">
        <f>+'I) Dépenses thématiques'!O190/'K) Plafonnement aide'!C190</f>
        <v>0</v>
      </c>
      <c r="G190" s="136">
        <f t="shared" si="9"/>
        <v>38.416822743899623</v>
      </c>
      <c r="H190" s="110">
        <f t="shared" si="10"/>
        <v>38.416822743899623</v>
      </c>
      <c r="I190" s="136">
        <f t="shared" si="11"/>
        <v>0</v>
      </c>
      <c r="J190" s="55">
        <f t="shared" si="12"/>
        <v>0</v>
      </c>
      <c r="K190" s="36"/>
    </row>
    <row r="191" spans="1:11" x14ac:dyDescent="0.25">
      <c r="A191" s="49">
        <f>'A) Base RI'!A193</f>
        <v>5715</v>
      </c>
      <c r="B191" s="291" t="str">
        <f>'A) Base RI'!B193</f>
        <v>Duillier</v>
      </c>
      <c r="C191" s="95">
        <f>'B) D RI'!U193</f>
        <v>70057.743908647069</v>
      </c>
      <c r="D191" s="110">
        <f>'E) Part. coh. soc.'!G197/C191</f>
        <v>22.402259013843864</v>
      </c>
      <c r="E191" s="136">
        <f>'H) Péréquation directe'!I202/C191</f>
        <v>17.40361514872485</v>
      </c>
      <c r="F191" s="110">
        <f>+'I) Dépenses thématiques'!O191/'K) Plafonnement aide'!C191</f>
        <v>0</v>
      </c>
      <c r="G191" s="136">
        <f t="shared" si="9"/>
        <v>39.805874162568713</v>
      </c>
      <c r="H191" s="110">
        <f t="shared" si="10"/>
        <v>39.805874162568713</v>
      </c>
      <c r="I191" s="136">
        <f t="shared" si="11"/>
        <v>0</v>
      </c>
      <c r="J191" s="55">
        <f t="shared" si="12"/>
        <v>0</v>
      </c>
      <c r="K191" s="36"/>
    </row>
    <row r="192" spans="1:11" x14ac:dyDescent="0.25">
      <c r="A192" s="49">
        <f>'A) Base RI'!A194</f>
        <v>5716</v>
      </c>
      <c r="B192" s="291" t="str">
        <f>'A) Base RI'!B194</f>
        <v>Eysins</v>
      </c>
      <c r="C192" s="95">
        <f>'B) D RI'!U194</f>
        <v>215421.00462875623</v>
      </c>
      <c r="D192" s="110">
        <f>'E) Part. coh. soc.'!G198/C192</f>
        <v>32.563259014832511</v>
      </c>
      <c r="E192" s="136">
        <f>'H) Péréquation directe'!I203/C192</f>
        <v>17.862099598370964</v>
      </c>
      <c r="F192" s="110">
        <f>+'I) Dépenses thématiques'!O192/'K) Plafonnement aide'!C192</f>
        <v>0</v>
      </c>
      <c r="G192" s="136">
        <f t="shared" si="9"/>
        <v>50.425358613203471</v>
      </c>
      <c r="H192" s="110">
        <f t="shared" si="10"/>
        <v>50.425358613203471</v>
      </c>
      <c r="I192" s="136">
        <f t="shared" si="11"/>
        <v>0</v>
      </c>
      <c r="J192" s="55">
        <f t="shared" si="12"/>
        <v>0</v>
      </c>
      <c r="K192" s="36"/>
    </row>
    <row r="193" spans="1:11" x14ac:dyDescent="0.25">
      <c r="A193" s="49">
        <f>'A) Base RI'!A195</f>
        <v>5717</v>
      </c>
      <c r="B193" s="291" t="str">
        <f>'A) Base RI'!B195</f>
        <v>Founex</v>
      </c>
      <c r="C193" s="95">
        <f>'B) D RI'!U195</f>
        <v>344785.57941848523</v>
      </c>
      <c r="D193" s="110">
        <f>'E) Part. coh. soc.'!G199/C193</f>
        <v>28.257784388076651</v>
      </c>
      <c r="E193" s="136">
        <f>'H) Péréquation directe'!I204/C193</f>
        <v>16.118727947257938</v>
      </c>
      <c r="F193" s="110">
        <f>+'I) Dépenses thématiques'!O193/'K) Plafonnement aide'!C193</f>
        <v>0</v>
      </c>
      <c r="G193" s="136">
        <f t="shared" si="9"/>
        <v>44.376512335334588</v>
      </c>
      <c r="H193" s="110">
        <f t="shared" si="10"/>
        <v>44.376512335334588</v>
      </c>
      <c r="I193" s="136">
        <f t="shared" si="11"/>
        <v>0</v>
      </c>
      <c r="J193" s="55">
        <f t="shared" si="12"/>
        <v>0</v>
      </c>
      <c r="K193" s="36"/>
    </row>
    <row r="194" spans="1:11" x14ac:dyDescent="0.25">
      <c r="A194" s="49">
        <f>'A) Base RI'!A196</f>
        <v>5718</v>
      </c>
      <c r="B194" s="291" t="str">
        <f>'A) Base RI'!B196</f>
        <v>Genolier</v>
      </c>
      <c r="C194" s="95">
        <f>'B) D RI'!U196</f>
        <v>170276.54994177341</v>
      </c>
      <c r="D194" s="110">
        <f>'E) Part. coh. soc.'!G200/C194</f>
        <v>28.056316655156248</v>
      </c>
      <c r="E194" s="136">
        <f>'H) Péréquation directe'!I205/C194</f>
        <v>16.845111714044034</v>
      </c>
      <c r="F194" s="110">
        <f>+'I) Dépenses thématiques'!O194/'K) Plafonnement aide'!C194</f>
        <v>0</v>
      </c>
      <c r="G194" s="136">
        <f t="shared" si="9"/>
        <v>44.901428369200282</v>
      </c>
      <c r="H194" s="110">
        <f t="shared" si="10"/>
        <v>44.901428369200282</v>
      </c>
      <c r="I194" s="136">
        <f t="shared" si="11"/>
        <v>0</v>
      </c>
      <c r="J194" s="55">
        <f t="shared" si="12"/>
        <v>0</v>
      </c>
      <c r="K194" s="36"/>
    </row>
    <row r="195" spans="1:11" x14ac:dyDescent="0.25">
      <c r="A195" s="49">
        <f>'A) Base RI'!A197</f>
        <v>5719</v>
      </c>
      <c r="B195" s="291" t="str">
        <f>'A) Base RI'!B197</f>
        <v>Gingins</v>
      </c>
      <c r="C195" s="95">
        <f>'B) D RI'!U197</f>
        <v>142327.02027947939</v>
      </c>
      <c r="D195" s="110">
        <f>'E) Part. coh. soc.'!G201/C195</f>
        <v>29.901797405300609</v>
      </c>
      <c r="E195" s="136">
        <f>'H) Péréquation directe'!I206/C195</f>
        <v>18.175359186499215</v>
      </c>
      <c r="F195" s="110">
        <f>+'I) Dépenses thématiques'!O195/'K) Plafonnement aide'!C195</f>
        <v>0</v>
      </c>
      <c r="G195" s="136">
        <f t="shared" si="9"/>
        <v>48.07715659179982</v>
      </c>
      <c r="H195" s="110">
        <f t="shared" si="10"/>
        <v>48.07715659179982</v>
      </c>
      <c r="I195" s="136">
        <f t="shared" si="11"/>
        <v>0</v>
      </c>
      <c r="J195" s="55">
        <f t="shared" si="12"/>
        <v>0</v>
      </c>
      <c r="K195" s="36"/>
    </row>
    <row r="196" spans="1:11" x14ac:dyDescent="0.25">
      <c r="A196" s="49">
        <f>'A) Base RI'!A198</f>
        <v>5720</v>
      </c>
      <c r="B196" s="291" t="str">
        <f>'A) Base RI'!B198</f>
        <v>Givrins</v>
      </c>
      <c r="C196" s="95">
        <f>'B) D RI'!U198</f>
        <v>82417.202201596621</v>
      </c>
      <c r="D196" s="110">
        <f>'E) Part. coh. soc.'!G202/C196</f>
        <v>27.556535935589356</v>
      </c>
      <c r="E196" s="136">
        <f>'H) Péréquation directe'!I207/C196</f>
        <v>17.987843124987901</v>
      </c>
      <c r="F196" s="110">
        <f>+'I) Dépenses thématiques'!O196/'K) Plafonnement aide'!C196</f>
        <v>-0.47126582792865529</v>
      </c>
      <c r="G196" s="136">
        <f t="shared" si="9"/>
        <v>45.073113232648602</v>
      </c>
      <c r="H196" s="110">
        <f t="shared" si="10"/>
        <v>45.544379060577256</v>
      </c>
      <c r="I196" s="136">
        <f t="shared" si="11"/>
        <v>0</v>
      </c>
      <c r="J196" s="55">
        <f t="shared" si="12"/>
        <v>0</v>
      </c>
      <c r="K196" s="36"/>
    </row>
    <row r="197" spans="1:11" x14ac:dyDescent="0.25">
      <c r="A197" s="49">
        <f>'A) Base RI'!A199</f>
        <v>5721</v>
      </c>
      <c r="B197" s="291" t="str">
        <f>'A) Base RI'!B199</f>
        <v>Gland</v>
      </c>
      <c r="C197" s="95">
        <f>'B) D RI'!U199</f>
        <v>657906.43691215932</v>
      </c>
      <c r="D197" s="110">
        <f>'E) Part. coh. soc.'!G203/C197</f>
        <v>19.754443352598127</v>
      </c>
      <c r="E197" s="136">
        <f>'H) Péréquation directe'!I208/C197</f>
        <v>7.4751299797659048</v>
      </c>
      <c r="F197" s="110">
        <f>+'I) Dépenses thématiques'!O197/'K) Plafonnement aide'!C197</f>
        <v>0</v>
      </c>
      <c r="G197" s="136">
        <f t="shared" ref="G197:G260" si="13">SUM(D197:F197)</f>
        <v>27.229573332364033</v>
      </c>
      <c r="H197" s="110">
        <f t="shared" ref="H197:H260" si="14">G197-F197</f>
        <v>27.229573332364033</v>
      </c>
      <c r="I197" s="136">
        <f t="shared" ref="I197:I260" si="15">IF(H197&lt;I$4,H197-I$4,0)</f>
        <v>0</v>
      </c>
      <c r="J197" s="55">
        <f t="shared" ref="J197:J260" si="16">-I197*C197</f>
        <v>0</v>
      </c>
      <c r="K197" s="36"/>
    </row>
    <row r="198" spans="1:11" x14ac:dyDescent="0.25">
      <c r="A198" s="49">
        <f>'A) Base RI'!A200</f>
        <v>5722</v>
      </c>
      <c r="B198" s="291" t="str">
        <f>'A) Base RI'!B200</f>
        <v>Grens</v>
      </c>
      <c r="C198" s="95">
        <f>'B) D RI'!U200</f>
        <v>20260.981774193551</v>
      </c>
      <c r="D198" s="110">
        <f>'E) Part. coh. soc.'!G204/C198</f>
        <v>20.352558983754317</v>
      </c>
      <c r="E198" s="136">
        <f>'H) Péréquation directe'!I209/C198</f>
        <v>17.273921469075308</v>
      </c>
      <c r="F198" s="110">
        <f>+'I) Dépenses thématiques'!O198/'K) Plafonnement aide'!C198</f>
        <v>-9.9235545857069933</v>
      </c>
      <c r="G198" s="136">
        <f t="shared" si="13"/>
        <v>27.70292586712263</v>
      </c>
      <c r="H198" s="110">
        <f t="shared" si="14"/>
        <v>37.626480452829625</v>
      </c>
      <c r="I198" s="136">
        <f t="shared" si="15"/>
        <v>0</v>
      </c>
      <c r="J198" s="55">
        <f t="shared" si="16"/>
        <v>0</v>
      </c>
      <c r="K198" s="36"/>
    </row>
    <row r="199" spans="1:11" x14ac:dyDescent="0.25">
      <c r="A199" s="49">
        <f>'A) Base RI'!A201</f>
        <v>5723</v>
      </c>
      <c r="B199" s="291" t="str">
        <f>'A) Base RI'!B201</f>
        <v>Mies</v>
      </c>
      <c r="C199" s="95">
        <f>'B) D RI'!U201</f>
        <v>196584.50934585766</v>
      </c>
      <c r="D199" s="110">
        <f>'E) Part. coh. soc.'!G205/C199</f>
        <v>27.062814206503958</v>
      </c>
      <c r="E199" s="136">
        <f>'H) Péréquation directe'!I210/C199</f>
        <v>17.012739767943902</v>
      </c>
      <c r="F199" s="110">
        <f>+'I) Dépenses thématiques'!O199/'K) Plafonnement aide'!C199</f>
        <v>0</v>
      </c>
      <c r="G199" s="136">
        <f t="shared" si="13"/>
        <v>44.075553974447857</v>
      </c>
      <c r="H199" s="110">
        <f t="shared" si="14"/>
        <v>44.075553974447857</v>
      </c>
      <c r="I199" s="136">
        <f t="shared" si="15"/>
        <v>0</v>
      </c>
      <c r="J199" s="55">
        <f t="shared" si="16"/>
        <v>0</v>
      </c>
      <c r="K199" s="36"/>
    </row>
    <row r="200" spans="1:11" x14ac:dyDescent="0.25">
      <c r="A200" s="49">
        <f>'A) Base RI'!A202</f>
        <v>5724</v>
      </c>
      <c r="B200" s="291" t="str">
        <f>'A) Base RI'!B202</f>
        <v>Nyon</v>
      </c>
      <c r="C200" s="95">
        <f>'B) D RI'!U202</f>
        <v>1385271.3719392153</v>
      </c>
      <c r="D200" s="110">
        <f>'E) Part. coh. soc.'!G206/C200</f>
        <v>23.781207554197167</v>
      </c>
      <c r="E200" s="136">
        <f>'H) Péréquation directe'!I211/C200</f>
        <v>7.6692242255267029</v>
      </c>
      <c r="F200" s="110">
        <f>+'I) Dépenses thématiques'!O200/'K) Plafonnement aide'!C200</f>
        <v>-0.48962654249866377</v>
      </c>
      <c r="G200" s="136">
        <f t="shared" si="13"/>
        <v>30.960805237225209</v>
      </c>
      <c r="H200" s="110">
        <f t="shared" si="14"/>
        <v>31.450431779723871</v>
      </c>
      <c r="I200" s="136">
        <f t="shared" si="15"/>
        <v>0</v>
      </c>
      <c r="J200" s="55">
        <f t="shared" si="16"/>
        <v>0</v>
      </c>
      <c r="K200" s="36"/>
    </row>
    <row r="201" spans="1:11" x14ac:dyDescent="0.25">
      <c r="A201" s="49">
        <f>'A) Base RI'!A203</f>
        <v>5725</v>
      </c>
      <c r="B201" s="291" t="str">
        <f>'A) Base RI'!B203</f>
        <v>Prangins</v>
      </c>
      <c r="C201" s="95">
        <f>'B) D RI'!U203</f>
        <v>342757.72234116954</v>
      </c>
      <c r="D201" s="110">
        <f>'E) Part. coh. soc.'!G207/C201</f>
        <v>28.088914002997594</v>
      </c>
      <c r="E201" s="136">
        <f>'H) Péréquation directe'!I212/C201</f>
        <v>15.634557688837603</v>
      </c>
      <c r="F201" s="110">
        <f>+'I) Dépenses thématiques'!O201/'K) Plafonnement aide'!C201</f>
        <v>0</v>
      </c>
      <c r="G201" s="136">
        <f t="shared" si="13"/>
        <v>43.723471691835201</v>
      </c>
      <c r="H201" s="110">
        <f t="shared" si="14"/>
        <v>43.723471691835201</v>
      </c>
      <c r="I201" s="136">
        <f t="shared" si="15"/>
        <v>0</v>
      </c>
      <c r="J201" s="55">
        <f t="shared" si="16"/>
        <v>0</v>
      </c>
      <c r="K201" s="36"/>
    </row>
    <row r="202" spans="1:11" x14ac:dyDescent="0.25">
      <c r="A202" s="49">
        <f>'A) Base RI'!A204</f>
        <v>5726</v>
      </c>
      <c r="B202" s="291" t="str">
        <f>'A) Base RI'!B204</f>
        <v>La Rippe</v>
      </c>
      <c r="C202" s="95">
        <f>'B) D RI'!U204</f>
        <v>61259.007150466066</v>
      </c>
      <c r="D202" s="110">
        <f>'E) Part. coh. soc.'!G208/C202</f>
        <v>19.418534073186411</v>
      </c>
      <c r="E202" s="136">
        <f>'H) Péréquation directe'!I213/C202</f>
        <v>16.81700585419992</v>
      </c>
      <c r="F202" s="110">
        <f>+'I) Dépenses thématiques'!O202/'K) Plafonnement aide'!C202</f>
        <v>-1.7161231127333563E-2</v>
      </c>
      <c r="G202" s="136">
        <f t="shared" si="13"/>
        <v>36.218378696258995</v>
      </c>
      <c r="H202" s="110">
        <f t="shared" si="14"/>
        <v>36.235539927386327</v>
      </c>
      <c r="I202" s="136">
        <f t="shared" si="15"/>
        <v>0</v>
      </c>
      <c r="J202" s="55">
        <f t="shared" si="16"/>
        <v>0</v>
      </c>
      <c r="K202" s="36"/>
    </row>
    <row r="203" spans="1:11" x14ac:dyDescent="0.25">
      <c r="A203" s="49">
        <f>'A) Base RI'!A205</f>
        <v>5727</v>
      </c>
      <c r="B203" s="291" t="str">
        <f>'A) Base RI'!B205</f>
        <v>Saint-Cergue</v>
      </c>
      <c r="C203" s="95">
        <f>'B) D RI'!U205</f>
        <v>96033.059668733855</v>
      </c>
      <c r="D203" s="110">
        <f>'E) Part. coh. soc.'!G209/C203</f>
        <v>19.204899838390393</v>
      </c>
      <c r="E203" s="136">
        <f>'H) Péréquation directe'!I214/C203</f>
        <v>8.2232177340083314</v>
      </c>
      <c r="F203" s="110">
        <f>+'I) Dépenses thématiques'!O203/'K) Plafonnement aide'!C203</f>
        <v>-3.5653392415854195</v>
      </c>
      <c r="G203" s="136">
        <f t="shared" si="13"/>
        <v>23.862778330813306</v>
      </c>
      <c r="H203" s="110">
        <f t="shared" si="14"/>
        <v>27.428117572398726</v>
      </c>
      <c r="I203" s="136">
        <f t="shared" si="15"/>
        <v>0</v>
      </c>
      <c r="J203" s="55">
        <f t="shared" si="16"/>
        <v>0</v>
      </c>
      <c r="K203" s="36"/>
    </row>
    <row r="204" spans="1:11" x14ac:dyDescent="0.25">
      <c r="A204" s="49">
        <f>'A) Base RI'!A206</f>
        <v>5728</v>
      </c>
      <c r="B204" s="291" t="str">
        <f>'A) Base RI'!B206</f>
        <v>Signy-Avenex</v>
      </c>
      <c r="C204" s="95">
        <f>'B) D RI'!U206</f>
        <v>43425.016490818416</v>
      </c>
      <c r="D204" s="110">
        <f>'E) Part. coh. soc.'!G210/C204</f>
        <v>24.081590898585556</v>
      </c>
      <c r="E204" s="136">
        <f>'H) Péréquation directe'!I215/C204</f>
        <v>17.953422765230528</v>
      </c>
      <c r="F204" s="110">
        <f>+'I) Dépenses thématiques'!O204/'K) Plafonnement aide'!C204</f>
        <v>0</v>
      </c>
      <c r="G204" s="136">
        <f t="shared" si="13"/>
        <v>42.035013663816088</v>
      </c>
      <c r="H204" s="110">
        <f t="shared" si="14"/>
        <v>42.035013663816088</v>
      </c>
      <c r="I204" s="136">
        <f t="shared" si="15"/>
        <v>0</v>
      </c>
      <c r="J204" s="55">
        <f t="shared" si="16"/>
        <v>0</v>
      </c>
      <c r="K204" s="36"/>
    </row>
    <row r="205" spans="1:11" x14ac:dyDescent="0.25">
      <c r="A205" s="49">
        <f>'A) Base RI'!A207</f>
        <v>5729</v>
      </c>
      <c r="B205" s="291" t="str">
        <f>'A) Base RI'!B207</f>
        <v>Tannay</v>
      </c>
      <c r="C205" s="95">
        <f>'B) D RI'!U207</f>
        <v>176785.12407552512</v>
      </c>
      <c r="D205" s="110">
        <f>'E) Part. coh. soc.'!G211/C205</f>
        <v>31.519248201012449</v>
      </c>
      <c r="E205" s="136">
        <f>'H) Péréquation directe'!I216/C205</f>
        <v>17.744235670851623</v>
      </c>
      <c r="F205" s="110">
        <f>+'I) Dépenses thématiques'!O205/'K) Plafonnement aide'!C205</f>
        <v>0</v>
      </c>
      <c r="G205" s="136">
        <f t="shared" si="13"/>
        <v>49.263483871864068</v>
      </c>
      <c r="H205" s="110">
        <f t="shared" si="14"/>
        <v>49.263483871864068</v>
      </c>
      <c r="I205" s="136">
        <f t="shared" si="15"/>
        <v>0</v>
      </c>
      <c r="J205" s="55">
        <f t="shared" si="16"/>
        <v>0</v>
      </c>
      <c r="K205" s="36"/>
    </row>
    <row r="206" spans="1:11" x14ac:dyDescent="0.25">
      <c r="A206" s="49">
        <f>'A) Base RI'!A208</f>
        <v>5730</v>
      </c>
      <c r="B206" s="291" t="str">
        <f>'A) Base RI'!B208</f>
        <v>Trélex</v>
      </c>
      <c r="C206" s="95">
        <f>'B) D RI'!U208</f>
        <v>134389.74453035684</v>
      </c>
      <c r="D206" s="110">
        <f>'E) Part. coh. soc.'!G212/C206</f>
        <v>27.043745571336864</v>
      </c>
      <c r="E206" s="136">
        <f>'H) Péréquation directe'!I217/C206</f>
        <v>17.577934072830651</v>
      </c>
      <c r="F206" s="110">
        <f>+'I) Dépenses thématiques'!O206/'K) Plafonnement aide'!C206</f>
        <v>0</v>
      </c>
      <c r="G206" s="136">
        <f t="shared" si="13"/>
        <v>44.621679644167514</v>
      </c>
      <c r="H206" s="110">
        <f t="shared" si="14"/>
        <v>44.621679644167514</v>
      </c>
      <c r="I206" s="136">
        <f t="shared" si="15"/>
        <v>0</v>
      </c>
      <c r="J206" s="55">
        <f t="shared" si="16"/>
        <v>0</v>
      </c>
      <c r="K206" s="36"/>
    </row>
    <row r="207" spans="1:11" x14ac:dyDescent="0.25">
      <c r="A207" s="49">
        <f>'A) Base RI'!A209</f>
        <v>5731</v>
      </c>
      <c r="B207" s="291" t="str">
        <f>'A) Base RI'!B209</f>
        <v>Le Vaud</v>
      </c>
      <c r="C207" s="95">
        <f>'B) D RI'!U209</f>
        <v>61951.44694342916</v>
      </c>
      <c r="D207" s="110">
        <f>'E) Part. coh. soc.'!G213/C207</f>
        <v>21.321304228645708</v>
      </c>
      <c r="E207" s="136">
        <f>'H) Péréquation directe'!I218/C207</f>
        <v>15.313996143404697</v>
      </c>
      <c r="F207" s="110">
        <f>+'I) Dépenses thématiques'!O207/'K) Plafonnement aide'!C207</f>
        <v>-1.6672690555563749</v>
      </c>
      <c r="G207" s="136">
        <f t="shared" si="13"/>
        <v>34.968031316494034</v>
      </c>
      <c r="H207" s="110">
        <f t="shared" si="14"/>
        <v>36.635300372050409</v>
      </c>
      <c r="I207" s="136">
        <f t="shared" si="15"/>
        <v>0</v>
      </c>
      <c r="J207" s="55">
        <f t="shared" si="16"/>
        <v>0</v>
      </c>
      <c r="K207" s="36"/>
    </row>
    <row r="208" spans="1:11" x14ac:dyDescent="0.25">
      <c r="A208" s="49">
        <f>'A) Base RI'!A210</f>
        <v>5732</v>
      </c>
      <c r="B208" s="291" t="str">
        <f>'A) Base RI'!B210</f>
        <v>Vich</v>
      </c>
      <c r="C208" s="95">
        <f>'B) D RI'!U210</f>
        <v>62590.343939393941</v>
      </c>
      <c r="D208" s="110">
        <f>'E) Part. coh. soc.'!G214/C208</f>
        <v>21.629232024096474</v>
      </c>
      <c r="E208" s="136">
        <f>'H) Péréquation directe'!I219/C208</f>
        <v>17.17510070201741</v>
      </c>
      <c r="F208" s="110">
        <f>+'I) Dépenses thématiques'!O208/'K) Plafonnement aide'!C208</f>
        <v>0</v>
      </c>
      <c r="G208" s="136">
        <f t="shared" si="13"/>
        <v>38.804332726113884</v>
      </c>
      <c r="H208" s="110">
        <f t="shared" si="14"/>
        <v>38.804332726113884</v>
      </c>
      <c r="I208" s="136">
        <f t="shared" si="15"/>
        <v>0</v>
      </c>
      <c r="J208" s="55">
        <f t="shared" si="16"/>
        <v>0</v>
      </c>
      <c r="K208" s="36"/>
    </row>
    <row r="209" spans="1:11" x14ac:dyDescent="0.25">
      <c r="A209" s="49">
        <f>'A) Base RI'!A211</f>
        <v>5741</v>
      </c>
      <c r="B209" s="291" t="str">
        <f>'A) Base RI'!B211</f>
        <v>L'Abergement</v>
      </c>
      <c r="C209" s="95">
        <f>'B) D RI'!U211</f>
        <v>7136.3252688010616</v>
      </c>
      <c r="D209" s="110">
        <f>'E) Part. coh. soc.'!G215/C209</f>
        <v>18.677882412960074</v>
      </c>
      <c r="E209" s="136">
        <f>'H) Péréquation directe'!I220/C209</f>
        <v>0.5144774593721585</v>
      </c>
      <c r="F209" s="110">
        <f>+'I) Dépenses thématiques'!O209/'K) Plafonnement aide'!C209</f>
        <v>-16.156637610525095</v>
      </c>
      <c r="G209" s="136">
        <f t="shared" si="13"/>
        <v>3.0357222618071376</v>
      </c>
      <c r="H209" s="110">
        <f t="shared" si="14"/>
        <v>19.192359872332233</v>
      </c>
      <c r="I209" s="136">
        <f t="shared" si="15"/>
        <v>0</v>
      </c>
      <c r="J209" s="55">
        <f t="shared" si="16"/>
        <v>0</v>
      </c>
      <c r="K209" s="36"/>
    </row>
    <row r="210" spans="1:11" x14ac:dyDescent="0.25">
      <c r="A210" s="49">
        <f>'A) Base RI'!A212</f>
        <v>5742</v>
      </c>
      <c r="B210" s="291" t="str">
        <f>'A) Base RI'!B212</f>
        <v>Agiez</v>
      </c>
      <c r="C210" s="95">
        <f>'B) D RI'!U212</f>
        <v>9012.3275646255879</v>
      </c>
      <c r="D210" s="110">
        <f>'E) Part. coh. soc.'!G216/C210</f>
        <v>19.045244411916553</v>
      </c>
      <c r="E210" s="136">
        <f>'H) Péréquation directe'!I221/C210</f>
        <v>-3.6872756712763284</v>
      </c>
      <c r="F210" s="110">
        <f>+'I) Dépenses thématiques'!O210/'K) Plafonnement aide'!C210</f>
        <v>-1.8023530765699727</v>
      </c>
      <c r="G210" s="136">
        <f t="shared" si="13"/>
        <v>13.555615664070253</v>
      </c>
      <c r="H210" s="110">
        <f t="shared" si="14"/>
        <v>15.357968740640224</v>
      </c>
      <c r="I210" s="136">
        <f t="shared" si="15"/>
        <v>0</v>
      </c>
      <c r="J210" s="55">
        <f t="shared" si="16"/>
        <v>0</v>
      </c>
      <c r="K210" s="36"/>
    </row>
    <row r="211" spans="1:11" x14ac:dyDescent="0.25">
      <c r="A211" s="49">
        <f>'A) Base RI'!A213</f>
        <v>5743</v>
      </c>
      <c r="B211" s="291" t="str">
        <f>'A) Base RI'!B213</f>
        <v>Arnex-sur-Orbe</v>
      </c>
      <c r="C211" s="95">
        <f>'B) D RI'!U213</f>
        <v>18985.341168070638</v>
      </c>
      <c r="D211" s="110">
        <f>'E) Part. coh. soc.'!G217/C211</f>
        <v>21.067398188074762</v>
      </c>
      <c r="E211" s="136">
        <f>'H) Péréquation directe'!I222/C211</f>
        <v>4.230073185937349</v>
      </c>
      <c r="F211" s="110">
        <f>+'I) Dépenses thématiques'!O211/'K) Plafonnement aide'!C211</f>
        <v>-3.803049732798323</v>
      </c>
      <c r="G211" s="136">
        <f t="shared" si="13"/>
        <v>21.494421641213791</v>
      </c>
      <c r="H211" s="110">
        <f t="shared" si="14"/>
        <v>25.297471374012112</v>
      </c>
      <c r="I211" s="136">
        <f t="shared" si="15"/>
        <v>0</v>
      </c>
      <c r="J211" s="55">
        <f t="shared" si="16"/>
        <v>0</v>
      </c>
      <c r="K211" s="36"/>
    </row>
    <row r="212" spans="1:11" x14ac:dyDescent="0.25">
      <c r="A212" s="49">
        <f>'A) Base RI'!A214</f>
        <v>5744</v>
      </c>
      <c r="B212" s="291" t="str">
        <f>'A) Base RI'!B214</f>
        <v>Ballaigues</v>
      </c>
      <c r="C212" s="95">
        <f>'B) D RI'!U214</f>
        <v>59853.218669078378</v>
      </c>
      <c r="D212" s="110">
        <f>'E) Part. coh. soc.'!G218/C212</f>
        <v>26.645944066432925</v>
      </c>
      <c r="E212" s="136">
        <f>'H) Péréquation directe'!I223/C212</f>
        <v>16.915054044554928</v>
      </c>
      <c r="F212" s="110">
        <f>+'I) Dépenses thématiques'!O212/'K) Plafonnement aide'!C212</f>
        <v>-4.739864742551541</v>
      </c>
      <c r="G212" s="136">
        <f t="shared" si="13"/>
        <v>38.821133368436314</v>
      </c>
      <c r="H212" s="110">
        <f t="shared" si="14"/>
        <v>43.560998110987853</v>
      </c>
      <c r="I212" s="136">
        <f t="shared" si="15"/>
        <v>0</v>
      </c>
      <c r="J212" s="55">
        <f t="shared" si="16"/>
        <v>0</v>
      </c>
      <c r="K212" s="36"/>
    </row>
    <row r="213" spans="1:11" x14ac:dyDescent="0.25">
      <c r="A213" s="49">
        <f>'A) Base RI'!A215</f>
        <v>5745</v>
      </c>
      <c r="B213" s="291" t="str">
        <f>'A) Base RI'!B215</f>
        <v>Baulmes</v>
      </c>
      <c r="C213" s="95">
        <f>'B) D RI'!U215</f>
        <v>27688.42729631942</v>
      </c>
      <c r="D213" s="110">
        <f>'E) Part. coh. soc.'!G219/C213</f>
        <v>19.495115755655611</v>
      </c>
      <c r="E213" s="136">
        <f>'H) Péréquation directe'!I224/C213</f>
        <v>-2.9853068893043644</v>
      </c>
      <c r="F213" s="110">
        <f>+'I) Dépenses thématiques'!O213/'K) Plafonnement aide'!C213</f>
        <v>-10.028034831056306</v>
      </c>
      <c r="G213" s="136">
        <f t="shared" si="13"/>
        <v>6.48177403529494</v>
      </c>
      <c r="H213" s="110">
        <f t="shared" si="14"/>
        <v>16.509808866351246</v>
      </c>
      <c r="I213" s="136">
        <f t="shared" si="15"/>
        <v>0</v>
      </c>
      <c r="J213" s="55">
        <f t="shared" si="16"/>
        <v>0</v>
      </c>
      <c r="K213" s="36"/>
    </row>
    <row r="214" spans="1:11" x14ac:dyDescent="0.25">
      <c r="A214" s="49">
        <f>'A) Base RI'!A216</f>
        <v>5746</v>
      </c>
      <c r="B214" s="291" t="str">
        <f>'A) Base RI'!B216</f>
        <v>Bavois</v>
      </c>
      <c r="C214" s="95">
        <f>'B) D RI'!U216</f>
        <v>26210.064905994277</v>
      </c>
      <c r="D214" s="110">
        <f>'E) Part. coh. soc.'!G220/C214</f>
        <v>19.333843596531796</v>
      </c>
      <c r="E214" s="136">
        <f>'H) Péréquation directe'!I225/C214</f>
        <v>0.97096320250715162</v>
      </c>
      <c r="F214" s="110">
        <f>+'I) Dépenses thématiques'!O214/'K) Plafonnement aide'!C214</f>
        <v>-7.3132452196149744</v>
      </c>
      <c r="G214" s="136">
        <f t="shared" si="13"/>
        <v>12.991561579423973</v>
      </c>
      <c r="H214" s="110">
        <f t="shared" si="14"/>
        <v>20.304806799038946</v>
      </c>
      <c r="I214" s="136">
        <f t="shared" si="15"/>
        <v>0</v>
      </c>
      <c r="J214" s="55">
        <f t="shared" si="16"/>
        <v>0</v>
      </c>
      <c r="K214" s="36"/>
    </row>
    <row r="215" spans="1:11" x14ac:dyDescent="0.25">
      <c r="A215" s="49">
        <f>'A) Base RI'!A217</f>
        <v>5747</v>
      </c>
      <c r="B215" s="291" t="str">
        <f>'A) Base RI'!B217</f>
        <v>Bofflens</v>
      </c>
      <c r="C215" s="95">
        <f>'B) D RI'!U217</f>
        <v>5918.808029883834</v>
      </c>
      <c r="D215" s="110">
        <f>'E) Part. coh. soc.'!G221/C215</f>
        <v>16.530102746253021</v>
      </c>
      <c r="E215" s="136">
        <f>'H) Péréquation directe'!I226/C215</f>
        <v>5.9862330884834538</v>
      </c>
      <c r="F215" s="110">
        <f>+'I) Dépenses thématiques'!O215/'K) Plafonnement aide'!C215</f>
        <v>-38.256216844679201</v>
      </c>
      <c r="G215" s="136">
        <f t="shared" si="13"/>
        <v>-15.739881009942728</v>
      </c>
      <c r="H215" s="110">
        <f t="shared" si="14"/>
        <v>22.516335834736473</v>
      </c>
      <c r="I215" s="136">
        <f t="shared" si="15"/>
        <v>0</v>
      </c>
      <c r="J215" s="55">
        <f t="shared" si="16"/>
        <v>0</v>
      </c>
      <c r="K215" s="36"/>
    </row>
    <row r="216" spans="1:11" x14ac:dyDescent="0.25">
      <c r="A216" s="49">
        <f>'A) Base RI'!A218</f>
        <v>5748</v>
      </c>
      <c r="B216" s="291" t="str">
        <f>'A) Base RI'!B218</f>
        <v>Bretonnières</v>
      </c>
      <c r="C216" s="95">
        <f>'B) D RI'!U218</f>
        <v>7309.8392085479882</v>
      </c>
      <c r="D216" s="110">
        <f>'E) Part. coh. soc.'!G222/C216</f>
        <v>17.55935676636371</v>
      </c>
      <c r="E216" s="136">
        <f>'H) Péréquation directe'!I227/C216</f>
        <v>0.8451323551801263</v>
      </c>
      <c r="F216" s="110">
        <f>+'I) Dépenses thématiques'!O216/'K) Plafonnement aide'!C216</f>
        <v>-6.9522978335239403</v>
      </c>
      <c r="G216" s="136">
        <f t="shared" si="13"/>
        <v>11.452191288019897</v>
      </c>
      <c r="H216" s="110">
        <f t="shared" si="14"/>
        <v>18.404489121543836</v>
      </c>
      <c r="I216" s="136">
        <f t="shared" si="15"/>
        <v>0</v>
      </c>
      <c r="J216" s="55">
        <f t="shared" si="16"/>
        <v>0</v>
      </c>
      <c r="K216" s="36"/>
    </row>
    <row r="217" spans="1:11" x14ac:dyDescent="0.25">
      <c r="A217" s="49">
        <f>'A) Base RI'!A219</f>
        <v>5749</v>
      </c>
      <c r="B217" s="291" t="str">
        <f>'A) Base RI'!B219</f>
        <v>Chavornay</v>
      </c>
      <c r="C217" s="95">
        <f>'B) D RI'!U219</f>
        <v>132437.33386463847</v>
      </c>
      <c r="D217" s="110">
        <f>'E) Part. coh. soc.'!G223/C217</f>
        <v>19.970635760540929</v>
      </c>
      <c r="E217" s="136">
        <f>'H) Péréquation directe'!I228/C217</f>
        <v>-10.853859139648696</v>
      </c>
      <c r="F217" s="110">
        <f>+'I) Dépenses thématiques'!O217/'K) Plafonnement aide'!C217</f>
        <v>-4.533895584512635</v>
      </c>
      <c r="G217" s="136">
        <f t="shared" si="13"/>
        <v>4.5828810363795984</v>
      </c>
      <c r="H217" s="110">
        <f t="shared" si="14"/>
        <v>9.1167766208922334</v>
      </c>
      <c r="I217" s="136">
        <f t="shared" si="15"/>
        <v>0</v>
      </c>
      <c r="J217" s="55">
        <f t="shared" si="16"/>
        <v>0</v>
      </c>
      <c r="K217" s="36"/>
    </row>
    <row r="218" spans="1:11" x14ac:dyDescent="0.25">
      <c r="A218" s="49">
        <f>'A) Base RI'!A220</f>
        <v>5750</v>
      </c>
      <c r="B218" s="291" t="str">
        <f>'A) Base RI'!B220</f>
        <v>Les Clées</v>
      </c>
      <c r="C218" s="95">
        <f>'B) D RI'!U220</f>
        <v>5045.6080220470376</v>
      </c>
      <c r="D218" s="110">
        <f>'E) Part. coh. soc.'!G224/C218</f>
        <v>16.073004203383174</v>
      </c>
      <c r="E218" s="136">
        <f>'H) Péréquation directe'!I229/C218</f>
        <v>-2.3083479787873458</v>
      </c>
      <c r="F218" s="110">
        <f>+'I) Dépenses thématiques'!O218/'K) Plafonnement aide'!C218</f>
        <v>-11.114704792168821</v>
      </c>
      <c r="G218" s="136">
        <f t="shared" si="13"/>
        <v>2.6499514324270077</v>
      </c>
      <c r="H218" s="110">
        <f t="shared" si="14"/>
        <v>13.764656224595829</v>
      </c>
      <c r="I218" s="136">
        <f t="shared" si="15"/>
        <v>0</v>
      </c>
      <c r="J218" s="55">
        <f t="shared" si="16"/>
        <v>0</v>
      </c>
      <c r="K218" s="36"/>
    </row>
    <row r="219" spans="1:11" x14ac:dyDescent="0.25">
      <c r="A219" s="49">
        <f>'A) Base RI'!A221</f>
        <v>5752</v>
      </c>
      <c r="B219" s="291" t="str">
        <f>'A) Base RI'!B221</f>
        <v>Croy</v>
      </c>
      <c r="C219" s="95">
        <f>'B) D RI'!U221</f>
        <v>9708.3693774468666</v>
      </c>
      <c r="D219" s="110">
        <f>'E) Part. coh. soc.'!G225/C219</f>
        <v>17.876124490960652</v>
      </c>
      <c r="E219" s="136">
        <f>'H) Péréquation directe'!I230/C219</f>
        <v>-5.2307624526627814</v>
      </c>
      <c r="F219" s="110">
        <f>+'I) Dépenses thématiques'!O219/'K) Plafonnement aide'!C219</f>
        <v>-8.538610705672129</v>
      </c>
      <c r="G219" s="136">
        <f t="shared" si="13"/>
        <v>4.106751332625743</v>
      </c>
      <c r="H219" s="110">
        <f t="shared" si="14"/>
        <v>12.645362038297872</v>
      </c>
      <c r="I219" s="136">
        <f t="shared" si="15"/>
        <v>0</v>
      </c>
      <c r="J219" s="55">
        <f t="shared" si="16"/>
        <v>0</v>
      </c>
      <c r="K219" s="36"/>
    </row>
    <row r="220" spans="1:11" x14ac:dyDescent="0.25">
      <c r="A220" s="49">
        <f>'A) Base RI'!A222</f>
        <v>5754</v>
      </c>
      <c r="B220" s="291" t="str">
        <f>'A) Base RI'!B222</f>
        <v>Juriens</v>
      </c>
      <c r="C220" s="95">
        <f>'B) D RI'!U222</f>
        <v>9236.0554663405946</v>
      </c>
      <c r="D220" s="110">
        <f>'E) Part. coh. soc.'!G226/C220</f>
        <v>15.648583440662771</v>
      </c>
      <c r="E220" s="136">
        <f>'H) Péréquation directe'!I231/C220</f>
        <v>-0.42604558314658242</v>
      </c>
      <c r="F220" s="110">
        <f>+'I) Dépenses thématiques'!O220/'K) Plafonnement aide'!C220</f>
        <v>-3.5643349039007761</v>
      </c>
      <c r="G220" s="136">
        <f t="shared" si="13"/>
        <v>11.658202953615412</v>
      </c>
      <c r="H220" s="110">
        <f t="shared" si="14"/>
        <v>15.222537857516187</v>
      </c>
      <c r="I220" s="136">
        <f t="shared" si="15"/>
        <v>0</v>
      </c>
      <c r="J220" s="55">
        <f t="shared" si="16"/>
        <v>0</v>
      </c>
      <c r="K220" s="36"/>
    </row>
    <row r="221" spans="1:11" x14ac:dyDescent="0.25">
      <c r="A221" s="49">
        <f>'A) Base RI'!A223</f>
        <v>5755</v>
      </c>
      <c r="B221" s="291" t="str">
        <f>'A) Base RI'!B223</f>
        <v>Lignerolle</v>
      </c>
      <c r="C221" s="95">
        <f>'B) D RI'!U223</f>
        <v>9814.7983020645443</v>
      </c>
      <c r="D221" s="110">
        <f>'E) Part. coh. soc.'!G227/C221</f>
        <v>21.143420623616247</v>
      </c>
      <c r="E221" s="136">
        <f>'H) Péréquation directe'!I232/C221</f>
        <v>-12.431048616678037</v>
      </c>
      <c r="F221" s="110">
        <f>+'I) Dépenses thématiques'!O221/'K) Plafonnement aide'!C221</f>
        <v>-13.358222356504804</v>
      </c>
      <c r="G221" s="136">
        <f t="shared" si="13"/>
        <v>-4.6458503495665937</v>
      </c>
      <c r="H221" s="110">
        <f t="shared" si="14"/>
        <v>8.7123720069382102</v>
      </c>
      <c r="I221" s="136">
        <f t="shared" si="15"/>
        <v>0</v>
      </c>
      <c r="J221" s="55">
        <f t="shared" si="16"/>
        <v>0</v>
      </c>
      <c r="K221" s="36"/>
    </row>
    <row r="222" spans="1:11" x14ac:dyDescent="0.25">
      <c r="A222" s="49">
        <f>'A) Base RI'!A224</f>
        <v>5756</v>
      </c>
      <c r="B222" s="291" t="str">
        <f>'A) Base RI'!B224</f>
        <v>Montcherand</v>
      </c>
      <c r="C222" s="95">
        <f>'B) D RI'!U224</f>
        <v>16245.150277777775</v>
      </c>
      <c r="D222" s="110">
        <f>'E) Part. coh. soc.'!G228/C222</f>
        <v>17.080856811958611</v>
      </c>
      <c r="E222" s="136">
        <f>'H) Péréquation directe'!I233/C222</f>
        <v>6.9424486923687914</v>
      </c>
      <c r="F222" s="110">
        <f>+'I) Dépenses thématiques'!O222/'K) Plafonnement aide'!C222</f>
        <v>-3.7779870982696995</v>
      </c>
      <c r="G222" s="136">
        <f t="shared" si="13"/>
        <v>20.245318406057706</v>
      </c>
      <c r="H222" s="110">
        <f t="shared" si="14"/>
        <v>24.023305504327404</v>
      </c>
      <c r="I222" s="136">
        <f t="shared" si="15"/>
        <v>0</v>
      </c>
      <c r="J222" s="55">
        <f t="shared" si="16"/>
        <v>0</v>
      </c>
      <c r="K222" s="36"/>
    </row>
    <row r="223" spans="1:11" x14ac:dyDescent="0.25">
      <c r="A223" s="49">
        <f>'A) Base RI'!A225</f>
        <v>5757</v>
      </c>
      <c r="B223" s="291" t="str">
        <f>'A) Base RI'!B225</f>
        <v>Orbe</v>
      </c>
      <c r="C223" s="95">
        <f>'B) D RI'!U225</f>
        <v>201366.36924156587</v>
      </c>
      <c r="D223" s="110">
        <f>'E) Part. coh. soc.'!G229/C223</f>
        <v>21.401743201233668</v>
      </c>
      <c r="E223" s="136">
        <f>'H) Péréquation directe'!I234/C223</f>
        <v>-9.7240890437999923</v>
      </c>
      <c r="F223" s="110">
        <f>+'I) Dépenses thématiques'!O223/'K) Plafonnement aide'!C223</f>
        <v>-7.559005381425294</v>
      </c>
      <c r="G223" s="136">
        <f t="shared" si="13"/>
        <v>4.1186487760083814</v>
      </c>
      <c r="H223" s="110">
        <f t="shared" si="14"/>
        <v>11.677654157433675</v>
      </c>
      <c r="I223" s="136">
        <f t="shared" si="15"/>
        <v>0</v>
      </c>
      <c r="J223" s="55">
        <f t="shared" si="16"/>
        <v>0</v>
      </c>
      <c r="K223" s="36"/>
    </row>
    <row r="224" spans="1:11" x14ac:dyDescent="0.25">
      <c r="A224" s="49">
        <f>'A) Base RI'!A226</f>
        <v>5758</v>
      </c>
      <c r="B224" s="291" t="str">
        <f>'A) Base RI'!B226</f>
        <v>La Praz</v>
      </c>
      <c r="C224" s="95">
        <f>'B) D RI'!U226</f>
        <v>4518.3622106026551</v>
      </c>
      <c r="D224" s="110">
        <f>'E) Part. coh. soc.'!G230/C224</f>
        <v>21.947170533767107</v>
      </c>
      <c r="E224" s="136">
        <f>'H) Péréquation directe'!I235/C224</f>
        <v>-3.4304312159713324</v>
      </c>
      <c r="F224" s="110">
        <f>+'I) Dépenses thématiques'!O224/'K) Plafonnement aide'!C224</f>
        <v>-6.7855353685090742</v>
      </c>
      <c r="G224" s="136">
        <f t="shared" si="13"/>
        <v>11.731203949286702</v>
      </c>
      <c r="H224" s="110">
        <f t="shared" si="14"/>
        <v>18.516739317795775</v>
      </c>
      <c r="I224" s="136">
        <f t="shared" si="15"/>
        <v>0</v>
      </c>
      <c r="J224" s="55">
        <f t="shared" si="16"/>
        <v>0</v>
      </c>
      <c r="K224" s="36"/>
    </row>
    <row r="225" spans="1:11" x14ac:dyDescent="0.25">
      <c r="A225" s="49">
        <f>'A) Base RI'!A227</f>
        <v>5759</v>
      </c>
      <c r="B225" s="291" t="str">
        <f>'A) Base RI'!B227</f>
        <v>Premier</v>
      </c>
      <c r="C225" s="95">
        <f>'B) D RI'!U227</f>
        <v>5274.1329854177848</v>
      </c>
      <c r="D225" s="110">
        <f>'E) Part. coh. soc.'!G231/C225</f>
        <v>17.702660464661552</v>
      </c>
      <c r="E225" s="136">
        <f>'H) Péréquation directe'!I236/C225</f>
        <v>-8.144912605062629</v>
      </c>
      <c r="F225" s="110">
        <f>+'I) Dépenses thématiques'!O225/'K) Plafonnement aide'!C225</f>
        <v>-9.486169686177913</v>
      </c>
      <c r="G225" s="136">
        <f t="shared" si="13"/>
        <v>7.1578173421009694E-2</v>
      </c>
      <c r="H225" s="110">
        <f t="shared" si="14"/>
        <v>9.5577478595989227</v>
      </c>
      <c r="I225" s="136">
        <f t="shared" si="15"/>
        <v>0</v>
      </c>
      <c r="J225" s="55">
        <f t="shared" si="16"/>
        <v>0</v>
      </c>
      <c r="K225" s="36"/>
    </row>
    <row r="226" spans="1:11" x14ac:dyDescent="0.25">
      <c r="A226" s="49">
        <f>'A) Base RI'!A228</f>
        <v>5760</v>
      </c>
      <c r="B226" s="291" t="str">
        <f>'A) Base RI'!B228</f>
        <v>Rances</v>
      </c>
      <c r="C226" s="95">
        <f>'B) D RI'!U228</f>
        <v>12374.249316544765</v>
      </c>
      <c r="D226" s="110">
        <f>'E) Part. coh. soc.'!G232/C226</f>
        <v>16.65104966475899</v>
      </c>
      <c r="E226" s="136">
        <f>'H) Péréquation directe'!I237/C226</f>
        <v>-6.5526484192159931</v>
      </c>
      <c r="F226" s="110">
        <f>+'I) Dépenses thématiques'!O226/'K) Plafonnement aide'!C226</f>
        <v>-9.2909874717066341</v>
      </c>
      <c r="G226" s="136">
        <f t="shared" si="13"/>
        <v>0.80741377383636248</v>
      </c>
      <c r="H226" s="110">
        <f t="shared" si="14"/>
        <v>10.098401245542997</v>
      </c>
      <c r="I226" s="136">
        <f t="shared" si="15"/>
        <v>0</v>
      </c>
      <c r="J226" s="55">
        <f t="shared" si="16"/>
        <v>0</v>
      </c>
      <c r="K226" s="36"/>
    </row>
    <row r="227" spans="1:11" x14ac:dyDescent="0.25">
      <c r="A227" s="49">
        <f>'A) Base RI'!A229</f>
        <v>5761</v>
      </c>
      <c r="B227" s="291" t="str">
        <f>'A) Base RI'!B229</f>
        <v>Romainmôtier-Envy</v>
      </c>
      <c r="C227" s="95">
        <f>'B) D RI'!U229</f>
        <v>12292.452150942587</v>
      </c>
      <c r="D227" s="110">
        <f>'E) Part. coh. soc.'!G233/C227</f>
        <v>21.176899449651415</v>
      </c>
      <c r="E227" s="136">
        <f>'H) Péréquation directe'!I238/C227</f>
        <v>-11.777486823985052</v>
      </c>
      <c r="F227" s="110">
        <f>+'I) Dépenses thématiques'!O227/'K) Plafonnement aide'!C227</f>
        <v>-10.662069238428852</v>
      </c>
      <c r="G227" s="136">
        <f t="shared" si="13"/>
        <v>-1.2626566127624894</v>
      </c>
      <c r="H227" s="110">
        <f t="shared" si="14"/>
        <v>9.399412625666363</v>
      </c>
      <c r="I227" s="136">
        <f t="shared" si="15"/>
        <v>0</v>
      </c>
      <c r="J227" s="55">
        <f t="shared" si="16"/>
        <v>0</v>
      </c>
      <c r="K227" s="36"/>
    </row>
    <row r="228" spans="1:11" x14ac:dyDescent="0.25">
      <c r="A228" s="49">
        <f>'A) Base RI'!A230</f>
        <v>5762</v>
      </c>
      <c r="B228" s="291" t="str">
        <f>'A) Base RI'!B230</f>
        <v>Sergey</v>
      </c>
      <c r="C228" s="95">
        <f>'B) D RI'!U230</f>
        <v>3995.7603289795202</v>
      </c>
      <c r="D228" s="110">
        <f>'E) Part. coh. soc.'!G234/C228</f>
        <v>16.234685714028675</v>
      </c>
      <c r="E228" s="136">
        <f>'H) Péréquation directe'!I239/C228</f>
        <v>-0.98759188356873351</v>
      </c>
      <c r="F228" s="110">
        <f>+'I) Dépenses thématiques'!O228/'K) Plafonnement aide'!C228</f>
        <v>-0.37001793118911275</v>
      </c>
      <c r="G228" s="136">
        <f t="shared" si="13"/>
        <v>14.87707589927083</v>
      </c>
      <c r="H228" s="110">
        <f t="shared" si="14"/>
        <v>15.247093830459942</v>
      </c>
      <c r="I228" s="136">
        <f t="shared" si="15"/>
        <v>0</v>
      </c>
      <c r="J228" s="55">
        <f t="shared" si="16"/>
        <v>0</v>
      </c>
      <c r="K228" s="36"/>
    </row>
    <row r="229" spans="1:11" x14ac:dyDescent="0.25">
      <c r="A229" s="49">
        <f>'A) Base RI'!A231</f>
        <v>5763</v>
      </c>
      <c r="B229" s="291" t="str">
        <f>'A) Base RI'!B231</f>
        <v>Valeyres-sous-Rances</v>
      </c>
      <c r="C229" s="95">
        <f>'B) D RI'!U231</f>
        <v>21943.401480636676</v>
      </c>
      <c r="D229" s="110">
        <f>'E) Part. coh. soc.'!G235/C229</f>
        <v>16.66192953092952</v>
      </c>
      <c r="E229" s="136">
        <f>'H) Péréquation directe'!I240/C229</f>
        <v>10.627067400384197</v>
      </c>
      <c r="F229" s="110">
        <f>+'I) Dépenses thématiques'!O229/'K) Plafonnement aide'!C229</f>
        <v>-4.3855703108904152</v>
      </c>
      <c r="G229" s="136">
        <f t="shared" si="13"/>
        <v>22.903426620423303</v>
      </c>
      <c r="H229" s="110">
        <f t="shared" si="14"/>
        <v>27.288996931313719</v>
      </c>
      <c r="I229" s="136">
        <f t="shared" si="15"/>
        <v>0</v>
      </c>
      <c r="J229" s="55">
        <f t="shared" si="16"/>
        <v>0</v>
      </c>
      <c r="K229" s="36"/>
    </row>
    <row r="230" spans="1:11" x14ac:dyDescent="0.25">
      <c r="A230" s="49">
        <f>'A) Base RI'!A232</f>
        <v>5764</v>
      </c>
      <c r="B230" s="291" t="str">
        <f>'A) Base RI'!B232</f>
        <v>Vallorbe</v>
      </c>
      <c r="C230" s="95">
        <f>'B) D RI'!U232</f>
        <v>87589.078285934462</v>
      </c>
      <c r="D230" s="110">
        <f>'E) Part. coh. soc.'!G236/C230</f>
        <v>26.695240942467919</v>
      </c>
      <c r="E230" s="136">
        <f>'H) Péréquation directe'!I241/C230</f>
        <v>-16.314597124730447</v>
      </c>
      <c r="F230" s="110">
        <f>+'I) Dépenses thématiques'!O230/'K) Plafonnement aide'!C230</f>
        <v>-24.719308412185285</v>
      </c>
      <c r="G230" s="136">
        <f t="shared" si="13"/>
        <v>-14.338664594447813</v>
      </c>
      <c r="H230" s="110">
        <f t="shared" si="14"/>
        <v>10.380643817737472</v>
      </c>
      <c r="I230" s="136">
        <f t="shared" si="15"/>
        <v>0</v>
      </c>
      <c r="J230" s="55">
        <f t="shared" si="16"/>
        <v>0</v>
      </c>
      <c r="K230" s="36"/>
    </row>
    <row r="231" spans="1:11" x14ac:dyDescent="0.25">
      <c r="A231" s="49">
        <f>'A) Base RI'!A233</f>
        <v>5765</v>
      </c>
      <c r="B231" s="291" t="str">
        <f>'A) Base RI'!B233</f>
        <v>Vaulion</v>
      </c>
      <c r="C231" s="95">
        <f>'B) D RI'!U233</f>
        <v>11954.157309155948</v>
      </c>
      <c r="D231" s="110">
        <f>'E) Part. coh. soc.'!G237/C231</f>
        <v>19.522627961224469</v>
      </c>
      <c r="E231" s="136">
        <f>'H) Péréquation directe'!I242/C231</f>
        <v>-9.1023686291196562</v>
      </c>
      <c r="F231" s="110">
        <f>+'I) Dépenses thématiques'!O231/'K) Plafonnement aide'!C231</f>
        <v>-10.69627476703776</v>
      </c>
      <c r="G231" s="136">
        <f t="shared" si="13"/>
        <v>-0.27601543493294756</v>
      </c>
      <c r="H231" s="110">
        <f t="shared" si="14"/>
        <v>10.420259332104813</v>
      </c>
      <c r="I231" s="136">
        <f t="shared" si="15"/>
        <v>0</v>
      </c>
      <c r="J231" s="55">
        <f t="shared" si="16"/>
        <v>0</v>
      </c>
      <c r="K231" s="36"/>
    </row>
    <row r="232" spans="1:11" x14ac:dyDescent="0.25">
      <c r="A232" s="49">
        <f>'A) Base RI'!A234</f>
        <v>5766</v>
      </c>
      <c r="B232" s="291" t="str">
        <f>'A) Base RI'!B234</f>
        <v>Vuiteboeuf</v>
      </c>
      <c r="C232" s="95">
        <f>'B) D RI'!U234</f>
        <v>13945.258329251963</v>
      </c>
      <c r="D232" s="110">
        <f>'E) Part. coh. soc.'!G238/C232</f>
        <v>18.742729561339626</v>
      </c>
      <c r="E232" s="136">
        <f>'H) Péréquation directe'!I243/C232</f>
        <v>-6.6095373725243025</v>
      </c>
      <c r="F232" s="110">
        <f>+'I) Dépenses thématiques'!O232/'K) Plafonnement aide'!C232</f>
        <v>-6.6977928322471429</v>
      </c>
      <c r="G232" s="136">
        <f t="shared" si="13"/>
        <v>5.4353993565681806</v>
      </c>
      <c r="H232" s="110">
        <f t="shared" si="14"/>
        <v>12.133192188815324</v>
      </c>
      <c r="I232" s="136">
        <f t="shared" si="15"/>
        <v>0</v>
      </c>
      <c r="J232" s="55">
        <f t="shared" si="16"/>
        <v>0</v>
      </c>
      <c r="K232" s="36"/>
    </row>
    <row r="233" spans="1:11" x14ac:dyDescent="0.25">
      <c r="A233" s="49">
        <f>'A) Base RI'!A235</f>
        <v>5785</v>
      </c>
      <c r="B233" s="291" t="str">
        <f>'A) Base RI'!B235</f>
        <v>Corcelles-le-Jorat</v>
      </c>
      <c r="C233" s="95">
        <f>'B) D RI'!U235</f>
        <v>16950.059611084645</v>
      </c>
      <c r="D233" s="110">
        <f>'E) Part. coh. soc.'!G239/C233</f>
        <v>18.017588222955361</v>
      </c>
      <c r="E233" s="136">
        <f>'H) Péréquation directe'!I244/C233</f>
        <v>10.566531278100882</v>
      </c>
      <c r="F233" s="110">
        <f>+'I) Dépenses thématiques'!O233/'K) Plafonnement aide'!C233</f>
        <v>-4.3311681331208707</v>
      </c>
      <c r="G233" s="136">
        <f t="shared" si="13"/>
        <v>24.252951367935374</v>
      </c>
      <c r="H233" s="110">
        <f t="shared" si="14"/>
        <v>28.584119501056243</v>
      </c>
      <c r="I233" s="136">
        <f t="shared" si="15"/>
        <v>0</v>
      </c>
      <c r="J233" s="55">
        <f t="shared" si="16"/>
        <v>0</v>
      </c>
      <c r="K233" s="36"/>
    </row>
    <row r="234" spans="1:11" x14ac:dyDescent="0.25">
      <c r="A234" s="49">
        <f>'A) Base RI'!A236</f>
        <v>5788</v>
      </c>
      <c r="B234" s="291" t="str">
        <f>'A) Base RI'!B236</f>
        <v>Essertes</v>
      </c>
      <c r="C234" s="95">
        <f>'B) D RI'!U236</f>
        <v>12357.652912226366</v>
      </c>
      <c r="D234" s="110">
        <f>'E) Part. coh. soc.'!G240/C234</f>
        <v>19.351867204598854</v>
      </c>
      <c r="E234" s="136">
        <f>'H) Péréquation directe'!I245/C234</f>
        <v>7.3010456924765528</v>
      </c>
      <c r="F234" s="110">
        <f>+'I) Dépenses thématiques'!O234/'K) Plafonnement aide'!C234</f>
        <v>-2.5024010319495558</v>
      </c>
      <c r="G234" s="136">
        <f t="shared" si="13"/>
        <v>24.15051186512585</v>
      </c>
      <c r="H234" s="110">
        <f t="shared" si="14"/>
        <v>26.652912897075407</v>
      </c>
      <c r="I234" s="136">
        <f t="shared" si="15"/>
        <v>0</v>
      </c>
      <c r="J234" s="55">
        <f t="shared" si="16"/>
        <v>0</v>
      </c>
      <c r="K234" s="36"/>
    </row>
    <row r="235" spans="1:11" x14ac:dyDescent="0.25">
      <c r="A235" s="49">
        <f>'A) Base RI'!A237</f>
        <v>5790</v>
      </c>
      <c r="B235" s="291" t="str">
        <f>'A) Base RI'!B237</f>
        <v>Maracon</v>
      </c>
      <c r="C235" s="95">
        <f>'B) D RI'!U237</f>
        <v>14432.201593410035</v>
      </c>
      <c r="D235" s="110">
        <f>'E) Part. coh. soc.'!G241/C235</f>
        <v>23.767959752757431</v>
      </c>
      <c r="E235" s="136">
        <f>'H) Péréquation directe'!I246/C235</f>
        <v>-1.3357901379815393</v>
      </c>
      <c r="F235" s="110">
        <f>+'I) Dépenses thématiques'!O235/'K) Plafonnement aide'!C235</f>
        <v>-6.498587759744451</v>
      </c>
      <c r="G235" s="136">
        <f t="shared" si="13"/>
        <v>15.93358185503144</v>
      </c>
      <c r="H235" s="110">
        <f t="shared" si="14"/>
        <v>22.432169614775891</v>
      </c>
      <c r="I235" s="136">
        <f t="shared" si="15"/>
        <v>0</v>
      </c>
      <c r="J235" s="55">
        <f t="shared" si="16"/>
        <v>0</v>
      </c>
      <c r="K235" s="36"/>
    </row>
    <row r="236" spans="1:11" x14ac:dyDescent="0.25">
      <c r="A236" s="49">
        <f>'A) Base RI'!A238</f>
        <v>5792</v>
      </c>
      <c r="B236" s="291" t="str">
        <f>'A) Base RI'!B238</f>
        <v>Montpreveyres</v>
      </c>
      <c r="C236" s="95">
        <f>'B) D RI'!U238</f>
        <v>20198.938593400278</v>
      </c>
      <c r="D236" s="110">
        <f>'E) Part. coh. soc.'!G242/C236</f>
        <v>18.331194110689953</v>
      </c>
      <c r="E236" s="136">
        <f>'H) Péréquation directe'!I247/C236</f>
        <v>3.9457585632344574</v>
      </c>
      <c r="F236" s="110">
        <f>+'I) Dépenses thématiques'!O236/'K) Plafonnement aide'!C236</f>
        <v>-6.0950917240527192</v>
      </c>
      <c r="G236" s="136">
        <f t="shared" si="13"/>
        <v>16.181860949871691</v>
      </c>
      <c r="H236" s="110">
        <f t="shared" si="14"/>
        <v>22.276952673924409</v>
      </c>
      <c r="I236" s="136">
        <f t="shared" si="15"/>
        <v>0</v>
      </c>
      <c r="J236" s="55">
        <f t="shared" si="16"/>
        <v>0</v>
      </c>
      <c r="K236" s="36"/>
    </row>
    <row r="237" spans="1:11" x14ac:dyDescent="0.25">
      <c r="A237" s="49">
        <f>'A) Base RI'!A239</f>
        <v>5798</v>
      </c>
      <c r="B237" s="291" t="str">
        <f>'A) Base RI'!B239</f>
        <v>Ropraz</v>
      </c>
      <c r="C237" s="95">
        <f>'B) D RI'!U239</f>
        <v>14359.812261053485</v>
      </c>
      <c r="D237" s="110">
        <f>'E) Part. coh. soc.'!G243/C237</f>
        <v>15.913321883489386</v>
      </c>
      <c r="E237" s="136">
        <f>'H) Péréquation directe'!I248/C237</f>
        <v>2.0216108984107377</v>
      </c>
      <c r="F237" s="110">
        <f>+'I) Dépenses thématiques'!O237/'K) Plafonnement aide'!C237</f>
        <v>-3.7367331085925399</v>
      </c>
      <c r="G237" s="136">
        <f t="shared" si="13"/>
        <v>14.198199673307583</v>
      </c>
      <c r="H237" s="110">
        <f t="shared" si="14"/>
        <v>17.934932781900123</v>
      </c>
      <c r="I237" s="136">
        <f t="shared" si="15"/>
        <v>0</v>
      </c>
      <c r="J237" s="55">
        <f t="shared" si="16"/>
        <v>0</v>
      </c>
      <c r="K237" s="36"/>
    </row>
    <row r="238" spans="1:11" x14ac:dyDescent="0.25">
      <c r="A238" s="49">
        <f>'A) Base RI'!A240</f>
        <v>5799</v>
      </c>
      <c r="B238" s="291" t="str">
        <f>'A) Base RI'!B240</f>
        <v>Servion</v>
      </c>
      <c r="C238" s="95">
        <f>'B) D RI'!U240</f>
        <v>70991.881594202918</v>
      </c>
      <c r="D238" s="110">
        <f>'E) Part. coh. soc.'!G244/C238</f>
        <v>18.465066130761315</v>
      </c>
      <c r="E238" s="136">
        <f>'H) Péréquation directe'!I249/C238</f>
        <v>7.4125057546102333</v>
      </c>
      <c r="F238" s="110">
        <f>+'I) Dépenses thématiques'!O238/'K) Plafonnement aide'!C238</f>
        <v>-3.3760737233773095</v>
      </c>
      <c r="G238" s="136">
        <f t="shared" si="13"/>
        <v>22.501498161994238</v>
      </c>
      <c r="H238" s="110">
        <f t="shared" si="14"/>
        <v>25.877571885371548</v>
      </c>
      <c r="I238" s="136">
        <f t="shared" si="15"/>
        <v>0</v>
      </c>
      <c r="J238" s="55">
        <f t="shared" si="16"/>
        <v>0</v>
      </c>
      <c r="K238" s="36"/>
    </row>
    <row r="239" spans="1:11" x14ac:dyDescent="0.25">
      <c r="A239" s="49">
        <f>'A) Base RI'!A241</f>
        <v>5803</v>
      </c>
      <c r="B239" s="291" t="str">
        <f>'A) Base RI'!B241</f>
        <v>Vulliens</v>
      </c>
      <c r="C239" s="95">
        <f>'B) D RI'!U241</f>
        <v>17439.644358974365</v>
      </c>
      <c r="D239" s="110">
        <f>'E) Part. coh. soc.'!G245/C239</f>
        <v>15.919038630303886</v>
      </c>
      <c r="E239" s="136">
        <f>'H) Péréquation directe'!I250/C239</f>
        <v>0.34312416765299836</v>
      </c>
      <c r="F239" s="110">
        <f>+'I) Dépenses thématiques'!O239/'K) Plafonnement aide'!C239</f>
        <v>-5.7860179127955158</v>
      </c>
      <c r="G239" s="136">
        <f t="shared" si="13"/>
        <v>10.476144885161368</v>
      </c>
      <c r="H239" s="110">
        <f t="shared" si="14"/>
        <v>16.262162797956883</v>
      </c>
      <c r="I239" s="136">
        <f t="shared" si="15"/>
        <v>0</v>
      </c>
      <c r="J239" s="55">
        <f t="shared" si="16"/>
        <v>0</v>
      </c>
      <c r="K239" s="36"/>
    </row>
    <row r="240" spans="1:11" x14ac:dyDescent="0.25">
      <c r="A240" s="49">
        <f>'A) Base RI'!A242</f>
        <v>5804</v>
      </c>
      <c r="B240" s="291" t="str">
        <f>'A) Base RI'!B242</f>
        <v>Jorat-Menthue</v>
      </c>
      <c r="C240" s="95">
        <f>'B) D RI'!U242</f>
        <v>44226.697072071111</v>
      </c>
      <c r="D240" s="110">
        <f>'E) Part. coh. soc.'!G246/C240</f>
        <v>17.377122374510488</v>
      </c>
      <c r="E240" s="136">
        <f>'H) Péréquation directe'!I251/C240</f>
        <v>-1.2952076178917751</v>
      </c>
      <c r="F240" s="110">
        <f>+'I) Dépenses thématiques'!O240/'K) Plafonnement aide'!C240</f>
        <v>-26.074287047214192</v>
      </c>
      <c r="G240" s="136">
        <f t="shared" si="13"/>
        <v>-9.9923722905954797</v>
      </c>
      <c r="H240" s="110">
        <f t="shared" si="14"/>
        <v>16.081914756618712</v>
      </c>
      <c r="I240" s="136">
        <f t="shared" si="15"/>
        <v>0</v>
      </c>
      <c r="J240" s="55">
        <f t="shared" si="16"/>
        <v>0</v>
      </c>
      <c r="K240" s="36"/>
    </row>
    <row r="241" spans="1:11" x14ac:dyDescent="0.25">
      <c r="A241" s="49">
        <f>'A) Base RI'!A243</f>
        <v>5805</v>
      </c>
      <c r="B241" s="291" t="str">
        <f>'A) Base RI'!B243</f>
        <v>Oron</v>
      </c>
      <c r="C241" s="95">
        <f>'B) D RI'!U243</f>
        <v>157769.23671351318</v>
      </c>
      <c r="D241" s="110">
        <f>'E) Part. coh. soc.'!G247/C241</f>
        <v>19.661317929290426</v>
      </c>
      <c r="E241" s="136">
        <f>'H) Péréquation directe'!I252/C241</f>
        <v>-6.8072778779284668</v>
      </c>
      <c r="F241" s="110">
        <f>+'I) Dépenses thématiques'!O241/'K) Plafonnement aide'!C241</f>
        <v>-4.9085785672749447</v>
      </c>
      <c r="G241" s="136">
        <f t="shared" si="13"/>
        <v>7.9454614840870148</v>
      </c>
      <c r="H241" s="110">
        <f t="shared" si="14"/>
        <v>12.854040051361959</v>
      </c>
      <c r="I241" s="136">
        <f t="shared" si="15"/>
        <v>0</v>
      </c>
      <c r="J241" s="55">
        <f t="shared" si="16"/>
        <v>0</v>
      </c>
      <c r="K241" s="36"/>
    </row>
    <row r="242" spans="1:11" x14ac:dyDescent="0.25">
      <c r="A242" s="49">
        <f>'A) Base RI'!A244</f>
        <v>5806</v>
      </c>
      <c r="B242" s="291" t="str">
        <f>'A) Base RI'!B244</f>
        <v>Jorat-Mézières</v>
      </c>
      <c r="C242" s="95">
        <f>'B) D RI'!U244</f>
        <v>91829.883122314393</v>
      </c>
      <c r="D242" s="110">
        <f>'E) Part. coh. soc.'!G248/C242</f>
        <v>17.293602232363252</v>
      </c>
      <c r="E242" s="136">
        <f>'H) Péréquation directe'!I253/C242</f>
        <v>-6.9060267445260184E-2</v>
      </c>
      <c r="F242" s="110">
        <f>+'I) Dépenses thématiques'!O242/'K) Plafonnement aide'!C242</f>
        <v>-3.6565405796714718</v>
      </c>
      <c r="G242" s="136">
        <f t="shared" si="13"/>
        <v>13.568001385246522</v>
      </c>
      <c r="H242" s="110">
        <f t="shared" si="14"/>
        <v>17.224541964917993</v>
      </c>
      <c r="I242" s="136">
        <f t="shared" si="15"/>
        <v>0</v>
      </c>
      <c r="J242" s="55">
        <f t="shared" si="16"/>
        <v>0</v>
      </c>
      <c r="K242" s="36"/>
    </row>
    <row r="243" spans="1:11" x14ac:dyDescent="0.25">
      <c r="A243" s="49">
        <f>'A) Base RI'!A245</f>
        <v>5812</v>
      </c>
      <c r="B243" s="291" t="str">
        <f>'A) Base RI'!B245</f>
        <v>Champtauroz</v>
      </c>
      <c r="C243" s="95">
        <f>'B) D RI'!U245</f>
        <v>3710.6575152359092</v>
      </c>
      <c r="D243" s="110">
        <f>'E) Part. coh. soc.'!G249/C243</f>
        <v>23.74493494786374</v>
      </c>
      <c r="E243" s="136">
        <f>'H) Péréquation directe'!I254/C243</f>
        <v>0.93021336861058446</v>
      </c>
      <c r="F243" s="110">
        <f>+'I) Dépenses thématiques'!O243/'K) Plafonnement aide'!C243</f>
        <v>-3.4718422516581433</v>
      </c>
      <c r="G243" s="136">
        <f t="shared" si="13"/>
        <v>21.203306064816182</v>
      </c>
      <c r="H243" s="110">
        <f t="shared" si="14"/>
        <v>24.675148316474324</v>
      </c>
      <c r="I243" s="136">
        <f t="shared" si="15"/>
        <v>0</v>
      </c>
      <c r="J243" s="55">
        <f t="shared" si="16"/>
        <v>0</v>
      </c>
      <c r="K243" s="36"/>
    </row>
    <row r="244" spans="1:11" x14ac:dyDescent="0.25">
      <c r="A244" s="49">
        <f>'A) Base RI'!A246</f>
        <v>5813</v>
      </c>
      <c r="B244" s="291" t="str">
        <f>'A) Base RI'!B246</f>
        <v>Chevroux</v>
      </c>
      <c r="C244" s="95">
        <f>'B) D RI'!U246</f>
        <v>14709.945528749027</v>
      </c>
      <c r="D244" s="110">
        <f>'E) Part. coh. soc.'!G250/C244</f>
        <v>16.696288211760685</v>
      </c>
      <c r="E244" s="136">
        <f>'H) Péréquation directe'!I255/C244</f>
        <v>5.027233762666274</v>
      </c>
      <c r="F244" s="110">
        <f>+'I) Dépenses thématiques'!O244/'K) Plafonnement aide'!C244</f>
        <v>-3.3400243665106384</v>
      </c>
      <c r="G244" s="136">
        <f t="shared" si="13"/>
        <v>18.383497607916318</v>
      </c>
      <c r="H244" s="110">
        <f t="shared" si="14"/>
        <v>21.723521974426959</v>
      </c>
      <c r="I244" s="136">
        <f t="shared" si="15"/>
        <v>0</v>
      </c>
      <c r="J244" s="55">
        <f t="shared" si="16"/>
        <v>0</v>
      </c>
      <c r="K244" s="36"/>
    </row>
    <row r="245" spans="1:11" x14ac:dyDescent="0.25">
      <c r="A245" s="49">
        <f>'A) Base RI'!A247</f>
        <v>5816</v>
      </c>
      <c r="B245" s="291" t="str">
        <f>'A) Base RI'!B247</f>
        <v>Corcelles-près-Payerne</v>
      </c>
      <c r="C245" s="95">
        <f>'B) D RI'!U247</f>
        <v>60414.642640490056</v>
      </c>
      <c r="D245" s="110">
        <f>'E) Part. coh. soc.'!G251/C245</f>
        <v>17.131634417014201</v>
      </c>
      <c r="E245" s="136">
        <f>'H) Péréquation directe'!I256/C245</f>
        <v>-10.104200412171531</v>
      </c>
      <c r="F245" s="110">
        <f>+'I) Dépenses thématiques'!O245/'K) Plafonnement aide'!C245</f>
        <v>-7.5665223784533415</v>
      </c>
      <c r="G245" s="136">
        <f t="shared" si="13"/>
        <v>-0.53908837361067174</v>
      </c>
      <c r="H245" s="110">
        <f t="shared" si="14"/>
        <v>7.0274340048426698</v>
      </c>
      <c r="I245" s="136">
        <f t="shared" si="15"/>
        <v>0</v>
      </c>
      <c r="J245" s="55">
        <f t="shared" si="16"/>
        <v>0</v>
      </c>
      <c r="K245" s="36"/>
    </row>
    <row r="246" spans="1:11" x14ac:dyDescent="0.25">
      <c r="A246" s="49">
        <f>'A) Base RI'!A248</f>
        <v>5817</v>
      </c>
      <c r="B246" s="291" t="str">
        <f>'A) Base RI'!B248</f>
        <v>Grandcour</v>
      </c>
      <c r="C246" s="95">
        <f>'B) D RI'!U248</f>
        <v>21808.970149396955</v>
      </c>
      <c r="D246" s="110">
        <f>'E) Part. coh. soc.'!G252/C246</f>
        <v>16.431892151680081</v>
      </c>
      <c r="E246" s="136">
        <f>'H) Péréquation directe'!I257/C246</f>
        <v>-9.4873896891459921</v>
      </c>
      <c r="F246" s="110">
        <f>+'I) Dépenses thématiques'!O246/'K) Plafonnement aide'!C246</f>
        <v>-6.7048891366777692</v>
      </c>
      <c r="G246" s="136">
        <f t="shared" si="13"/>
        <v>0.23961332585632</v>
      </c>
      <c r="H246" s="110">
        <f t="shared" si="14"/>
        <v>6.9445024625340892</v>
      </c>
      <c r="I246" s="136">
        <f t="shared" si="15"/>
        <v>0</v>
      </c>
      <c r="J246" s="55">
        <f t="shared" si="16"/>
        <v>0</v>
      </c>
      <c r="K246" s="36"/>
    </row>
    <row r="247" spans="1:11" x14ac:dyDescent="0.25">
      <c r="A247" s="49">
        <f>'A) Base RI'!A249</f>
        <v>5819</v>
      </c>
      <c r="B247" s="291" t="str">
        <f>'A) Base RI'!B249</f>
        <v>Henniez</v>
      </c>
      <c r="C247" s="95">
        <f>'B) D RI'!U249</f>
        <v>11876.79478923147</v>
      </c>
      <c r="D247" s="110">
        <f>'E) Part. coh. soc.'!G253/C247</f>
        <v>18.031047853222365</v>
      </c>
      <c r="E247" s="136">
        <f>'H) Péréquation directe'!I258/C247</f>
        <v>7.0939328386376106</v>
      </c>
      <c r="F247" s="110">
        <f>+'I) Dépenses thématiques'!O247/'K) Plafonnement aide'!C247</f>
        <v>-6.4263313666215724</v>
      </c>
      <c r="G247" s="136">
        <f t="shared" si="13"/>
        <v>18.698649325238403</v>
      </c>
      <c r="H247" s="110">
        <f t="shared" si="14"/>
        <v>25.124980691859975</v>
      </c>
      <c r="I247" s="136">
        <f t="shared" si="15"/>
        <v>0</v>
      </c>
      <c r="J247" s="55">
        <f t="shared" si="16"/>
        <v>0</v>
      </c>
      <c r="K247" s="36"/>
    </row>
    <row r="248" spans="1:11" x14ac:dyDescent="0.25">
      <c r="A248" s="49">
        <f>'A) Base RI'!A250</f>
        <v>5821</v>
      </c>
      <c r="B248" s="291" t="str">
        <f>'A) Base RI'!B250</f>
        <v>Missy</v>
      </c>
      <c r="C248" s="95">
        <f>'B) D RI'!U250</f>
        <v>8348.6455555555567</v>
      </c>
      <c r="D248" s="110">
        <f>'E) Part. coh. soc.'!G254/C248</f>
        <v>15.550349230719718</v>
      </c>
      <c r="E248" s="136">
        <f>'H) Péréquation directe'!I259/C248</f>
        <v>-6.1561845363463403</v>
      </c>
      <c r="F248" s="110">
        <f>+'I) Dépenses thématiques'!O248/'K) Plafonnement aide'!C248</f>
        <v>-2.1409199316858207</v>
      </c>
      <c r="G248" s="136">
        <f t="shared" si="13"/>
        <v>7.2532447626875562</v>
      </c>
      <c r="H248" s="110">
        <f t="shared" si="14"/>
        <v>9.3941646943733765</v>
      </c>
      <c r="I248" s="136">
        <f t="shared" si="15"/>
        <v>0</v>
      </c>
      <c r="J248" s="55">
        <f t="shared" si="16"/>
        <v>0</v>
      </c>
      <c r="K248" s="36"/>
    </row>
    <row r="249" spans="1:11" x14ac:dyDescent="0.25">
      <c r="A249" s="49">
        <f>'A) Base RI'!A251</f>
        <v>5822</v>
      </c>
      <c r="B249" s="291" t="str">
        <f>'A) Base RI'!B251</f>
        <v>Payerne</v>
      </c>
      <c r="C249" s="95">
        <f>'B) D RI'!U251</f>
        <v>243639.04906619081</v>
      </c>
      <c r="D249" s="110">
        <f>'E) Part. coh. soc.'!G255/C249</f>
        <v>17.826065840236463</v>
      </c>
      <c r="E249" s="136">
        <f>'H) Péréquation directe'!I260/C249</f>
        <v>-21.563705547093619</v>
      </c>
      <c r="F249" s="110">
        <f>+'I) Dépenses thématiques'!O249/'K) Plafonnement aide'!C249</f>
        <v>-6.7758070609319319</v>
      </c>
      <c r="G249" s="136">
        <f t="shared" si="13"/>
        <v>-10.513446767789087</v>
      </c>
      <c r="H249" s="110">
        <f t="shared" si="14"/>
        <v>-3.7376397068571556</v>
      </c>
      <c r="I249" s="136">
        <f t="shared" si="15"/>
        <v>0</v>
      </c>
      <c r="J249" s="55">
        <f t="shared" si="16"/>
        <v>0</v>
      </c>
      <c r="K249" s="36"/>
    </row>
    <row r="250" spans="1:11" x14ac:dyDescent="0.25">
      <c r="A250" s="49">
        <f>'A) Base RI'!A252</f>
        <v>5827</v>
      </c>
      <c r="B250" s="291" t="str">
        <f>'A) Base RI'!B252</f>
        <v>Trey</v>
      </c>
      <c r="C250" s="95">
        <f>'B) D RI'!U252</f>
        <v>6759.3804152474768</v>
      </c>
      <c r="D250" s="110">
        <f>'E) Part. coh. soc.'!G256/C250</f>
        <v>16.83402562659554</v>
      </c>
      <c r="E250" s="136">
        <f>'H) Péréquation directe'!I261/C250</f>
        <v>-9.3900396386235006</v>
      </c>
      <c r="F250" s="110">
        <f>+'I) Dépenses thématiques'!O250/'K) Plafonnement aide'!C250</f>
        <v>-7.6844560297794651</v>
      </c>
      <c r="G250" s="136">
        <f t="shared" si="13"/>
        <v>-0.24047004180742526</v>
      </c>
      <c r="H250" s="110">
        <f t="shared" si="14"/>
        <v>7.4439859879720398</v>
      </c>
      <c r="I250" s="136">
        <f t="shared" si="15"/>
        <v>0</v>
      </c>
      <c r="J250" s="55">
        <f t="shared" si="16"/>
        <v>0</v>
      </c>
      <c r="K250" s="36"/>
    </row>
    <row r="251" spans="1:11" x14ac:dyDescent="0.25">
      <c r="A251" s="49">
        <f>'A) Base RI'!A253</f>
        <v>5828</v>
      </c>
      <c r="B251" s="291" t="str">
        <f>'A) Base RI'!B253</f>
        <v>Treytorrens (Payerne)</v>
      </c>
      <c r="C251" s="95">
        <f>'B) D RI'!U253</f>
        <v>2423.0145634920641</v>
      </c>
      <c r="D251" s="110">
        <f>'E) Part. coh. soc.'!G257/C251</f>
        <v>21.928111285233641</v>
      </c>
      <c r="E251" s="136">
        <f>'H) Péréquation directe'!I262/C251</f>
        <v>-16.95565390356952</v>
      </c>
      <c r="F251" s="110">
        <f>+'I) Dépenses thématiques'!O251/'K) Plafonnement aide'!C251</f>
        <v>-12.760777330265654</v>
      </c>
      <c r="G251" s="136">
        <f t="shared" si="13"/>
        <v>-7.7883199486015329</v>
      </c>
      <c r="H251" s="110">
        <f t="shared" si="14"/>
        <v>4.9724573816641211</v>
      </c>
      <c r="I251" s="136">
        <f t="shared" si="15"/>
        <v>0</v>
      </c>
      <c r="J251" s="55">
        <f t="shared" si="16"/>
        <v>0</v>
      </c>
      <c r="K251" s="36"/>
    </row>
    <row r="252" spans="1:11" x14ac:dyDescent="0.25">
      <c r="A252" s="49">
        <f>'A) Base RI'!A254</f>
        <v>5830</v>
      </c>
      <c r="B252" s="291" t="str">
        <f>'A) Base RI'!B254</f>
        <v>Villarzel</v>
      </c>
      <c r="C252" s="95">
        <f>'B) D RI'!U254</f>
        <v>13663.209789449775</v>
      </c>
      <c r="D252" s="110">
        <f>'E) Part. coh. soc.'!G258/C252</f>
        <v>18.320014008028405</v>
      </c>
      <c r="E252" s="136">
        <f>'H) Péréquation directe'!I263/C252</f>
        <v>3.3662957947357284</v>
      </c>
      <c r="F252" s="110">
        <f>+'I) Dépenses thématiques'!O252/'K) Plafonnement aide'!C252</f>
        <v>-6.2266918658706603</v>
      </c>
      <c r="G252" s="136">
        <f t="shared" si="13"/>
        <v>15.459617936893473</v>
      </c>
      <c r="H252" s="110">
        <f t="shared" si="14"/>
        <v>21.686309802764132</v>
      </c>
      <c r="I252" s="136">
        <f t="shared" si="15"/>
        <v>0</v>
      </c>
      <c r="J252" s="55">
        <f t="shared" si="16"/>
        <v>0</v>
      </c>
      <c r="K252" s="36"/>
    </row>
    <row r="253" spans="1:11" x14ac:dyDescent="0.25">
      <c r="A253" s="49">
        <f>'A) Base RI'!A255</f>
        <v>5831</v>
      </c>
      <c r="B253" s="291" t="str">
        <f>'A) Base RI'!B255</f>
        <v>Valbroye</v>
      </c>
      <c r="C253" s="95">
        <f>'B) D RI'!U255</f>
        <v>90456.809812842344</v>
      </c>
      <c r="D253" s="110">
        <f>'E) Part. coh. soc.'!G259/C253</f>
        <v>18.595854890646461</v>
      </c>
      <c r="E253" s="136">
        <f>'H) Péréquation directe'!I264/C253</f>
        <v>-5.3882290984305161</v>
      </c>
      <c r="F253" s="110">
        <f>+'I) Dépenses thématiques'!O253/'K) Plafonnement aide'!C253</f>
        <v>-9.5793403402210995</v>
      </c>
      <c r="G253" s="136">
        <f t="shared" si="13"/>
        <v>3.6282854519948451</v>
      </c>
      <c r="H253" s="110">
        <f t="shared" si="14"/>
        <v>13.207625792215945</v>
      </c>
      <c r="I253" s="136">
        <f t="shared" si="15"/>
        <v>0</v>
      </c>
      <c r="J253" s="55">
        <f t="shared" si="16"/>
        <v>0</v>
      </c>
      <c r="K253" s="36"/>
    </row>
    <row r="254" spans="1:11" x14ac:dyDescent="0.25">
      <c r="A254" s="49">
        <f>'A) Base RI'!A256</f>
        <v>5841</v>
      </c>
      <c r="B254" s="291" t="str">
        <f>'A) Base RI'!B256</f>
        <v>Château-d'Oex</v>
      </c>
      <c r="C254" s="95">
        <f>'B) D RI'!U256</f>
        <v>118378.66757105118</v>
      </c>
      <c r="D254" s="110">
        <f>'E) Part. coh. soc.'!G260/C254</f>
        <v>18.220916875805024</v>
      </c>
      <c r="E254" s="136">
        <f>'H) Péréquation directe'!I265/C254</f>
        <v>1.2024539473599196</v>
      </c>
      <c r="F254" s="110">
        <f>+'I) Dépenses thématiques'!O254/'K) Plafonnement aide'!C254</f>
        <v>-17.346638488622165</v>
      </c>
      <c r="G254" s="136">
        <f t="shared" si="13"/>
        <v>2.0767323345427791</v>
      </c>
      <c r="H254" s="110">
        <f t="shared" si="14"/>
        <v>19.423370823164944</v>
      </c>
      <c r="I254" s="136">
        <f t="shared" si="15"/>
        <v>0</v>
      </c>
      <c r="J254" s="55">
        <f t="shared" si="16"/>
        <v>0</v>
      </c>
      <c r="K254" s="36"/>
    </row>
    <row r="255" spans="1:11" x14ac:dyDescent="0.25">
      <c r="A255" s="49">
        <f>'A) Base RI'!A257</f>
        <v>5842</v>
      </c>
      <c r="B255" s="291" t="str">
        <f>'A) Base RI'!B257</f>
        <v>Rossinière</v>
      </c>
      <c r="C255" s="95">
        <f>'B) D RI'!U257</f>
        <v>13768.598420203307</v>
      </c>
      <c r="D255" s="110">
        <f>'E) Part. coh. soc.'!G261/C255</f>
        <v>17.068043604286252</v>
      </c>
      <c r="E255" s="136">
        <f>'H) Péréquation directe'!I266/C255</f>
        <v>-6.8746884237028496</v>
      </c>
      <c r="F255" s="110">
        <f>+'I) Dépenses thématiques'!O255/'K) Plafonnement aide'!C255</f>
        <v>-19.633448635485422</v>
      </c>
      <c r="G255" s="136">
        <f t="shared" si="13"/>
        <v>-9.4400934549020192</v>
      </c>
      <c r="H255" s="110">
        <f t="shared" si="14"/>
        <v>10.193355180583403</v>
      </c>
      <c r="I255" s="136">
        <f t="shared" si="15"/>
        <v>0</v>
      </c>
      <c r="J255" s="55">
        <f t="shared" si="16"/>
        <v>0</v>
      </c>
      <c r="K255" s="36"/>
    </row>
    <row r="256" spans="1:11" x14ac:dyDescent="0.25">
      <c r="A256" s="49">
        <f>'A) Base RI'!A258</f>
        <v>5843</v>
      </c>
      <c r="B256" s="291" t="str">
        <f>'A) Base RI'!B258</f>
        <v>Rougemont</v>
      </c>
      <c r="C256" s="95">
        <f>'B) D RI'!U258</f>
        <v>85900.087382527112</v>
      </c>
      <c r="D256" s="110">
        <f>'E) Part. coh. soc.'!G262/C256</f>
        <v>40.105428490506505</v>
      </c>
      <c r="E256" s="136">
        <f>'H) Péréquation directe'!I267/C256</f>
        <v>18.393899513548412</v>
      </c>
      <c r="F256" s="110">
        <f>+'I) Dépenses thématiques'!O256/'K) Plafonnement aide'!C256</f>
        <v>-3.780434397453623</v>
      </c>
      <c r="G256" s="136">
        <f t="shared" si="13"/>
        <v>54.718893606601291</v>
      </c>
      <c r="H256" s="110">
        <f t="shared" si="14"/>
        <v>58.499328004054917</v>
      </c>
      <c r="I256" s="136">
        <f t="shared" si="15"/>
        <v>0</v>
      </c>
      <c r="J256" s="55">
        <f t="shared" si="16"/>
        <v>0</v>
      </c>
      <c r="K256" s="36"/>
    </row>
    <row r="257" spans="1:11" x14ac:dyDescent="0.25">
      <c r="A257" s="49">
        <f>'A) Base RI'!A259</f>
        <v>5851</v>
      </c>
      <c r="B257" s="291" t="str">
        <f>'A) Base RI'!B259</f>
        <v>Allaman</v>
      </c>
      <c r="C257" s="95">
        <f>'B) D RI'!U259</f>
        <v>23250.654215447554</v>
      </c>
      <c r="D257" s="110">
        <f>'E) Part. coh. soc.'!G263/C257</f>
        <v>25.135666068119658</v>
      </c>
      <c r="E257" s="136">
        <f>'H) Péréquation directe'!I268/C257</f>
        <v>17.211864012510514</v>
      </c>
      <c r="F257" s="110">
        <f>+'I) Dépenses thématiques'!O257/'K) Plafonnement aide'!C257</f>
        <v>0</v>
      </c>
      <c r="G257" s="136">
        <f t="shared" si="13"/>
        <v>42.347530080630172</v>
      </c>
      <c r="H257" s="110">
        <f t="shared" si="14"/>
        <v>42.347530080630172</v>
      </c>
      <c r="I257" s="136">
        <f t="shared" si="15"/>
        <v>0</v>
      </c>
      <c r="J257" s="55">
        <f t="shared" si="16"/>
        <v>0</v>
      </c>
      <c r="K257" s="36"/>
    </row>
    <row r="258" spans="1:11" x14ac:dyDescent="0.25">
      <c r="A258" s="49">
        <f>'A) Base RI'!A260</f>
        <v>5852</v>
      </c>
      <c r="B258" s="291" t="str">
        <f>'A) Base RI'!B260</f>
        <v>Bursinel</v>
      </c>
      <c r="C258" s="95">
        <f>'B) D RI'!U260</f>
        <v>39678.838013791166</v>
      </c>
      <c r="D258" s="110">
        <f>'E) Part. coh. soc.'!G264/C258</f>
        <v>30.526815201495388</v>
      </c>
      <c r="E258" s="136">
        <f>'H) Péréquation directe'!I269/C258</f>
        <v>18.151139047104476</v>
      </c>
      <c r="F258" s="110">
        <f>+'I) Dépenses thématiques'!O258/'K) Plafonnement aide'!C258</f>
        <v>0</v>
      </c>
      <c r="G258" s="136">
        <f t="shared" si="13"/>
        <v>48.67795424859986</v>
      </c>
      <c r="H258" s="110">
        <f t="shared" si="14"/>
        <v>48.67795424859986</v>
      </c>
      <c r="I258" s="136">
        <f t="shared" si="15"/>
        <v>0</v>
      </c>
      <c r="J258" s="55">
        <f t="shared" si="16"/>
        <v>0</v>
      </c>
      <c r="K258" s="36"/>
    </row>
    <row r="259" spans="1:11" x14ac:dyDescent="0.25">
      <c r="A259" s="49">
        <f>'A) Base RI'!A261</f>
        <v>5853</v>
      </c>
      <c r="B259" s="291" t="str">
        <f>'A) Base RI'!B261</f>
        <v>Bursins</v>
      </c>
      <c r="C259" s="95">
        <f>'B) D RI'!U261</f>
        <v>36264.072017403523</v>
      </c>
      <c r="D259" s="110">
        <f>'E) Part. coh. soc.'!G265/C259</f>
        <v>20.438397529080259</v>
      </c>
      <c r="E259" s="136">
        <f>'H) Péréquation directe'!I270/C259</f>
        <v>16.939659236892943</v>
      </c>
      <c r="F259" s="110">
        <f>+'I) Dépenses thématiques'!O259/'K) Plafonnement aide'!C259</f>
        <v>-0.70400466407564832</v>
      </c>
      <c r="G259" s="136">
        <f t="shared" si="13"/>
        <v>36.674052101897551</v>
      </c>
      <c r="H259" s="110">
        <f t="shared" si="14"/>
        <v>37.378056765973199</v>
      </c>
      <c r="I259" s="136">
        <f t="shared" si="15"/>
        <v>0</v>
      </c>
      <c r="J259" s="55">
        <f t="shared" si="16"/>
        <v>0</v>
      </c>
      <c r="K259" s="36"/>
    </row>
    <row r="260" spans="1:11" x14ac:dyDescent="0.25">
      <c r="A260" s="49">
        <f>'A) Base RI'!A262</f>
        <v>5854</v>
      </c>
      <c r="B260" s="291" t="str">
        <f>'A) Base RI'!B262</f>
        <v>Burtigny</v>
      </c>
      <c r="C260" s="95">
        <f>'B) D RI'!U262</f>
        <v>11037.411333333333</v>
      </c>
      <c r="D260" s="110">
        <f>'E) Part. coh. soc.'!G266/C260</f>
        <v>24.187548027219496</v>
      </c>
      <c r="E260" s="136">
        <f>'H) Péréquation directe'!I271/C260</f>
        <v>-0.59374825694368372</v>
      </c>
      <c r="F260" s="110">
        <f>+'I) Dépenses thématiques'!O260/'K) Plafonnement aide'!C260</f>
        <v>-4.6496889572380846</v>
      </c>
      <c r="G260" s="136">
        <f t="shared" si="13"/>
        <v>18.944110813037728</v>
      </c>
      <c r="H260" s="110">
        <f t="shared" si="14"/>
        <v>23.593799770275812</v>
      </c>
      <c r="I260" s="136">
        <f t="shared" si="15"/>
        <v>0</v>
      </c>
      <c r="J260" s="55">
        <f t="shared" si="16"/>
        <v>0</v>
      </c>
      <c r="K260" s="36"/>
    </row>
    <row r="261" spans="1:11" x14ac:dyDescent="0.25">
      <c r="A261" s="49">
        <f>'A) Base RI'!A263</f>
        <v>5855</v>
      </c>
      <c r="B261" s="291" t="str">
        <f>'A) Base RI'!B263</f>
        <v>Dully</v>
      </c>
      <c r="C261" s="95">
        <f>'B) D RI'!U263</f>
        <v>79587.82351399264</v>
      </c>
      <c r="D261" s="110">
        <f>'E) Part. coh. soc.'!G267/C261</f>
        <v>31.345501100270418</v>
      </c>
      <c r="E261" s="136">
        <f>'H) Péréquation directe'!I272/C261</f>
        <v>18.640066834926149</v>
      </c>
      <c r="F261" s="110">
        <f>+'I) Dépenses thématiques'!O261/'K) Plafonnement aide'!C261</f>
        <v>0</v>
      </c>
      <c r="G261" s="136">
        <f t="shared" ref="G261:G312" si="17">SUM(D261:F261)</f>
        <v>49.98556793519657</v>
      </c>
      <c r="H261" s="110">
        <f t="shared" ref="H261:H312" si="18">G261-F261</f>
        <v>49.98556793519657</v>
      </c>
      <c r="I261" s="136">
        <f t="shared" ref="I261:I312" si="19">IF(H261&lt;I$4,H261-I$4,0)</f>
        <v>0</v>
      </c>
      <c r="J261" s="55">
        <f t="shared" ref="J261:J312" si="20">-I261*C261</f>
        <v>0</v>
      </c>
      <c r="K261" s="36"/>
    </row>
    <row r="262" spans="1:11" x14ac:dyDescent="0.25">
      <c r="A262" s="49">
        <f>'A) Base RI'!A264</f>
        <v>5856</v>
      </c>
      <c r="B262" s="291" t="str">
        <f>'A) Base RI'!B264</f>
        <v>Essertines-sur-Rolle</v>
      </c>
      <c r="C262" s="95">
        <f>'B) D RI'!U264</f>
        <v>36512.686266191689</v>
      </c>
      <c r="D262" s="110">
        <f>'E) Part. coh. soc.'!G268/C262</f>
        <v>18.316218035503137</v>
      </c>
      <c r="E262" s="136">
        <f>'H) Péréquation directe'!I273/C262</f>
        <v>17.164546506644026</v>
      </c>
      <c r="F262" s="110">
        <f>+'I) Dépenses thématiques'!O262/'K) Plafonnement aide'!C262</f>
        <v>0</v>
      </c>
      <c r="G262" s="136">
        <f t="shared" si="17"/>
        <v>35.480764542147163</v>
      </c>
      <c r="H262" s="110">
        <f t="shared" si="18"/>
        <v>35.480764542147163</v>
      </c>
      <c r="I262" s="136">
        <f t="shared" si="19"/>
        <v>0</v>
      </c>
      <c r="J262" s="55">
        <f t="shared" si="20"/>
        <v>0</v>
      </c>
      <c r="K262" s="36"/>
    </row>
    <row r="263" spans="1:11" x14ac:dyDescent="0.25">
      <c r="A263" s="49">
        <f>'A) Base RI'!A265</f>
        <v>5857</v>
      </c>
      <c r="B263" s="291" t="str">
        <f>'A) Base RI'!B265</f>
        <v>Gilly</v>
      </c>
      <c r="C263" s="95">
        <f>'B) D RI'!U265</f>
        <v>85445.15246923732</v>
      </c>
      <c r="D263" s="110">
        <f>'E) Part. coh. soc.'!G269/C263</f>
        <v>22.292253592396403</v>
      </c>
      <c r="E263" s="136">
        <f>'H) Péréquation directe'!I274/C263</f>
        <v>16.655222091875046</v>
      </c>
      <c r="F263" s="110">
        <f>+'I) Dépenses thématiques'!O263/'K) Plafonnement aide'!C263</f>
        <v>0</v>
      </c>
      <c r="G263" s="136">
        <f t="shared" si="17"/>
        <v>38.947475684271453</v>
      </c>
      <c r="H263" s="110">
        <f t="shared" si="18"/>
        <v>38.947475684271453</v>
      </c>
      <c r="I263" s="136">
        <f t="shared" si="19"/>
        <v>0</v>
      </c>
      <c r="J263" s="55">
        <f t="shared" si="20"/>
        <v>0</v>
      </c>
      <c r="K263" s="36"/>
    </row>
    <row r="264" spans="1:11" x14ac:dyDescent="0.25">
      <c r="A264" s="49">
        <f>'A) Base RI'!A266</f>
        <v>5858</v>
      </c>
      <c r="B264" s="291" t="str">
        <f>'A) Base RI'!B266</f>
        <v>Luins</v>
      </c>
      <c r="C264" s="95">
        <f>'B) D RI'!U266</f>
        <v>46686.611465586961</v>
      </c>
      <c r="D264" s="110">
        <f>'E) Part. coh. soc.'!G270/C264</f>
        <v>22.612713990017987</v>
      </c>
      <c r="E264" s="136">
        <f>'H) Péréquation directe'!I275/C264</f>
        <v>17.977677624585173</v>
      </c>
      <c r="F264" s="110">
        <f>+'I) Dépenses thématiques'!O264/'K) Plafonnement aide'!C264</f>
        <v>0</v>
      </c>
      <c r="G264" s="136">
        <f t="shared" si="17"/>
        <v>40.590391614603163</v>
      </c>
      <c r="H264" s="110">
        <f t="shared" si="18"/>
        <v>40.590391614603163</v>
      </c>
      <c r="I264" s="136">
        <f t="shared" si="19"/>
        <v>0</v>
      </c>
      <c r="J264" s="55">
        <f t="shared" si="20"/>
        <v>0</v>
      </c>
      <c r="K264" s="36"/>
    </row>
    <row r="265" spans="1:11" x14ac:dyDescent="0.25">
      <c r="A265" s="49">
        <f>'A) Base RI'!A267</f>
        <v>5859</v>
      </c>
      <c r="B265" s="291" t="str">
        <f>'A) Base RI'!B267</f>
        <v>Mont-sur-Rolle</v>
      </c>
      <c r="C265" s="95">
        <f>'B) D RI'!U267</f>
        <v>136353.72580116385</v>
      </c>
      <c r="D265" s="110">
        <f>'E) Part. coh. soc.'!G271/C265</f>
        <v>21.565866158563509</v>
      </c>
      <c r="E265" s="136">
        <f>'H) Péréquation directe'!I276/C265</f>
        <v>14.40111300572641</v>
      </c>
      <c r="F265" s="110">
        <f>+'I) Dépenses thématiques'!O265/'K) Plafonnement aide'!C265</f>
        <v>0</v>
      </c>
      <c r="G265" s="136">
        <f t="shared" si="17"/>
        <v>35.966979164289917</v>
      </c>
      <c r="H265" s="110">
        <f t="shared" si="18"/>
        <v>35.966979164289917</v>
      </c>
      <c r="I265" s="136">
        <f t="shared" si="19"/>
        <v>0</v>
      </c>
      <c r="J265" s="55">
        <f t="shared" si="20"/>
        <v>0</v>
      </c>
      <c r="K265" s="36"/>
    </row>
    <row r="266" spans="1:11" x14ac:dyDescent="0.25">
      <c r="A266" s="49">
        <f>'A) Base RI'!A268</f>
        <v>5860</v>
      </c>
      <c r="B266" s="291" t="str">
        <f>'A) Base RI'!B268</f>
        <v>Perroy</v>
      </c>
      <c r="C266" s="95">
        <f>'B) D RI'!U268</f>
        <v>102639.35399012771</v>
      </c>
      <c r="D266" s="110">
        <f>'E) Part. coh. soc.'!G272/C266</f>
        <v>22.807805498224223</v>
      </c>
      <c r="E266" s="136">
        <f>'H) Péréquation directe'!I277/C266</f>
        <v>16.721446926867038</v>
      </c>
      <c r="F266" s="110">
        <f>+'I) Dépenses thématiques'!O266/'K) Plafonnement aide'!C266</f>
        <v>-19.062831124331616</v>
      </c>
      <c r="G266" s="136">
        <f t="shared" si="17"/>
        <v>20.466421300759642</v>
      </c>
      <c r="H266" s="110">
        <f t="shared" si="18"/>
        <v>39.529252425091258</v>
      </c>
      <c r="I266" s="136">
        <f t="shared" si="19"/>
        <v>0</v>
      </c>
      <c r="J266" s="55">
        <f t="shared" si="20"/>
        <v>0</v>
      </c>
      <c r="K266" s="36"/>
    </row>
    <row r="267" spans="1:11" x14ac:dyDescent="0.25">
      <c r="A267" s="49">
        <f>'A) Base RI'!A269</f>
        <v>5861</v>
      </c>
      <c r="B267" s="291" t="str">
        <f>'A) Base RI'!B269</f>
        <v>Rolle</v>
      </c>
      <c r="C267" s="95">
        <f>'B) D RI'!U269</f>
        <v>542281.32528677804</v>
      </c>
      <c r="D267" s="110">
        <f>'E) Part. coh. soc.'!G273/C267</f>
        <v>27.06419864578476</v>
      </c>
      <c r="E267" s="136">
        <f>'H) Péréquation directe'!I278/C267</f>
        <v>14.881940051641601</v>
      </c>
      <c r="F267" s="110">
        <f>+'I) Dépenses thématiques'!O267/'K) Plafonnement aide'!C267</f>
        <v>0</v>
      </c>
      <c r="G267" s="136">
        <f t="shared" si="17"/>
        <v>41.946138697426363</v>
      </c>
      <c r="H267" s="110">
        <f t="shared" si="18"/>
        <v>41.946138697426363</v>
      </c>
      <c r="I267" s="136">
        <f t="shared" si="19"/>
        <v>0</v>
      </c>
      <c r="J267" s="55">
        <f t="shared" si="20"/>
        <v>0</v>
      </c>
      <c r="K267" s="36"/>
    </row>
    <row r="268" spans="1:11" x14ac:dyDescent="0.25">
      <c r="A268" s="49">
        <f>'A) Base RI'!A270</f>
        <v>5862</v>
      </c>
      <c r="B268" s="291" t="str">
        <f>'A) Base RI'!B270</f>
        <v>Tartegnin</v>
      </c>
      <c r="C268" s="95">
        <f>'B) D RI'!U270</f>
        <v>10952.855675530331</v>
      </c>
      <c r="D268" s="110">
        <f>'E) Part. coh. soc.'!G274/C268</f>
        <v>15.964148584647919</v>
      </c>
      <c r="E268" s="136">
        <f>'H) Péréquation directe'!I279/C268</f>
        <v>16.976223715946698</v>
      </c>
      <c r="F268" s="110">
        <f>+'I) Dépenses thématiques'!O268/'K) Plafonnement aide'!C268</f>
        <v>0</v>
      </c>
      <c r="G268" s="136">
        <f t="shared" si="17"/>
        <v>32.940372300594618</v>
      </c>
      <c r="H268" s="110">
        <f t="shared" si="18"/>
        <v>32.940372300594618</v>
      </c>
      <c r="I268" s="136">
        <f t="shared" si="19"/>
        <v>0</v>
      </c>
      <c r="J268" s="55">
        <f t="shared" si="20"/>
        <v>0</v>
      </c>
      <c r="K268" s="36"/>
    </row>
    <row r="269" spans="1:11" x14ac:dyDescent="0.25">
      <c r="A269" s="49">
        <f>'A) Base RI'!A271</f>
        <v>5863</v>
      </c>
      <c r="B269" s="291" t="str">
        <f>'A) Base RI'!B271</f>
        <v>Vinzel</v>
      </c>
      <c r="C269" s="95">
        <f>'B) D RI'!U271</f>
        <v>17853.344314731814</v>
      </c>
      <c r="D269" s="110">
        <f>'E) Part. coh. soc.'!G275/C269</f>
        <v>19.224758632320579</v>
      </c>
      <c r="E269" s="136">
        <f>'H) Péréquation directe'!I280/C269</f>
        <v>17.150692085987103</v>
      </c>
      <c r="F269" s="110">
        <f>+'I) Dépenses thématiques'!O269/'K) Plafonnement aide'!C269</f>
        <v>0</v>
      </c>
      <c r="G269" s="136">
        <f t="shared" si="17"/>
        <v>36.375450718307683</v>
      </c>
      <c r="H269" s="110">
        <f t="shared" si="18"/>
        <v>36.375450718307683</v>
      </c>
      <c r="I269" s="136">
        <f t="shared" si="19"/>
        <v>0</v>
      </c>
      <c r="J269" s="55">
        <f t="shared" si="20"/>
        <v>0</v>
      </c>
      <c r="K269" s="36"/>
    </row>
    <row r="270" spans="1:11" x14ac:dyDescent="0.25">
      <c r="A270" s="49">
        <f>'A) Base RI'!A272</f>
        <v>5871</v>
      </c>
      <c r="B270" s="291" t="str">
        <f>'A) Base RI'!B272</f>
        <v>L'Abbaye</v>
      </c>
      <c r="C270" s="95">
        <f>'B) D RI'!U272</f>
        <v>46407.687824597124</v>
      </c>
      <c r="D270" s="110">
        <f>'E) Part. coh. soc.'!G276/C270</f>
        <v>22.443589852945628</v>
      </c>
      <c r="E270" s="136">
        <f>'H) Péréquation directe'!I281/C270</f>
        <v>2.168472313943778</v>
      </c>
      <c r="F270" s="110">
        <f>+'I) Dépenses thématiques'!O270/'K) Plafonnement aide'!C270</f>
        <v>-8.2605516478082368</v>
      </c>
      <c r="G270" s="136">
        <f t="shared" si="17"/>
        <v>16.351510519081167</v>
      </c>
      <c r="H270" s="110">
        <f t="shared" si="18"/>
        <v>24.612062166889402</v>
      </c>
      <c r="I270" s="136">
        <f t="shared" si="19"/>
        <v>0</v>
      </c>
      <c r="J270" s="55">
        <f t="shared" si="20"/>
        <v>0</v>
      </c>
      <c r="K270" s="36"/>
    </row>
    <row r="271" spans="1:11" x14ac:dyDescent="0.25">
      <c r="A271" s="49">
        <f>'A) Base RI'!A273</f>
        <v>5872</v>
      </c>
      <c r="B271" s="291" t="str">
        <f>'A) Base RI'!B273</f>
        <v>Le Chenit</v>
      </c>
      <c r="C271" s="95">
        <f>'B) D RI'!U273</f>
        <v>253970.36617173007</v>
      </c>
      <c r="D271" s="110">
        <f>'E) Part. coh. soc.'!G277/C271</f>
        <v>27.978878218647253</v>
      </c>
      <c r="E271" s="136">
        <f>'H) Péréquation directe'!I282/C271</f>
        <v>13.105371852987263</v>
      </c>
      <c r="F271" s="110">
        <f>+'I) Dépenses thématiques'!O271/'K) Plafonnement aide'!C271</f>
        <v>-4.8618098230697564</v>
      </c>
      <c r="G271" s="136">
        <f t="shared" si="17"/>
        <v>36.222440248564759</v>
      </c>
      <c r="H271" s="110">
        <f t="shared" si="18"/>
        <v>41.084250071634514</v>
      </c>
      <c r="I271" s="136">
        <f t="shared" si="19"/>
        <v>0</v>
      </c>
      <c r="J271" s="55">
        <f t="shared" si="20"/>
        <v>0</v>
      </c>
      <c r="K271" s="36"/>
    </row>
    <row r="272" spans="1:11" x14ac:dyDescent="0.25">
      <c r="A272" s="49">
        <f>'A) Base RI'!A274</f>
        <v>5873</v>
      </c>
      <c r="B272" s="291" t="str">
        <f>'A) Base RI'!B274</f>
        <v>Le Lieu</v>
      </c>
      <c r="C272" s="95">
        <f>'B) D RI'!U274</f>
        <v>28515.54687424951</v>
      </c>
      <c r="D272" s="110">
        <f>'E) Part. coh. soc.'!G278/C272</f>
        <v>25.301770661111981</v>
      </c>
      <c r="E272" s="136">
        <f>'H) Péréquation directe'!I283/C272</f>
        <v>6.9416551293420143</v>
      </c>
      <c r="F272" s="110">
        <f>+'I) Dépenses thématiques'!O272/'K) Plafonnement aide'!C272</f>
        <v>-23.393980343860274</v>
      </c>
      <c r="G272" s="136">
        <f t="shared" si="17"/>
        <v>8.8494454465937231</v>
      </c>
      <c r="H272" s="110">
        <f t="shared" si="18"/>
        <v>32.243425790453998</v>
      </c>
      <c r="I272" s="136">
        <f t="shared" si="19"/>
        <v>0</v>
      </c>
      <c r="J272" s="55">
        <f t="shared" si="20"/>
        <v>0</v>
      </c>
      <c r="K272" s="36"/>
    </row>
    <row r="273" spans="1:11" x14ac:dyDescent="0.25">
      <c r="A273" s="49">
        <f>'A) Base RI'!A275</f>
        <v>5881</v>
      </c>
      <c r="B273" s="291" t="str">
        <f>'A) Base RI'!B275</f>
        <v>Blonay</v>
      </c>
      <c r="C273" s="95">
        <f>'B) D RI'!U275</f>
        <v>355094.49330320884</v>
      </c>
      <c r="D273" s="110">
        <f>'E) Part. coh. soc.'!G279/C273</f>
        <v>22.261359291036218</v>
      </c>
      <c r="E273" s="136">
        <f>'H) Péréquation directe'!I284/C273</f>
        <v>12.528776600504591</v>
      </c>
      <c r="F273" s="110">
        <f>+'I) Dépenses thématiques'!O273/'K) Plafonnement aide'!C273</f>
        <v>-1.6030795841113652</v>
      </c>
      <c r="G273" s="136">
        <f t="shared" si="17"/>
        <v>33.187056307429444</v>
      </c>
      <c r="H273" s="110">
        <f t="shared" si="18"/>
        <v>34.790135891540807</v>
      </c>
      <c r="I273" s="136">
        <f t="shared" si="19"/>
        <v>0</v>
      </c>
      <c r="J273" s="55">
        <f t="shared" si="20"/>
        <v>0</v>
      </c>
      <c r="K273" s="36"/>
    </row>
    <row r="274" spans="1:11" x14ac:dyDescent="0.25">
      <c r="A274" s="49">
        <f>'A) Base RI'!A276</f>
        <v>5882</v>
      </c>
      <c r="B274" s="291" t="str">
        <f>'A) Base RI'!B276</f>
        <v>Chardonne</v>
      </c>
      <c r="C274" s="95">
        <f>'B) D RI'!U276</f>
        <v>184065.71182844636</v>
      </c>
      <c r="D274" s="110">
        <f>'E) Part. coh. soc.'!G280/C274</f>
        <v>25.596719076345821</v>
      </c>
      <c r="E274" s="136">
        <f>'H) Péréquation directe'!I285/C274</f>
        <v>15.056720021035508</v>
      </c>
      <c r="F274" s="110">
        <f>+'I) Dépenses thématiques'!O274/'K) Plafonnement aide'!C274</f>
        <v>-2.0854425210500152</v>
      </c>
      <c r="G274" s="136">
        <f t="shared" si="17"/>
        <v>38.567996576331318</v>
      </c>
      <c r="H274" s="110">
        <f t="shared" si="18"/>
        <v>40.65343909738133</v>
      </c>
      <c r="I274" s="136">
        <f t="shared" si="19"/>
        <v>0</v>
      </c>
      <c r="J274" s="55">
        <f t="shared" si="20"/>
        <v>0</v>
      </c>
      <c r="K274" s="36"/>
    </row>
    <row r="275" spans="1:11" x14ac:dyDescent="0.25">
      <c r="A275" s="49">
        <f>'A) Base RI'!A277</f>
        <v>5883</v>
      </c>
      <c r="B275" s="291" t="str">
        <f>'A) Base RI'!B277</f>
        <v>Corseaux</v>
      </c>
      <c r="C275" s="95">
        <f>'B) D RI'!U277</f>
        <v>164452.64554996623</v>
      </c>
      <c r="D275" s="110">
        <f>'E) Part. coh. soc.'!G281/C275</f>
        <v>24.260957362407037</v>
      </c>
      <c r="E275" s="136">
        <f>'H) Péréquation directe'!I286/C275</f>
        <v>16.131938337741499</v>
      </c>
      <c r="F275" s="110">
        <f>+'I) Dépenses thématiques'!O275/'K) Plafonnement aide'!C275</f>
        <v>0</v>
      </c>
      <c r="G275" s="136">
        <f t="shared" si="17"/>
        <v>40.392895700148536</v>
      </c>
      <c r="H275" s="110">
        <f t="shared" si="18"/>
        <v>40.392895700148536</v>
      </c>
      <c r="I275" s="136">
        <f t="shared" si="19"/>
        <v>0</v>
      </c>
      <c r="J275" s="55">
        <f t="shared" si="20"/>
        <v>0</v>
      </c>
      <c r="K275" s="36"/>
    </row>
    <row r="276" spans="1:11" x14ac:dyDescent="0.25">
      <c r="A276" s="49">
        <f>'A) Base RI'!A278</f>
        <v>5884</v>
      </c>
      <c r="B276" s="291" t="str">
        <f>'A) Base RI'!B278</f>
        <v>Corsier-sur-Vevey</v>
      </c>
      <c r="C276" s="95">
        <f>'B) D RI'!U278</f>
        <v>125116.33219250187</v>
      </c>
      <c r="D276" s="110">
        <f>'E) Part. coh. soc.'!G282/C276</f>
        <v>18.352294719811745</v>
      </c>
      <c r="E276" s="136">
        <f>'H) Péréquation directe'!I287/C276</f>
        <v>7.4970792979599628</v>
      </c>
      <c r="F276" s="110">
        <f>+'I) Dépenses thématiques'!O276/'K) Plafonnement aide'!C276</f>
        <v>-11.089944731490426</v>
      </c>
      <c r="G276" s="136">
        <f t="shared" si="17"/>
        <v>14.759429286281282</v>
      </c>
      <c r="H276" s="110">
        <f t="shared" si="18"/>
        <v>25.849374017771709</v>
      </c>
      <c r="I276" s="136">
        <f t="shared" si="19"/>
        <v>0</v>
      </c>
      <c r="J276" s="55">
        <f t="shared" si="20"/>
        <v>0</v>
      </c>
      <c r="K276" s="36"/>
    </row>
    <row r="277" spans="1:11" x14ac:dyDescent="0.25">
      <c r="A277" s="49">
        <f>'A) Base RI'!A279</f>
        <v>5885</v>
      </c>
      <c r="B277" s="291" t="str">
        <f>'A) Base RI'!B279</f>
        <v>Jongny</v>
      </c>
      <c r="C277" s="95">
        <f>'B) D RI'!U279</f>
        <v>78645.92697183101</v>
      </c>
      <c r="D277" s="110">
        <f>'E) Part. coh. soc.'!G283/C277</f>
        <v>20.441179316942755</v>
      </c>
      <c r="E277" s="136">
        <f>'H) Péréquation directe'!I288/C277</f>
        <v>15.618171197840072</v>
      </c>
      <c r="F277" s="110">
        <f>+'I) Dépenses thématiques'!O277/'K) Plafonnement aide'!C277</f>
        <v>-1.4686387142614596</v>
      </c>
      <c r="G277" s="136">
        <f t="shared" si="17"/>
        <v>34.590711800521369</v>
      </c>
      <c r="H277" s="110">
        <f t="shared" si="18"/>
        <v>36.059350514782828</v>
      </c>
      <c r="I277" s="136">
        <f t="shared" si="19"/>
        <v>0</v>
      </c>
      <c r="J277" s="55">
        <f t="shared" si="20"/>
        <v>0</v>
      </c>
      <c r="K277" s="36"/>
    </row>
    <row r="278" spans="1:11" x14ac:dyDescent="0.25">
      <c r="A278" s="49">
        <f>'A) Base RI'!A280</f>
        <v>5886</v>
      </c>
      <c r="B278" s="291" t="str">
        <f>'A) Base RI'!B280</f>
        <v>Montreux</v>
      </c>
      <c r="C278" s="95">
        <f>'B) D RI'!U280</f>
        <v>1133766.4796882921</v>
      </c>
      <c r="D278" s="110">
        <f>'E) Part. coh. soc.'!G284/C278</f>
        <v>22.487082286465135</v>
      </c>
      <c r="E278" s="136">
        <f>'H) Péréquation directe'!I289/C278</f>
        <v>-0.2752685802683425</v>
      </c>
      <c r="F278" s="110">
        <f>+'I) Dépenses thématiques'!O278/'K) Plafonnement aide'!C278</f>
        <v>-4.5832698528104086</v>
      </c>
      <c r="G278" s="136">
        <f t="shared" si="17"/>
        <v>17.628543853386383</v>
      </c>
      <c r="H278" s="110">
        <f t="shared" si="18"/>
        <v>22.211813706196793</v>
      </c>
      <c r="I278" s="136">
        <f t="shared" si="19"/>
        <v>0</v>
      </c>
      <c r="J278" s="55">
        <f t="shared" si="20"/>
        <v>0</v>
      </c>
      <c r="K278" s="36"/>
    </row>
    <row r="279" spans="1:11" x14ac:dyDescent="0.25">
      <c r="A279" s="49">
        <f>'A) Base RI'!A281</f>
        <v>5888</v>
      </c>
      <c r="B279" s="291" t="str">
        <f>'A) Base RI'!B281</f>
        <v>Saint-Légier-La Chiésaz</v>
      </c>
      <c r="C279" s="95">
        <f>'B) D RI'!U281</f>
        <v>337320.4595902646</v>
      </c>
      <c r="D279" s="110">
        <f>'E) Part. coh. soc.'!G285/C279</f>
        <v>23.083071670734103</v>
      </c>
      <c r="E279" s="136">
        <f>'H) Péréquation directe'!I290/C279</f>
        <v>13.776819092786411</v>
      </c>
      <c r="F279" s="110">
        <f>+'I) Dépenses thématiques'!O279/'K) Plafonnement aide'!C279</f>
        <v>-0.61698780330663983</v>
      </c>
      <c r="G279" s="136">
        <f t="shared" si="17"/>
        <v>36.242902960213868</v>
      </c>
      <c r="H279" s="110">
        <f t="shared" si="18"/>
        <v>36.859890763520511</v>
      </c>
      <c r="I279" s="136">
        <f t="shared" si="19"/>
        <v>0</v>
      </c>
      <c r="J279" s="55">
        <f t="shared" si="20"/>
        <v>0</v>
      </c>
      <c r="K279" s="36"/>
    </row>
    <row r="280" spans="1:11" x14ac:dyDescent="0.25">
      <c r="A280" s="49">
        <f>'A) Base RI'!A282</f>
        <v>5889</v>
      </c>
      <c r="B280" s="291" t="str">
        <f>'A) Base RI'!B282</f>
        <v>La Tour-de-Peilz</v>
      </c>
      <c r="C280" s="95">
        <f>'B) D RI'!U282</f>
        <v>691108.44187203015</v>
      </c>
      <c r="D280" s="110">
        <f>'E) Part. coh. soc.'!G286/C280</f>
        <v>21.131559138219199</v>
      </c>
      <c r="E280" s="136">
        <f>'H) Péréquation directe'!I291/C280</f>
        <v>9.9125125334190543</v>
      </c>
      <c r="F280" s="110">
        <f>+'I) Dépenses thématiques'!O280/'K) Plafonnement aide'!C280</f>
        <v>0</v>
      </c>
      <c r="G280" s="136">
        <f t="shared" si="17"/>
        <v>31.044071671638253</v>
      </c>
      <c r="H280" s="110">
        <f t="shared" si="18"/>
        <v>31.044071671638253</v>
      </c>
      <c r="I280" s="136">
        <f t="shared" si="19"/>
        <v>0</v>
      </c>
      <c r="J280" s="55">
        <f t="shared" si="20"/>
        <v>0</v>
      </c>
      <c r="K280" s="36"/>
    </row>
    <row r="281" spans="1:11" x14ac:dyDescent="0.25">
      <c r="A281" s="49">
        <f>'A) Base RI'!A283</f>
        <v>5890</v>
      </c>
      <c r="B281" s="291" t="str">
        <f>'A) Base RI'!B283</f>
        <v>Vevey</v>
      </c>
      <c r="C281" s="95">
        <f>'B) D RI'!U283</f>
        <v>964973.50807811751</v>
      </c>
      <c r="D281" s="110">
        <f>'E) Part. coh. soc.'!G287/C281</f>
        <v>17.918445015246871</v>
      </c>
      <c r="E281" s="136">
        <f>'H) Péréquation directe'!I292/C281</f>
        <v>4.1410986345796825</v>
      </c>
      <c r="F281" s="110">
        <f>+'I) Dépenses thématiques'!O281/'K) Plafonnement aide'!C281</f>
        <v>-2.8080791071476425</v>
      </c>
      <c r="G281" s="136">
        <f t="shared" si="17"/>
        <v>19.25146454267891</v>
      </c>
      <c r="H281" s="110">
        <f t="shared" si="18"/>
        <v>22.059543649826551</v>
      </c>
      <c r="I281" s="136">
        <f t="shared" si="19"/>
        <v>0</v>
      </c>
      <c r="J281" s="55">
        <f t="shared" si="20"/>
        <v>0</v>
      </c>
      <c r="K281" s="36"/>
    </row>
    <row r="282" spans="1:11" x14ac:dyDescent="0.25">
      <c r="A282" s="49">
        <f>'A) Base RI'!A284</f>
        <v>5891</v>
      </c>
      <c r="B282" s="291" t="str">
        <f>'A) Base RI'!B284</f>
        <v>Veytaux</v>
      </c>
      <c r="C282" s="95">
        <f>'B) D RI'!U284</f>
        <v>37035.518505817468</v>
      </c>
      <c r="D282" s="110">
        <f>'E) Part. coh. soc.'!G288/C282</f>
        <v>18.320618492440001</v>
      </c>
      <c r="E282" s="136">
        <f>'H) Péréquation directe'!I293/C282</f>
        <v>13.631490605603668</v>
      </c>
      <c r="F282" s="110">
        <f>+'I) Dépenses thématiques'!O282/'K) Plafonnement aide'!C282</f>
        <v>-23.047550434583908</v>
      </c>
      <c r="G282" s="136">
        <f t="shared" si="17"/>
        <v>8.9045586634597633</v>
      </c>
      <c r="H282" s="110">
        <f t="shared" si="18"/>
        <v>31.952109098043671</v>
      </c>
      <c r="I282" s="136">
        <f t="shared" si="19"/>
        <v>0</v>
      </c>
      <c r="J282" s="55">
        <f t="shared" si="20"/>
        <v>0</v>
      </c>
      <c r="K282" s="36"/>
    </row>
    <row r="283" spans="1:11" x14ac:dyDescent="0.25">
      <c r="A283" s="49">
        <f>'A) Base RI'!A285</f>
        <v>5902</v>
      </c>
      <c r="B283" s="291" t="str">
        <f>'A) Base RI'!B285</f>
        <v>Belmont-sur-Yverdon</v>
      </c>
      <c r="C283" s="95">
        <f>'B) D RI'!U285</f>
        <v>10774.45016912473</v>
      </c>
      <c r="D283" s="110">
        <f>'E) Part. coh. soc.'!G289/C283</f>
        <v>15.332948696953826</v>
      </c>
      <c r="E283" s="136">
        <f>'H) Péréquation directe'!I294/C283</f>
        <v>1.6784832896578334</v>
      </c>
      <c r="F283" s="110">
        <f>+'I) Dépenses thématiques'!O283/'K) Plafonnement aide'!C283</f>
        <v>-0.83417266175516169</v>
      </c>
      <c r="G283" s="136">
        <f t="shared" si="17"/>
        <v>16.177259324856497</v>
      </c>
      <c r="H283" s="110">
        <f t="shared" si="18"/>
        <v>17.011431986611658</v>
      </c>
      <c r="I283" s="136">
        <f t="shared" si="19"/>
        <v>0</v>
      </c>
      <c r="J283" s="55">
        <f t="shared" si="20"/>
        <v>0</v>
      </c>
      <c r="K283" s="36"/>
    </row>
    <row r="284" spans="1:11" x14ac:dyDescent="0.25">
      <c r="A284" s="49">
        <f>'A) Base RI'!A286</f>
        <v>5903</v>
      </c>
      <c r="B284" s="291" t="str">
        <f>'A) Base RI'!B286</f>
        <v>Bioley-Magnoux</v>
      </c>
      <c r="C284" s="95">
        <f>'B) D RI'!U286</f>
        <v>6472.6316948302874</v>
      </c>
      <c r="D284" s="110">
        <f>'E) Part. coh. soc.'!G290/C284</f>
        <v>16.491053368039481</v>
      </c>
      <c r="E284" s="136">
        <f>'H) Péréquation directe'!I295/C284</f>
        <v>1.8101276766889283</v>
      </c>
      <c r="F284" s="110">
        <f>+'I) Dépenses thématiques'!O284/'K) Plafonnement aide'!C284</f>
        <v>-31.290328136600142</v>
      </c>
      <c r="G284" s="136">
        <f t="shared" si="17"/>
        <v>-12.989147091871732</v>
      </c>
      <c r="H284" s="110">
        <f t="shared" si="18"/>
        <v>18.301181044728409</v>
      </c>
      <c r="I284" s="136">
        <f t="shared" si="19"/>
        <v>0</v>
      </c>
      <c r="J284" s="55">
        <f t="shared" si="20"/>
        <v>0</v>
      </c>
      <c r="K284" s="36"/>
    </row>
    <row r="285" spans="1:11" x14ac:dyDescent="0.25">
      <c r="A285" s="49">
        <f>'A) Base RI'!A287</f>
        <v>5904</v>
      </c>
      <c r="B285" s="291" t="str">
        <f>'A) Base RI'!B287</f>
        <v>Chamblon</v>
      </c>
      <c r="C285" s="95">
        <f>'B) D RI'!U287</f>
        <v>21968.958276290676</v>
      </c>
      <c r="D285" s="110">
        <f>'E) Part. coh. soc.'!G291/C285</f>
        <v>16.536313902873992</v>
      </c>
      <c r="E285" s="136">
        <f>'H) Péréquation directe'!I296/C285</f>
        <v>14.312841861546515</v>
      </c>
      <c r="F285" s="110">
        <f>+'I) Dépenses thématiques'!O285/'K) Plafonnement aide'!C285</f>
        <v>0</v>
      </c>
      <c r="G285" s="136">
        <f t="shared" si="17"/>
        <v>30.849155764420509</v>
      </c>
      <c r="H285" s="110">
        <f t="shared" si="18"/>
        <v>30.849155764420509</v>
      </c>
      <c r="I285" s="136">
        <f t="shared" si="19"/>
        <v>0</v>
      </c>
      <c r="J285" s="55">
        <f t="shared" si="20"/>
        <v>0</v>
      </c>
      <c r="K285" s="36"/>
    </row>
    <row r="286" spans="1:11" x14ac:dyDescent="0.25">
      <c r="A286" s="49">
        <f>'A) Base RI'!A288</f>
        <v>5905</v>
      </c>
      <c r="B286" s="291" t="str">
        <f>'A) Base RI'!B288</f>
        <v>Champvent</v>
      </c>
      <c r="C286" s="95">
        <f>'B) D RI'!U288</f>
        <v>23321.773448973479</v>
      </c>
      <c r="D286" s="110">
        <f>'E) Part. coh. soc.'!G292/C286</f>
        <v>22.905390191868243</v>
      </c>
      <c r="E286" s="136">
        <f>'H) Péréquation directe'!I297/C286</f>
        <v>8.7917890028041956</v>
      </c>
      <c r="F286" s="110">
        <f>+'I) Dépenses thématiques'!O286/'K) Plafonnement aide'!C286</f>
        <v>-1.2762045565159175</v>
      </c>
      <c r="G286" s="136">
        <f t="shared" si="17"/>
        <v>30.420974638156519</v>
      </c>
      <c r="H286" s="110">
        <f t="shared" si="18"/>
        <v>31.697179194672437</v>
      </c>
      <c r="I286" s="136">
        <f t="shared" si="19"/>
        <v>0</v>
      </c>
      <c r="J286" s="55">
        <f t="shared" si="20"/>
        <v>0</v>
      </c>
      <c r="K286" s="36"/>
    </row>
    <row r="287" spans="1:11" x14ac:dyDescent="0.25">
      <c r="A287" s="49">
        <f>'A) Base RI'!A289</f>
        <v>5907</v>
      </c>
      <c r="B287" s="291" t="str">
        <f>'A) Base RI'!B289</f>
        <v>Chavannes-le-Chêne</v>
      </c>
      <c r="C287" s="95">
        <f>'B) D RI'!U289</f>
        <v>9479.6278585348446</v>
      </c>
      <c r="D287" s="110">
        <f>'E) Part. coh. soc.'!G293/C287</f>
        <v>15.914026887174195</v>
      </c>
      <c r="E287" s="136">
        <f>'H) Péréquation directe'!I298/C287</f>
        <v>3.2965856208614968</v>
      </c>
      <c r="F287" s="110">
        <f>+'I) Dépenses thématiques'!O287/'K) Plafonnement aide'!C287</f>
        <v>-8.2739855173206482</v>
      </c>
      <c r="G287" s="136">
        <f t="shared" si="17"/>
        <v>10.936626990715043</v>
      </c>
      <c r="H287" s="110">
        <f t="shared" si="18"/>
        <v>19.210612508035691</v>
      </c>
      <c r="I287" s="136">
        <f t="shared" si="19"/>
        <v>0</v>
      </c>
      <c r="J287" s="55">
        <f t="shared" si="20"/>
        <v>0</v>
      </c>
      <c r="K287" s="36"/>
    </row>
    <row r="288" spans="1:11" x14ac:dyDescent="0.25">
      <c r="A288" s="49">
        <f>'A) Base RI'!A290</f>
        <v>5908</v>
      </c>
      <c r="B288" s="291" t="str">
        <f>'A) Base RI'!B290</f>
        <v>Chêne-Pâquier</v>
      </c>
      <c r="C288" s="95">
        <f>'B) D RI'!U290</f>
        <v>3375.521749976027</v>
      </c>
      <c r="D288" s="110">
        <f>'E) Part. coh. soc.'!G294/C288</f>
        <v>16.024997266931667</v>
      </c>
      <c r="E288" s="136">
        <f>'H) Péréquation directe'!I299/C288</f>
        <v>-12.78252347175048</v>
      </c>
      <c r="F288" s="110">
        <f>+'I) Dépenses thématiques'!O288/'K) Plafonnement aide'!C288</f>
        <v>-6.8704081086356839</v>
      </c>
      <c r="G288" s="136">
        <f t="shared" si="17"/>
        <v>-3.6279343134544968</v>
      </c>
      <c r="H288" s="110">
        <f t="shared" si="18"/>
        <v>3.2424737951811871</v>
      </c>
      <c r="I288" s="136">
        <f t="shared" si="19"/>
        <v>0</v>
      </c>
      <c r="J288" s="55">
        <f t="shared" si="20"/>
        <v>0</v>
      </c>
      <c r="K288" s="36"/>
    </row>
    <row r="289" spans="1:11" x14ac:dyDescent="0.25">
      <c r="A289" s="49">
        <f>'A) Base RI'!A291</f>
        <v>5909</v>
      </c>
      <c r="B289" s="291" t="str">
        <f>'A) Base RI'!B291</f>
        <v>Cheseaux-Noréaz</v>
      </c>
      <c r="C289" s="95">
        <f>'B) D RI'!U291</f>
        <v>32341.35221867514</v>
      </c>
      <c r="D289" s="110">
        <f>'E) Part. coh. soc.'!G295/C289</f>
        <v>18.782840007793109</v>
      </c>
      <c r="E289" s="136">
        <f>'H) Péréquation directe'!I300/C289</f>
        <v>16.228854715326968</v>
      </c>
      <c r="F289" s="110">
        <f>+'I) Dépenses thématiques'!O289/'K) Plafonnement aide'!C289</f>
        <v>-3.270767482926181</v>
      </c>
      <c r="G289" s="136">
        <f t="shared" si="17"/>
        <v>31.740927240193891</v>
      </c>
      <c r="H289" s="110">
        <f t="shared" si="18"/>
        <v>35.011694723120073</v>
      </c>
      <c r="I289" s="136">
        <f t="shared" si="19"/>
        <v>0</v>
      </c>
      <c r="J289" s="55">
        <f t="shared" si="20"/>
        <v>0</v>
      </c>
      <c r="K289" s="36"/>
    </row>
    <row r="290" spans="1:11" x14ac:dyDescent="0.25">
      <c r="A290" s="49">
        <f>'A) Base RI'!A292</f>
        <v>5910</v>
      </c>
      <c r="B290" s="291" t="str">
        <f>'A) Base RI'!B292</f>
        <v>Cronay</v>
      </c>
      <c r="C290" s="95">
        <f>'B) D RI'!U292</f>
        <v>10197.986044276999</v>
      </c>
      <c r="D290" s="110">
        <f>'E) Part. coh. soc.'!G296/C290</f>
        <v>22.86659060099576</v>
      </c>
      <c r="E290" s="136">
        <f>'H) Péréquation directe'!I301/C290</f>
        <v>-4.3572242696682846</v>
      </c>
      <c r="F290" s="110">
        <f>+'I) Dépenses thématiques'!O290/'K) Plafonnement aide'!C290</f>
        <v>-9.2288665509741019E-2</v>
      </c>
      <c r="G290" s="136">
        <f t="shared" si="17"/>
        <v>18.417077665817736</v>
      </c>
      <c r="H290" s="110">
        <f t="shared" si="18"/>
        <v>18.509366331327477</v>
      </c>
      <c r="I290" s="136">
        <f t="shared" si="19"/>
        <v>0</v>
      </c>
      <c r="J290" s="55">
        <f t="shared" si="20"/>
        <v>0</v>
      </c>
      <c r="K290" s="36"/>
    </row>
    <row r="291" spans="1:11" x14ac:dyDescent="0.25">
      <c r="A291" s="49">
        <f>'A) Base RI'!A293</f>
        <v>5911</v>
      </c>
      <c r="B291" s="291" t="str">
        <f>'A) Base RI'!B293</f>
        <v>Cuarny</v>
      </c>
      <c r="C291" s="95">
        <f>'B) D RI'!U293</f>
        <v>7835.2176584022027</v>
      </c>
      <c r="D291" s="110">
        <f>'E) Part. coh. soc.'!G297/C291</f>
        <v>14.356386164348914</v>
      </c>
      <c r="E291" s="136">
        <f>'H) Péréquation directe'!I302/C291</f>
        <v>5.8819239426203573</v>
      </c>
      <c r="F291" s="110">
        <f>+'I) Dépenses thématiques'!O291/'K) Plafonnement aide'!C291</f>
        <v>-1.7922797344276122</v>
      </c>
      <c r="G291" s="136">
        <f t="shared" si="17"/>
        <v>18.44603037254166</v>
      </c>
      <c r="H291" s="110">
        <f t="shared" si="18"/>
        <v>20.238310106969273</v>
      </c>
      <c r="I291" s="136">
        <f t="shared" si="19"/>
        <v>0</v>
      </c>
      <c r="J291" s="55">
        <f t="shared" si="20"/>
        <v>0</v>
      </c>
      <c r="K291" s="36"/>
    </row>
    <row r="292" spans="1:11" x14ac:dyDescent="0.25">
      <c r="A292" s="49">
        <f>'A) Base RI'!A294</f>
        <v>5912</v>
      </c>
      <c r="B292" s="291" t="str">
        <f>'A) Base RI'!B294</f>
        <v>Démoret</v>
      </c>
      <c r="C292" s="95">
        <f>'B) D RI'!U294</f>
        <v>3963.3385142217253</v>
      </c>
      <c r="D292" s="110">
        <f>'E) Part. coh. soc.'!G298/C292</f>
        <v>15.332948696953828</v>
      </c>
      <c r="E292" s="136">
        <f>'H) Péréquation directe'!I303/C292</f>
        <v>-6.2951483879253045</v>
      </c>
      <c r="F292" s="110">
        <f>+'I) Dépenses thématiques'!O292/'K) Plafonnement aide'!C292</f>
        <v>-4.1961576130408371</v>
      </c>
      <c r="G292" s="136">
        <f t="shared" si="17"/>
        <v>4.8416426959876855</v>
      </c>
      <c r="H292" s="110">
        <f t="shared" si="18"/>
        <v>9.0378003090285226</v>
      </c>
      <c r="I292" s="136">
        <f t="shared" si="19"/>
        <v>0</v>
      </c>
      <c r="J292" s="55">
        <f t="shared" si="20"/>
        <v>0</v>
      </c>
      <c r="K292" s="36"/>
    </row>
    <row r="293" spans="1:11" x14ac:dyDescent="0.25">
      <c r="A293" s="49">
        <f>'A) Base RI'!A295</f>
        <v>5913</v>
      </c>
      <c r="B293" s="291" t="str">
        <f>'A) Base RI'!B295</f>
        <v>Donneloye</v>
      </c>
      <c r="C293" s="95">
        <f>'B) D RI'!U295</f>
        <v>21560.051293940251</v>
      </c>
      <c r="D293" s="110">
        <f>'E) Part. coh. soc.'!G299/C293</f>
        <v>19.184022790795922</v>
      </c>
      <c r="E293" s="136">
        <f>'H) Péréquation directe'!I304/C293</f>
        <v>-1.0526060091140206</v>
      </c>
      <c r="F293" s="110">
        <f>+'I) Dépenses thématiques'!O293/'K) Plafonnement aide'!C293</f>
        <v>-2.4960548296985747</v>
      </c>
      <c r="G293" s="136">
        <f t="shared" si="17"/>
        <v>15.635361951983324</v>
      </c>
      <c r="H293" s="110">
        <f t="shared" si="18"/>
        <v>18.131416781681899</v>
      </c>
      <c r="I293" s="136">
        <f t="shared" si="19"/>
        <v>0</v>
      </c>
      <c r="J293" s="55">
        <f t="shared" si="20"/>
        <v>0</v>
      </c>
      <c r="K293" s="36"/>
    </row>
    <row r="294" spans="1:11" x14ac:dyDescent="0.25">
      <c r="A294" s="49">
        <f>'A) Base RI'!A296</f>
        <v>5914</v>
      </c>
      <c r="B294" s="291" t="str">
        <f>'A) Base RI'!B296</f>
        <v>Ependes</v>
      </c>
      <c r="C294" s="95">
        <f>'B) D RI'!U296</f>
        <v>10120.059426352072</v>
      </c>
      <c r="D294" s="110">
        <f>'E) Part. coh. soc.'!G300/C294</f>
        <v>16.443356702141866</v>
      </c>
      <c r="E294" s="136">
        <f>'H) Péréquation directe'!I305/C294</f>
        <v>1.3863781409210874</v>
      </c>
      <c r="F294" s="110">
        <f>+'I) Dépenses thématiques'!O294/'K) Plafonnement aide'!C294</f>
        <v>-4.4821676460458724</v>
      </c>
      <c r="G294" s="136">
        <f t="shared" si="17"/>
        <v>13.347567197017081</v>
      </c>
      <c r="H294" s="110">
        <f t="shared" si="18"/>
        <v>17.829734843062955</v>
      </c>
      <c r="I294" s="136">
        <f t="shared" si="19"/>
        <v>0</v>
      </c>
      <c r="J294" s="55">
        <f t="shared" si="20"/>
        <v>0</v>
      </c>
      <c r="K294" s="36"/>
    </row>
    <row r="295" spans="1:11" x14ac:dyDescent="0.25">
      <c r="A295" s="49">
        <f>'A) Base RI'!A297</f>
        <v>5919</v>
      </c>
      <c r="B295" s="291" t="str">
        <f>'A) Base RI'!B297</f>
        <v>Mathod</v>
      </c>
      <c r="C295" s="95">
        <f>'B) D RI'!U297</f>
        <v>17424.35283843397</v>
      </c>
      <c r="D295" s="110">
        <f>'E) Part. coh. soc.'!G301/C295</f>
        <v>17.092560103144546</v>
      </c>
      <c r="E295" s="136">
        <f>'H) Péréquation directe'!I306/C295</f>
        <v>3.3079144249331263</v>
      </c>
      <c r="F295" s="110">
        <f>+'I) Dépenses thématiques'!O295/'K) Plafonnement aide'!C295</f>
        <v>-5.0611080109477973</v>
      </c>
      <c r="G295" s="136">
        <f t="shared" si="17"/>
        <v>15.339366517129875</v>
      </c>
      <c r="H295" s="110">
        <f t="shared" si="18"/>
        <v>20.400474528077673</v>
      </c>
      <c r="I295" s="136">
        <f t="shared" si="19"/>
        <v>0</v>
      </c>
      <c r="J295" s="55">
        <f t="shared" si="20"/>
        <v>0</v>
      </c>
      <c r="K295" s="36"/>
    </row>
    <row r="296" spans="1:11" x14ac:dyDescent="0.25">
      <c r="A296" s="49">
        <f>'A) Base RI'!A298</f>
        <v>5921</v>
      </c>
      <c r="B296" s="291" t="str">
        <f>'A) Base RI'!B298</f>
        <v>Molondin</v>
      </c>
      <c r="C296" s="95">
        <f>'B) D RI'!U298</f>
        <v>5647.9358760030909</v>
      </c>
      <c r="D296" s="110">
        <f>'E) Part. coh. soc.'!G302/C296</f>
        <v>19.158266560741161</v>
      </c>
      <c r="E296" s="136">
        <f>'H) Péréquation directe'!I307/C296</f>
        <v>-10.421694466166775</v>
      </c>
      <c r="F296" s="110">
        <f>+'I) Dépenses thématiques'!O296/'K) Plafonnement aide'!C296</f>
        <v>-6.3436441965339219</v>
      </c>
      <c r="G296" s="136">
        <f t="shared" si="17"/>
        <v>2.3929278980404645</v>
      </c>
      <c r="H296" s="110">
        <f t="shared" si="18"/>
        <v>8.7365720945743863</v>
      </c>
      <c r="I296" s="136">
        <f t="shared" si="19"/>
        <v>0</v>
      </c>
      <c r="J296" s="55">
        <f t="shared" si="20"/>
        <v>0</v>
      </c>
      <c r="K296" s="36"/>
    </row>
    <row r="297" spans="1:11" x14ac:dyDescent="0.25">
      <c r="A297" s="49">
        <f>'A) Base RI'!A299</f>
        <v>5922</v>
      </c>
      <c r="B297" s="291" t="str">
        <f>'A) Base RI'!B299</f>
        <v>Montagny-près-Yverdon</v>
      </c>
      <c r="C297" s="95">
        <f>'B) D RI'!U299</f>
        <v>35984.463355398897</v>
      </c>
      <c r="D297" s="110">
        <f>'E) Part. coh. soc.'!G303/C297</f>
        <v>20.447130458063754</v>
      </c>
      <c r="E297" s="136">
        <f>'H) Péréquation directe'!I308/C297</f>
        <v>17.04080092081125</v>
      </c>
      <c r="F297" s="110">
        <f>+'I) Dépenses thématiques'!O297/'K) Plafonnement aide'!C297</f>
        <v>-5.6777303347120816</v>
      </c>
      <c r="G297" s="136">
        <f t="shared" si="17"/>
        <v>31.810201044162923</v>
      </c>
      <c r="H297" s="110">
        <f t="shared" si="18"/>
        <v>37.487931378875004</v>
      </c>
      <c r="I297" s="136">
        <f t="shared" si="19"/>
        <v>0</v>
      </c>
      <c r="J297" s="55">
        <f t="shared" si="20"/>
        <v>0</v>
      </c>
      <c r="K297" s="36"/>
    </row>
    <row r="298" spans="1:11" x14ac:dyDescent="0.25">
      <c r="A298" s="49">
        <f>'A) Base RI'!A300</f>
        <v>5923</v>
      </c>
      <c r="B298" s="291" t="str">
        <f>'A) Base RI'!B300</f>
        <v>Oppens</v>
      </c>
      <c r="C298" s="95">
        <f>'B) D RI'!U300</f>
        <v>5389.7298551743424</v>
      </c>
      <c r="D298" s="110">
        <f>'E) Part. coh. soc.'!G304/C298</f>
        <v>17.982643650827921</v>
      </c>
      <c r="E298" s="136">
        <f>'H) Péréquation directe'!I309/C298</f>
        <v>-3.8159512452353752</v>
      </c>
      <c r="F298" s="110">
        <f>+'I) Dépenses thématiques'!O298/'K) Plafonnement aide'!C298</f>
        <v>-5.5254685805097337</v>
      </c>
      <c r="G298" s="136">
        <f t="shared" si="17"/>
        <v>8.6412238250828111</v>
      </c>
      <c r="H298" s="110">
        <f t="shared" si="18"/>
        <v>14.166692405592546</v>
      </c>
      <c r="I298" s="136">
        <f t="shared" si="19"/>
        <v>0</v>
      </c>
      <c r="J298" s="55">
        <f t="shared" si="20"/>
        <v>0</v>
      </c>
      <c r="K298" s="36"/>
    </row>
    <row r="299" spans="1:11" x14ac:dyDescent="0.25">
      <c r="A299" s="49">
        <f>'A) Base RI'!A301</f>
        <v>5924</v>
      </c>
      <c r="B299" s="291" t="str">
        <f>'A) Base RI'!B301</f>
        <v>Orges</v>
      </c>
      <c r="C299" s="95">
        <f>'B) D RI'!U301</f>
        <v>11865.812404035813</v>
      </c>
      <c r="D299" s="110">
        <f>'E) Part. coh. soc.'!G305/C299</f>
        <v>19.359909799402065</v>
      </c>
      <c r="E299" s="136">
        <f>'H) Péréquation directe'!I310/C299</f>
        <v>9.9268224900268205</v>
      </c>
      <c r="F299" s="110">
        <f>+'I) Dépenses thématiques'!O299/'K) Plafonnement aide'!C299</f>
        <v>0</v>
      </c>
      <c r="G299" s="136">
        <f t="shared" si="17"/>
        <v>29.286732289428883</v>
      </c>
      <c r="H299" s="110">
        <f t="shared" si="18"/>
        <v>29.286732289428883</v>
      </c>
      <c r="I299" s="136">
        <f t="shared" si="19"/>
        <v>0</v>
      </c>
      <c r="J299" s="55">
        <f t="shared" si="20"/>
        <v>0</v>
      </c>
      <c r="K299" s="36"/>
    </row>
    <row r="300" spans="1:11" x14ac:dyDescent="0.25">
      <c r="A300" s="49">
        <f>'A) Base RI'!A302</f>
        <v>5925</v>
      </c>
      <c r="B300" s="291" t="str">
        <f>'A) Base RI'!B302</f>
        <v>Orzens</v>
      </c>
      <c r="C300" s="95">
        <f>'B) D RI'!U302</f>
        <v>5342.7421425482316</v>
      </c>
      <c r="D300" s="110">
        <f>'E) Part. coh. soc.'!G306/C300</f>
        <v>33.181192624091693</v>
      </c>
      <c r="E300" s="136">
        <f>'H) Péréquation directe'!I311/C300</f>
        <v>-4.7302354335835828</v>
      </c>
      <c r="F300" s="110">
        <f>+'I) Dépenses thématiques'!O300/'K) Plafonnement aide'!C300</f>
        <v>-7.8236245516881189</v>
      </c>
      <c r="G300" s="136">
        <f t="shared" si="17"/>
        <v>20.62733263881999</v>
      </c>
      <c r="H300" s="110">
        <f t="shared" si="18"/>
        <v>28.45095719050811</v>
      </c>
      <c r="I300" s="136">
        <f t="shared" si="19"/>
        <v>0</v>
      </c>
      <c r="J300" s="55">
        <f t="shared" si="20"/>
        <v>0</v>
      </c>
      <c r="K300" s="36"/>
    </row>
    <row r="301" spans="1:11" x14ac:dyDescent="0.25">
      <c r="A301" s="49">
        <f>'A) Base RI'!A303</f>
        <v>5926</v>
      </c>
      <c r="B301" s="291" t="str">
        <f>'A) Base RI'!B303</f>
        <v>Pomy</v>
      </c>
      <c r="C301" s="95">
        <f>'B) D RI'!U303</f>
        <v>27482.214843455455</v>
      </c>
      <c r="D301" s="110">
        <f>'E) Part. coh. soc.'!G307/C301</f>
        <v>17.051676254723734</v>
      </c>
      <c r="E301" s="136">
        <f>'H) Péréquation directe'!I312/C301</f>
        <v>9.5083261861671371</v>
      </c>
      <c r="F301" s="110">
        <f>+'I) Dépenses thématiques'!O301/'K) Plafonnement aide'!C301</f>
        <v>-1.2282102579078349</v>
      </c>
      <c r="G301" s="136">
        <f t="shared" si="17"/>
        <v>25.331792182983033</v>
      </c>
      <c r="H301" s="110">
        <f t="shared" si="18"/>
        <v>26.560002440890869</v>
      </c>
      <c r="I301" s="136">
        <f t="shared" si="19"/>
        <v>0</v>
      </c>
      <c r="J301" s="55">
        <f t="shared" si="20"/>
        <v>0</v>
      </c>
      <c r="K301" s="36"/>
    </row>
    <row r="302" spans="1:11" x14ac:dyDescent="0.25">
      <c r="A302" s="49">
        <f>'A) Base RI'!A304</f>
        <v>5928</v>
      </c>
      <c r="B302" s="291" t="str">
        <f>'A) Base RI'!B304</f>
        <v>Rovray</v>
      </c>
      <c r="C302" s="95">
        <f>'B) D RI'!U304</f>
        <v>6003.0944827326612</v>
      </c>
      <c r="D302" s="110">
        <f>'E) Part. coh. soc.'!G308/C302</f>
        <v>20.113708034084205</v>
      </c>
      <c r="E302" s="136">
        <f>'H) Péréquation directe'!I313/C302</f>
        <v>6.9901731802501699</v>
      </c>
      <c r="F302" s="110">
        <f>+'I) Dépenses thématiques'!O302/'K) Plafonnement aide'!C302</f>
        <v>-0.38699433204398048</v>
      </c>
      <c r="G302" s="136">
        <f t="shared" si="17"/>
        <v>26.716886882290396</v>
      </c>
      <c r="H302" s="110">
        <f t="shared" si="18"/>
        <v>27.103881214334375</v>
      </c>
      <c r="I302" s="136">
        <f t="shared" si="19"/>
        <v>0</v>
      </c>
      <c r="J302" s="55">
        <f t="shared" si="20"/>
        <v>0</v>
      </c>
      <c r="K302" s="36"/>
    </row>
    <row r="303" spans="1:11" x14ac:dyDescent="0.25">
      <c r="A303" s="49">
        <f>'A) Base RI'!A305</f>
        <v>5929</v>
      </c>
      <c r="B303" s="291" t="str">
        <f>'A) Base RI'!B305</f>
        <v>Suchy</v>
      </c>
      <c r="C303" s="95">
        <f>'B) D RI'!U305</f>
        <v>17215.501466609803</v>
      </c>
      <c r="D303" s="110">
        <f>'E) Part. coh. soc.'!G309/C303</f>
        <v>21.487037220339932</v>
      </c>
      <c r="E303" s="136">
        <f>'H) Péréquation directe'!I314/C303</f>
        <v>0.94508404979489624</v>
      </c>
      <c r="F303" s="110">
        <f>+'I) Dépenses thématiques'!O303/'K) Plafonnement aide'!C303</f>
        <v>-1.5114186191791008</v>
      </c>
      <c r="G303" s="136">
        <f t="shared" si="17"/>
        <v>20.920702650955729</v>
      </c>
      <c r="H303" s="110">
        <f t="shared" si="18"/>
        <v>22.432121270134829</v>
      </c>
      <c r="I303" s="136">
        <f t="shared" si="19"/>
        <v>0</v>
      </c>
      <c r="J303" s="55">
        <f t="shared" si="20"/>
        <v>0</v>
      </c>
      <c r="K303" s="36"/>
    </row>
    <row r="304" spans="1:11" x14ac:dyDescent="0.25">
      <c r="A304" s="49">
        <f>'A) Base RI'!A306</f>
        <v>5930</v>
      </c>
      <c r="B304" s="291" t="str">
        <f>'A) Base RI'!B306</f>
        <v>Suscévaz</v>
      </c>
      <c r="C304" s="95">
        <f>'B) D RI'!U306</f>
        <v>5858.9969932954782</v>
      </c>
      <c r="D304" s="110">
        <f>'E) Part. coh. soc.'!G310/C304</f>
        <v>15.563483036115569</v>
      </c>
      <c r="E304" s="136">
        <f>'H) Péréquation directe'!I315/C304</f>
        <v>0.95613382764081056</v>
      </c>
      <c r="F304" s="110">
        <f>+'I) Dépenses thématiques'!O304/'K) Plafonnement aide'!C304</f>
        <v>-5.5979474960411979</v>
      </c>
      <c r="G304" s="136">
        <f t="shared" si="17"/>
        <v>10.921669367715182</v>
      </c>
      <c r="H304" s="110">
        <f t="shared" si="18"/>
        <v>16.519616863756379</v>
      </c>
      <c r="I304" s="136">
        <f t="shared" si="19"/>
        <v>0</v>
      </c>
      <c r="J304" s="55">
        <f t="shared" si="20"/>
        <v>0</v>
      </c>
      <c r="K304" s="36"/>
    </row>
    <row r="305" spans="1:13" x14ac:dyDescent="0.25">
      <c r="A305" s="49">
        <f>'A) Base RI'!A307</f>
        <v>5931</v>
      </c>
      <c r="B305" s="291" t="str">
        <f>'A) Base RI'!B307</f>
        <v>Treycovagnes</v>
      </c>
      <c r="C305" s="95">
        <f>'B) D RI'!U307</f>
        <v>12172.811234031555</v>
      </c>
      <c r="D305" s="110">
        <f>'E) Part. coh. soc.'!G311/C305</f>
        <v>17.214704238842209</v>
      </c>
      <c r="E305" s="136">
        <f>'H) Péréquation directe'!I316/C305</f>
        <v>-4.512283319242572</v>
      </c>
      <c r="F305" s="110">
        <f>+'I) Dépenses thématiques'!O305/'K) Plafonnement aide'!C305</f>
        <v>-0.54869306511337212</v>
      </c>
      <c r="G305" s="136">
        <f t="shared" si="17"/>
        <v>12.153727854486265</v>
      </c>
      <c r="H305" s="110">
        <f t="shared" si="18"/>
        <v>12.702420919599637</v>
      </c>
      <c r="I305" s="136">
        <f t="shared" si="19"/>
        <v>0</v>
      </c>
      <c r="J305" s="55">
        <f t="shared" si="20"/>
        <v>0</v>
      </c>
      <c r="K305" s="36"/>
    </row>
    <row r="306" spans="1:13" x14ac:dyDescent="0.25">
      <c r="A306" s="49">
        <f>'A) Base RI'!A308</f>
        <v>5932</v>
      </c>
      <c r="B306" s="291" t="str">
        <f>'A) Base RI'!B308</f>
        <v>Ursins</v>
      </c>
      <c r="C306" s="95">
        <f>'B) D RI'!U308</f>
        <v>8276.7755150217381</v>
      </c>
      <c r="D306" s="110">
        <f>'E) Part. coh. soc.'!G312/C306</f>
        <v>18.143448384637928</v>
      </c>
      <c r="E306" s="136">
        <f>'H) Péréquation directe'!I317/C306</f>
        <v>10.369389138143251</v>
      </c>
      <c r="F306" s="110">
        <f>+'I) Dépenses thématiques'!O306/'K) Plafonnement aide'!C306</f>
        <v>-1.322426003011862</v>
      </c>
      <c r="G306" s="136">
        <f t="shared" si="17"/>
        <v>27.190411519769317</v>
      </c>
      <c r="H306" s="110">
        <f t="shared" si="18"/>
        <v>28.512837522781179</v>
      </c>
      <c r="I306" s="136">
        <f t="shared" si="19"/>
        <v>0</v>
      </c>
      <c r="J306" s="55">
        <f t="shared" si="20"/>
        <v>0</v>
      </c>
      <c r="K306" s="36"/>
    </row>
    <row r="307" spans="1:13" x14ac:dyDescent="0.25">
      <c r="A307" s="49">
        <f>'A) Base RI'!A309</f>
        <v>5933</v>
      </c>
      <c r="B307" s="291" t="str">
        <f>'A) Base RI'!B309</f>
        <v>Valeyres-sous-Montagny</v>
      </c>
      <c r="C307" s="95">
        <f>'B) D RI'!U309</f>
        <v>22088.929559782136</v>
      </c>
      <c r="D307" s="110">
        <f>'E) Part. coh. soc.'!G313/C307</f>
        <v>18.433726614445433</v>
      </c>
      <c r="E307" s="136">
        <f>'H) Péréquation directe'!I318/C307</f>
        <v>5.8631876616560463</v>
      </c>
      <c r="F307" s="110">
        <f>+'I) Dépenses thématiques'!O307/'K) Plafonnement aide'!C307</f>
        <v>-5.1172562904818859</v>
      </c>
      <c r="G307" s="136">
        <f t="shared" si="17"/>
        <v>19.179657985619592</v>
      </c>
      <c r="H307" s="110">
        <f t="shared" si="18"/>
        <v>24.296914276101479</v>
      </c>
      <c r="I307" s="136">
        <f t="shared" si="19"/>
        <v>0</v>
      </c>
      <c r="J307" s="55">
        <f t="shared" si="20"/>
        <v>0</v>
      </c>
      <c r="K307" s="36"/>
    </row>
    <row r="308" spans="1:13" x14ac:dyDescent="0.25">
      <c r="A308" s="49">
        <f>'A) Base RI'!A310</f>
        <v>5934</v>
      </c>
      <c r="B308" s="291" t="str">
        <f>'A) Base RI'!B310</f>
        <v>Valeyres-sous-Ursins</v>
      </c>
      <c r="C308" s="95">
        <f>'B) D RI'!U310</f>
        <v>7547.3165822784813</v>
      </c>
      <c r="D308" s="110">
        <f>'E) Part. coh. soc.'!G314/C308</f>
        <v>17.818491047734181</v>
      </c>
      <c r="E308" s="136">
        <f>'H) Péréquation directe'!I319/C308</f>
        <v>6.4188083388263282</v>
      </c>
      <c r="F308" s="110">
        <f>+'I) Dépenses thématiques'!O308/'K) Plafonnement aide'!C308</f>
        <v>-19.327998231880404</v>
      </c>
      <c r="G308" s="136">
        <f t="shared" si="17"/>
        <v>4.9093011546801044</v>
      </c>
      <c r="H308" s="110">
        <f t="shared" si="18"/>
        <v>24.237299386560508</v>
      </c>
      <c r="I308" s="136">
        <f t="shared" si="19"/>
        <v>0</v>
      </c>
      <c r="J308" s="55">
        <f t="shared" si="20"/>
        <v>0</v>
      </c>
      <c r="K308" s="36"/>
    </row>
    <row r="309" spans="1:13" x14ac:dyDescent="0.25">
      <c r="A309" s="49">
        <f>'A) Base RI'!A311</f>
        <v>5935</v>
      </c>
      <c r="B309" s="291" t="str">
        <f>'A) Base RI'!B311</f>
        <v>Villars-Epeney</v>
      </c>
      <c r="C309" s="95">
        <f>'B) D RI'!U311</f>
        <v>4852.8368333333328</v>
      </c>
      <c r="D309" s="110">
        <f>'E) Part. coh. soc.'!G315/C309</f>
        <v>15.84385092273509</v>
      </c>
      <c r="E309" s="136">
        <f>'H) Péréquation directe'!I320/C309</f>
        <v>17.008178303919674</v>
      </c>
      <c r="F309" s="110">
        <f>+'I) Dépenses thématiques'!O309/'K) Plafonnement aide'!C309</f>
        <v>-0.43004083650118086</v>
      </c>
      <c r="G309" s="136">
        <f t="shared" si="17"/>
        <v>32.421988390153587</v>
      </c>
      <c r="H309" s="110">
        <f t="shared" si="18"/>
        <v>32.852029226654764</v>
      </c>
      <c r="I309" s="136">
        <f t="shared" si="19"/>
        <v>0</v>
      </c>
      <c r="J309" s="55">
        <f t="shared" si="20"/>
        <v>0</v>
      </c>
      <c r="K309" s="36"/>
    </row>
    <row r="310" spans="1:13" x14ac:dyDescent="0.25">
      <c r="A310" s="49">
        <f>'A) Base RI'!A312</f>
        <v>5937</v>
      </c>
      <c r="B310" s="291" t="str">
        <f>'A) Base RI'!B312</f>
        <v>Vugelles-La Mothe</v>
      </c>
      <c r="C310" s="95">
        <f>'B) D RI'!U312</f>
        <v>3013.5893429156713</v>
      </c>
      <c r="D310" s="110">
        <f>'E) Part. coh. soc.'!G316/C310</f>
        <v>21.049074233598333</v>
      </c>
      <c r="E310" s="136">
        <f>'H) Péréquation directe'!I321/C310</f>
        <v>-6.5000697922624742</v>
      </c>
      <c r="F310" s="110">
        <f>+'I) Dépenses thématiques'!O310/'K) Plafonnement aide'!C310</f>
        <v>-9.7309744763675656</v>
      </c>
      <c r="G310" s="136">
        <f t="shared" si="17"/>
        <v>4.8180299649682929</v>
      </c>
      <c r="H310" s="110">
        <f t="shared" si="18"/>
        <v>14.549004441335859</v>
      </c>
      <c r="I310" s="136">
        <f t="shared" si="19"/>
        <v>0</v>
      </c>
      <c r="J310" s="55">
        <f t="shared" si="20"/>
        <v>0</v>
      </c>
      <c r="K310" s="36"/>
    </row>
    <row r="311" spans="1:13" x14ac:dyDescent="0.25">
      <c r="A311" s="49">
        <f>'A) Base RI'!A313</f>
        <v>5938</v>
      </c>
      <c r="B311" s="291" t="str">
        <f>'A) Base RI'!B313</f>
        <v>Yverdon-les-Bains</v>
      </c>
      <c r="C311" s="95">
        <f>'B) D RI'!U313</f>
        <v>781659.36856013921</v>
      </c>
      <c r="D311" s="110">
        <f>'E) Part. coh. soc.'!G317/C311</f>
        <v>19.412491178321346</v>
      </c>
      <c r="E311" s="136">
        <f>'H) Péréquation directe'!I322/C311</f>
        <v>-31.370627048990304</v>
      </c>
      <c r="F311" s="110">
        <f>+'I) Dépenses thématiques'!O311/'K) Plafonnement aide'!C311</f>
        <v>-12.459770160268816</v>
      </c>
      <c r="G311" s="136">
        <f t="shared" si="17"/>
        <v>-24.417906030937772</v>
      </c>
      <c r="H311" s="110">
        <f t="shared" si="18"/>
        <v>-11.958135870668956</v>
      </c>
      <c r="I311" s="136">
        <f t="shared" si="19"/>
        <v>-3.958135870668956</v>
      </c>
      <c r="J311" s="55">
        <f t="shared" si="20"/>
        <v>3093913.9853423331</v>
      </c>
      <c r="K311" s="36"/>
    </row>
    <row r="312" spans="1:13" x14ac:dyDescent="0.25">
      <c r="A312" s="49">
        <f>'A) Base RI'!A314</f>
        <v>5939</v>
      </c>
      <c r="B312" s="291" t="str">
        <f>'A) Base RI'!B314</f>
        <v>Yvonand</v>
      </c>
      <c r="C312" s="95">
        <f>'B) D RI'!U314</f>
        <v>95019.586686348848</v>
      </c>
      <c r="D312" s="110">
        <f>'E) Part. coh. soc.'!G318/C312</f>
        <v>22.219891987499782</v>
      </c>
      <c r="E312" s="136">
        <f>'H) Péréquation directe'!I323/C312</f>
        <v>-5.3111184037802026</v>
      </c>
      <c r="F312" s="110">
        <f>+'I) Dépenses thématiques'!O312/'K) Plafonnement aide'!C312</f>
        <v>-3.4797295857746202</v>
      </c>
      <c r="G312" s="136">
        <f t="shared" si="17"/>
        <v>13.429043997944959</v>
      </c>
      <c r="H312" s="110">
        <f t="shared" si="18"/>
        <v>16.908773583719579</v>
      </c>
      <c r="I312" s="136">
        <f t="shared" si="19"/>
        <v>0</v>
      </c>
      <c r="J312" s="55">
        <f t="shared" si="20"/>
        <v>0</v>
      </c>
      <c r="K312" s="36"/>
    </row>
    <row r="313" spans="1:13" x14ac:dyDescent="0.25">
      <c r="A313" s="30"/>
      <c r="B313" s="297">
        <f>COUNTA(B5:B312)</f>
        <v>308</v>
      </c>
      <c r="C313" s="97">
        <f>'B) D RI'!U315</f>
        <v>37080520.101833388</v>
      </c>
      <c r="D313" s="303">
        <f>'E) Part. coh. soc.'!G319/C313</f>
        <v>22.002714572486809</v>
      </c>
      <c r="E313" s="109">
        <f>'H) Péréquation directe'!I324/C313</f>
        <v>4.571283823561946</v>
      </c>
      <c r="F313" s="303">
        <f>'I) Dépenses thématiques'!P313</f>
        <v>-4.4999999999999982</v>
      </c>
      <c r="G313" s="109">
        <f t="shared" ref="G313" si="21">SUM(D313:F313)</f>
        <v>22.073998396048758</v>
      </c>
      <c r="H313" s="303">
        <f t="shared" ref="H313" si="22">G313-F313</f>
        <v>26.573998396048758</v>
      </c>
      <c r="I313" s="109"/>
      <c r="J313" s="37">
        <f>SUM(J5:J312)</f>
        <v>3095721.5509572192</v>
      </c>
      <c r="L313" s="12"/>
      <c r="M313" s="12"/>
    </row>
    <row r="314" spans="1:13" x14ac:dyDescent="0.25">
      <c r="I314" s="28"/>
    </row>
    <row r="315" spans="1:13" x14ac:dyDescent="0.25">
      <c r="I315" s="28"/>
    </row>
  </sheetData>
  <mergeCells count="9">
    <mergeCell ref="C3:C4"/>
    <mergeCell ref="B3:B4"/>
    <mergeCell ref="A3:A4"/>
    <mergeCell ref="J3:J4"/>
    <mergeCell ref="H3:H4"/>
    <mergeCell ref="G3:G4"/>
    <mergeCell ref="F3:F4"/>
    <mergeCell ref="E3:E4"/>
    <mergeCell ref="D3:D4"/>
  </mergeCells>
  <phoneticPr fontId="24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5">
    <tabColor rgb="FF00B050"/>
  </sheetPr>
  <dimension ref="A1:V319"/>
  <sheetViews>
    <sheetView workbookViewId="0">
      <pane ySplit="5" topLeftCell="A6" activePane="bottomLeft" state="frozen"/>
      <selection pane="bottomLeft"/>
    </sheetView>
  </sheetViews>
  <sheetFormatPr baseColWidth="10" defaultColWidth="10.75" defaultRowHeight="15" x14ac:dyDescent="0.25"/>
  <cols>
    <col min="1" max="1" width="7.25" style="13" customWidth="1"/>
    <col min="2" max="2" width="18" style="13" customWidth="1"/>
    <col min="3" max="3" width="11.125" style="6" customWidth="1"/>
    <col min="4" max="4" width="11.25" style="6" customWidth="1"/>
    <col min="5" max="6" width="11.25" style="6" bestFit="1" customWidth="1"/>
    <col min="7" max="7" width="11" style="6" customWidth="1"/>
    <col min="8" max="8" width="11" style="13" customWidth="1"/>
    <col min="9" max="9" width="9" style="13" bestFit="1" customWidth="1"/>
    <col min="10" max="10" width="12.125" style="13" bestFit="1" customWidth="1"/>
    <col min="11" max="11" width="10" style="13" customWidth="1"/>
    <col min="12" max="12" width="8.875" style="15" bestFit="1" customWidth="1"/>
    <col min="13" max="14" width="10.375" style="15" customWidth="1"/>
    <col min="15" max="15" width="6.75" style="13" customWidth="1"/>
    <col min="16" max="16" width="12.25" style="13" customWidth="1"/>
    <col min="17" max="17" width="12.625" style="13" customWidth="1"/>
    <col min="18" max="18" width="8.25" style="13" customWidth="1"/>
    <col min="19" max="19" width="8.125" style="13" customWidth="1"/>
    <col min="20" max="20" width="9.625" style="13" customWidth="1"/>
    <col min="21" max="21" width="11.25" style="6" bestFit="1" customWidth="1"/>
    <col min="22" max="16384" width="10.75" style="13"/>
  </cols>
  <sheetData>
    <row r="1" spans="1:22" s="43" customFormat="1" ht="21" x14ac:dyDescent="0.25">
      <c r="A1" s="51" t="s">
        <v>125</v>
      </c>
      <c r="B1" s="42"/>
      <c r="C1" s="44"/>
      <c r="D1" s="44"/>
      <c r="E1" s="44"/>
      <c r="F1" s="44"/>
      <c r="G1" s="44"/>
      <c r="H1" s="68"/>
      <c r="I1" s="68"/>
      <c r="J1" s="68"/>
      <c r="K1" s="68"/>
      <c r="L1" s="134"/>
      <c r="M1" s="134"/>
      <c r="N1" s="134"/>
      <c r="O1" s="68"/>
      <c r="P1" s="68"/>
      <c r="Q1" s="68"/>
      <c r="R1" s="68"/>
      <c r="S1" s="68"/>
      <c r="T1" s="68"/>
      <c r="U1" s="6"/>
    </row>
    <row r="2" spans="1:22" x14ac:dyDescent="0.25">
      <c r="H2" s="141"/>
      <c r="I2" s="141"/>
    </row>
    <row r="3" spans="1:22" x14ac:dyDescent="0.25">
      <c r="C3" s="522" t="str">
        <f>Paramètres!B6</f>
        <v>Acomptes 2020</v>
      </c>
      <c r="D3" s="523"/>
      <c r="E3" s="523"/>
      <c r="F3" s="523"/>
      <c r="G3" s="523"/>
      <c r="H3" s="523"/>
      <c r="I3" s="524"/>
    </row>
    <row r="4" spans="1:22" ht="30" x14ac:dyDescent="0.25">
      <c r="A4" s="492" t="s">
        <v>46</v>
      </c>
      <c r="B4" s="492" t="s">
        <v>95</v>
      </c>
      <c r="C4" s="492" t="s">
        <v>566</v>
      </c>
      <c r="D4" s="489" t="s">
        <v>144</v>
      </c>
      <c r="E4" s="489" t="s">
        <v>437</v>
      </c>
      <c r="F4" s="489" t="s">
        <v>252</v>
      </c>
      <c r="G4" s="489" t="s">
        <v>253</v>
      </c>
      <c r="H4" s="492" t="s">
        <v>359</v>
      </c>
      <c r="I4" s="61" t="s">
        <v>369</v>
      </c>
      <c r="J4" s="61" t="s">
        <v>369</v>
      </c>
      <c r="K4" s="507" t="s">
        <v>455</v>
      </c>
      <c r="L4" s="514" t="s">
        <v>358</v>
      </c>
      <c r="M4" s="514" t="s">
        <v>262</v>
      </c>
      <c r="N4" s="514" t="s">
        <v>263</v>
      </c>
      <c r="O4" s="509" t="s">
        <v>124</v>
      </c>
      <c r="P4" s="112" t="s">
        <v>125</v>
      </c>
      <c r="Q4" s="507" t="s">
        <v>370</v>
      </c>
      <c r="R4" s="492" t="s">
        <v>126</v>
      </c>
      <c r="S4" s="492" t="s">
        <v>256</v>
      </c>
      <c r="T4" s="142"/>
    </row>
    <row r="5" spans="1:22" ht="30" x14ac:dyDescent="0.25">
      <c r="A5" s="494"/>
      <c r="B5" s="494"/>
      <c r="C5" s="494"/>
      <c r="D5" s="491"/>
      <c r="E5" s="490"/>
      <c r="F5" s="491"/>
      <c r="G5" s="490"/>
      <c r="H5" s="494"/>
      <c r="I5" s="351" t="str">
        <f>Paramètres!B6</f>
        <v>Acomptes 2020</v>
      </c>
      <c r="J5" s="358" t="str">
        <f>Paramètres!B5</f>
        <v>Acomptes 2021</v>
      </c>
      <c r="K5" s="508"/>
      <c r="L5" s="515"/>
      <c r="M5" s="515"/>
      <c r="N5" s="515"/>
      <c r="O5" s="510"/>
      <c r="P5" s="384">
        <f>Paramètres!B50</f>
        <v>92.188048856215488</v>
      </c>
      <c r="Q5" s="508"/>
      <c r="R5" s="494"/>
      <c r="S5" s="494"/>
      <c r="T5" s="137"/>
    </row>
    <row r="6" spans="1:22" x14ac:dyDescent="0.25">
      <c r="A6" s="46">
        <f>'A) Base RI'!A7</f>
        <v>5401</v>
      </c>
      <c r="B6" s="354" t="str">
        <f>'A) Base RI'!B7</f>
        <v>Aigle</v>
      </c>
      <c r="C6" s="404">
        <v>5299794.2029398633</v>
      </c>
      <c r="D6" s="404">
        <v>-3237858.9128018254</v>
      </c>
      <c r="E6" s="390">
        <v>0</v>
      </c>
      <c r="F6" s="390">
        <v>0</v>
      </c>
      <c r="G6" s="390">
        <v>0</v>
      </c>
      <c r="H6" s="404">
        <f>SUM(C6:G6)</f>
        <v>2061935.2901380379</v>
      </c>
      <c r="I6" s="405">
        <v>264997.06649252231</v>
      </c>
      <c r="J6" s="355">
        <f>'B) D RI'!U7</f>
        <v>273757.05287947325</v>
      </c>
      <c r="K6" s="67">
        <f>H6/I6</f>
        <v>7.7809740214472205</v>
      </c>
      <c r="L6" s="87">
        <f>'B) D RI'!S7</f>
        <v>67.5</v>
      </c>
      <c r="M6" s="87">
        <f>L6-K6</f>
        <v>59.719025978552779</v>
      </c>
      <c r="N6" s="87">
        <f>'J) Plafonnement effort'!G5+'J) Plafonnement effort'!I5-'K) Plafonnement aide'!I5</f>
        <v>-3.7361558802661428</v>
      </c>
      <c r="O6" s="123">
        <f>M6+N6</f>
        <v>55.982870098286639</v>
      </c>
      <c r="P6" s="47">
        <f>IF(O6&gt;$P$5,$P$5-O6,0)</f>
        <v>0</v>
      </c>
      <c r="Q6" s="100">
        <f>P6*J6</f>
        <v>0</v>
      </c>
      <c r="R6" s="143">
        <f>O6+P6</f>
        <v>55.982870098286639</v>
      </c>
      <c r="S6" s="123">
        <f>R6-L6</f>
        <v>-11.517129901713361</v>
      </c>
      <c r="T6" s="144">
        <f>+C6+D6+E6+F6+G6-H6</f>
        <v>0</v>
      </c>
      <c r="V6" s="12"/>
    </row>
    <row r="7" spans="1:22" x14ac:dyDescent="0.25">
      <c r="A7" s="49">
        <f>'A) Base RI'!A8</f>
        <v>5402</v>
      </c>
      <c r="B7" s="352" t="str">
        <f>'A) Base RI'!B8</f>
        <v>Bex</v>
      </c>
      <c r="C7" s="404">
        <v>3083748.1115815789</v>
      </c>
      <c r="D7" s="404">
        <v>-3687644.5709065786</v>
      </c>
      <c r="E7" s="390">
        <v>0</v>
      </c>
      <c r="F7" s="390">
        <v>0</v>
      </c>
      <c r="G7" s="390">
        <v>0</v>
      </c>
      <c r="H7" s="404">
        <f t="shared" ref="H7:H69" si="0">SUM(C7:G7)</f>
        <v>-603896.45932499971</v>
      </c>
      <c r="I7" s="405">
        <v>167576.20795633722</v>
      </c>
      <c r="J7" s="356">
        <f>'B) D RI'!U8</f>
        <v>185201.4300069781</v>
      </c>
      <c r="K7" s="62">
        <f t="shared" ref="K7:K60" si="1">H7/I7</f>
        <v>-3.6037124045816085</v>
      </c>
      <c r="L7" s="33">
        <f>'B) D RI'!S8</f>
        <v>71</v>
      </c>
      <c r="M7" s="33">
        <f t="shared" ref="M7:M59" si="2">L7-K7</f>
        <v>74.603712404581614</v>
      </c>
      <c r="N7" s="33">
        <f>'J) Plafonnement effort'!G6+'J) Plafonnement effort'!I6-'K) Plafonnement aide'!I6</f>
        <v>-9.9870018273254715</v>
      </c>
      <c r="O7" s="125">
        <f t="shared" ref="O7:O59" si="3">M7+N7</f>
        <v>64.616710577256143</v>
      </c>
      <c r="P7" s="47">
        <f t="shared" ref="P7:P59" si="4">IF(O7&gt;$P$5,$P$5-O7,0)</f>
        <v>0</v>
      </c>
      <c r="Q7" s="55">
        <f t="shared" ref="Q7:Q61" si="5">P7*J7</f>
        <v>0</v>
      </c>
      <c r="R7" s="145">
        <f t="shared" ref="R7:R59" si="6">O7+P7</f>
        <v>64.616710577256143</v>
      </c>
      <c r="S7" s="125">
        <f t="shared" ref="S7:S59" si="7">R7-L7</f>
        <v>-6.3832894227438572</v>
      </c>
      <c r="T7" s="144">
        <f t="shared" ref="T7:T69" si="8">+C7+D7+E7+F7+G7-H7</f>
        <v>0</v>
      </c>
      <c r="V7" s="12"/>
    </row>
    <row r="8" spans="1:22" x14ac:dyDescent="0.25">
      <c r="A8" s="49">
        <f>'A) Base RI'!A9</f>
        <v>5403</v>
      </c>
      <c r="B8" s="352" t="str">
        <f>'A) Base RI'!B9</f>
        <v>Chessel</v>
      </c>
      <c r="C8" s="404">
        <v>187497.13347614283</v>
      </c>
      <c r="D8" s="404">
        <v>-44866.463906149613</v>
      </c>
      <c r="E8" s="390">
        <v>0</v>
      </c>
      <c r="F8" s="390">
        <v>0</v>
      </c>
      <c r="G8" s="390">
        <v>0</v>
      </c>
      <c r="H8" s="404">
        <f t="shared" si="0"/>
        <v>142630.66956999322</v>
      </c>
      <c r="I8" s="405">
        <v>10084.656029543799</v>
      </c>
      <c r="J8" s="356">
        <f>'B) D RI'!U9</f>
        <v>10689.780666211695</v>
      </c>
      <c r="K8" s="62">
        <f t="shared" si="1"/>
        <v>14.143335097612191</v>
      </c>
      <c r="L8" s="33">
        <f>'B) D RI'!S9</f>
        <v>74</v>
      </c>
      <c r="M8" s="33">
        <f t="shared" si="2"/>
        <v>59.856664902387806</v>
      </c>
      <c r="N8" s="33">
        <f>'J) Plafonnement effort'!G7+'J) Plafonnement effort'!I7-'K) Plafonnement aide'!I7</f>
        <v>11.919782719376268</v>
      </c>
      <c r="O8" s="125">
        <f t="shared" si="3"/>
        <v>71.776447621764078</v>
      </c>
      <c r="P8" s="47">
        <f t="shared" si="4"/>
        <v>0</v>
      </c>
      <c r="Q8" s="55">
        <f t="shared" si="5"/>
        <v>0</v>
      </c>
      <c r="R8" s="145">
        <f t="shared" si="6"/>
        <v>71.776447621764078</v>
      </c>
      <c r="S8" s="125">
        <f t="shared" si="7"/>
        <v>-2.2235523782359223</v>
      </c>
      <c r="T8" s="144">
        <f t="shared" si="8"/>
        <v>0</v>
      </c>
      <c r="V8" s="12"/>
    </row>
    <row r="9" spans="1:22" x14ac:dyDescent="0.25">
      <c r="A9" s="49">
        <f>'A) Base RI'!A10</f>
        <v>5404</v>
      </c>
      <c r="B9" s="352" t="str">
        <f>'A) Base RI'!B10</f>
        <v>Corbeyrier</v>
      </c>
      <c r="C9" s="404">
        <v>219128.42126620529</v>
      </c>
      <c r="D9" s="404">
        <v>35429.314572435571</v>
      </c>
      <c r="E9" s="390">
        <v>0</v>
      </c>
      <c r="F9" s="390">
        <v>0</v>
      </c>
      <c r="G9" s="390">
        <v>0</v>
      </c>
      <c r="H9" s="404">
        <f t="shared" si="0"/>
        <v>254557.73583864086</v>
      </c>
      <c r="I9" s="405">
        <v>11886.055583598994</v>
      </c>
      <c r="J9" s="356">
        <f>'B) D RI'!U10</f>
        <v>14591.74084015964</v>
      </c>
      <c r="K9" s="62">
        <f t="shared" si="1"/>
        <v>21.416502223823773</v>
      </c>
      <c r="L9" s="33">
        <f>'B) D RI'!S10</f>
        <v>74</v>
      </c>
      <c r="M9" s="33">
        <f t="shared" si="2"/>
        <v>52.58349777617623</v>
      </c>
      <c r="N9" s="33">
        <f>'J) Plafonnement effort'!G8+'J) Plafonnement effort'!I8-'K) Plafonnement aide'!I8</f>
        <v>20.275808182805921</v>
      </c>
      <c r="O9" s="125">
        <f t="shared" si="3"/>
        <v>72.859305958982148</v>
      </c>
      <c r="P9" s="47">
        <f t="shared" si="4"/>
        <v>0</v>
      </c>
      <c r="Q9" s="55">
        <f t="shared" si="5"/>
        <v>0</v>
      </c>
      <c r="R9" s="145">
        <f t="shared" si="6"/>
        <v>72.859305958982148</v>
      </c>
      <c r="S9" s="125">
        <f t="shared" si="7"/>
        <v>-1.1406940410178521</v>
      </c>
      <c r="T9" s="144">
        <f t="shared" si="8"/>
        <v>0</v>
      </c>
      <c r="V9" s="12"/>
    </row>
    <row r="10" spans="1:22" x14ac:dyDescent="0.25">
      <c r="A10" s="49">
        <f>'A) Base RI'!A11</f>
        <v>5405</v>
      </c>
      <c r="B10" s="352" t="str">
        <f>'A) Base RI'!B11</f>
        <v>Gryon</v>
      </c>
      <c r="C10" s="404">
        <v>1930882.3880408411</v>
      </c>
      <c r="D10" s="404">
        <v>1118863.3422825567</v>
      </c>
      <c r="E10" s="390">
        <v>0</v>
      </c>
      <c r="F10" s="390">
        <v>0</v>
      </c>
      <c r="G10" s="390">
        <v>0</v>
      </c>
      <c r="H10" s="404">
        <f t="shared" si="0"/>
        <v>3049745.7303233976</v>
      </c>
      <c r="I10" s="405">
        <v>67043.99833693559</v>
      </c>
      <c r="J10" s="356">
        <f>'B) D RI'!U11</f>
        <v>65629.125271315643</v>
      </c>
      <c r="K10" s="62">
        <f t="shared" si="1"/>
        <v>45.488720929152052</v>
      </c>
      <c r="L10" s="33">
        <f>'B) D RI'!S11</f>
        <v>75</v>
      </c>
      <c r="M10" s="33">
        <f t="shared" si="2"/>
        <v>29.511279070847948</v>
      </c>
      <c r="N10" s="33">
        <f>'J) Plafonnement effort'!G9+'J) Plafonnement effort'!I9-'K) Plafonnement aide'!I9</f>
        <v>21.340843951381252</v>
      </c>
      <c r="O10" s="125">
        <f t="shared" si="3"/>
        <v>50.8521230222292</v>
      </c>
      <c r="P10" s="47">
        <f t="shared" si="4"/>
        <v>0</v>
      </c>
      <c r="Q10" s="55">
        <f t="shared" si="5"/>
        <v>0</v>
      </c>
      <c r="R10" s="145">
        <f t="shared" si="6"/>
        <v>50.8521230222292</v>
      </c>
      <c r="S10" s="125">
        <f t="shared" si="7"/>
        <v>-24.1478769777708</v>
      </c>
      <c r="T10" s="144">
        <f t="shared" si="8"/>
        <v>0</v>
      </c>
      <c r="V10" s="12"/>
    </row>
    <row r="11" spans="1:22" x14ac:dyDescent="0.25">
      <c r="A11" s="49">
        <f>'A) Base RI'!A12</f>
        <v>5406</v>
      </c>
      <c r="B11" s="352" t="str">
        <f>'A) Base RI'!B12</f>
        <v>Lavey-Morcles</v>
      </c>
      <c r="C11" s="404">
        <v>351480.1150755402</v>
      </c>
      <c r="D11" s="404">
        <v>-113903.00425924332</v>
      </c>
      <c r="E11" s="390">
        <v>0</v>
      </c>
      <c r="F11" s="390">
        <v>0</v>
      </c>
      <c r="G11" s="390">
        <v>0</v>
      </c>
      <c r="H11" s="404">
        <f t="shared" si="0"/>
        <v>237577.11081629689</v>
      </c>
      <c r="I11" s="405">
        <v>21182.431428934582</v>
      </c>
      <c r="J11" s="356">
        <f>'B) D RI'!U12</f>
        <v>24629.026648333398</v>
      </c>
      <c r="K11" s="62">
        <f t="shared" si="1"/>
        <v>11.215762062695669</v>
      </c>
      <c r="L11" s="33">
        <f>'B) D RI'!S12</f>
        <v>71</v>
      </c>
      <c r="M11" s="33">
        <f t="shared" si="2"/>
        <v>59.784237937304333</v>
      </c>
      <c r="N11" s="33">
        <f>'J) Plafonnement effort'!G10+'J) Plafonnement effort'!I10-'K) Plafonnement aide'!I10</f>
        <v>11.754059733638979</v>
      </c>
      <c r="O11" s="125">
        <f t="shared" si="3"/>
        <v>71.538297670943308</v>
      </c>
      <c r="P11" s="47">
        <f t="shared" si="4"/>
        <v>0</v>
      </c>
      <c r="Q11" s="55">
        <f t="shared" si="5"/>
        <v>0</v>
      </c>
      <c r="R11" s="145">
        <f t="shared" si="6"/>
        <v>71.538297670943308</v>
      </c>
      <c r="S11" s="125">
        <f t="shared" si="7"/>
        <v>0.53829767094330805</v>
      </c>
      <c r="T11" s="144">
        <f t="shared" si="8"/>
        <v>0</v>
      </c>
      <c r="V11" s="12"/>
    </row>
    <row r="12" spans="1:22" x14ac:dyDescent="0.25">
      <c r="A12" s="49">
        <f>'A) Base RI'!A13</f>
        <v>5407</v>
      </c>
      <c r="B12" s="352" t="str">
        <f>'A) Base RI'!B13</f>
        <v>Leysin</v>
      </c>
      <c r="C12" s="404">
        <v>1575738.991082134</v>
      </c>
      <c r="D12" s="404">
        <v>-1659891.5312775411</v>
      </c>
      <c r="E12" s="390">
        <v>0</v>
      </c>
      <c r="F12" s="390">
        <v>0</v>
      </c>
      <c r="G12" s="390">
        <v>0</v>
      </c>
      <c r="H12" s="404">
        <f t="shared" si="0"/>
        <v>-84152.540195407113</v>
      </c>
      <c r="I12" s="405">
        <v>87800.052646256067</v>
      </c>
      <c r="J12" s="356">
        <f>'B) D RI'!U13</f>
        <v>88989.44860843374</v>
      </c>
      <c r="K12" s="62">
        <f t="shared" si="1"/>
        <v>-0.958456602918626</v>
      </c>
      <c r="L12" s="33">
        <f>'B) D RI'!S13</f>
        <v>78</v>
      </c>
      <c r="M12" s="33">
        <f t="shared" si="2"/>
        <v>78.958456602918631</v>
      </c>
      <c r="N12" s="33">
        <f>'J) Plafonnement effort'!G11+'J) Plafonnement effort'!I11-'K) Plafonnement aide'!I11</f>
        <v>-20.701764765317662</v>
      </c>
      <c r="O12" s="125">
        <f t="shared" si="3"/>
        <v>58.256691837600968</v>
      </c>
      <c r="P12" s="47">
        <f t="shared" si="4"/>
        <v>0</v>
      </c>
      <c r="Q12" s="55">
        <f t="shared" si="5"/>
        <v>0</v>
      </c>
      <c r="R12" s="145">
        <f t="shared" si="6"/>
        <v>58.256691837600968</v>
      </c>
      <c r="S12" s="125">
        <f t="shared" si="7"/>
        <v>-19.743308162399032</v>
      </c>
      <c r="T12" s="144">
        <f t="shared" si="8"/>
        <v>0</v>
      </c>
      <c r="V12" s="12"/>
    </row>
    <row r="13" spans="1:22" x14ac:dyDescent="0.25">
      <c r="A13" s="49">
        <f>'A) Base RI'!A14</f>
        <v>5408</v>
      </c>
      <c r="B13" s="352" t="str">
        <f>'A) Base RI'!B14</f>
        <v>Noville</v>
      </c>
      <c r="C13" s="404">
        <v>791891.16647171881</v>
      </c>
      <c r="D13" s="404">
        <v>157567.51456143137</v>
      </c>
      <c r="E13" s="390">
        <v>0</v>
      </c>
      <c r="F13" s="390">
        <v>0</v>
      </c>
      <c r="G13" s="390">
        <v>0</v>
      </c>
      <c r="H13" s="404">
        <f t="shared" si="0"/>
        <v>949458.68103315018</v>
      </c>
      <c r="I13" s="405">
        <v>34485.089397525851</v>
      </c>
      <c r="J13" s="356">
        <f>'B) D RI'!U14</f>
        <v>28270.539787685771</v>
      </c>
      <c r="K13" s="62">
        <f t="shared" si="1"/>
        <v>27.532440762681322</v>
      </c>
      <c r="L13" s="33">
        <f>'B) D RI'!S14</f>
        <v>78.5</v>
      </c>
      <c r="M13" s="33">
        <f t="shared" si="2"/>
        <v>50.967559237318682</v>
      </c>
      <c r="N13" s="33">
        <f>'J) Plafonnement effort'!G12+'J) Plafonnement effort'!I12-'K) Plafonnement aide'!I12</f>
        <v>9.4125106008714354</v>
      </c>
      <c r="O13" s="125">
        <f t="shared" si="3"/>
        <v>60.380069838190117</v>
      </c>
      <c r="P13" s="47">
        <f t="shared" si="4"/>
        <v>0</v>
      </c>
      <c r="Q13" s="55">
        <f t="shared" si="5"/>
        <v>0</v>
      </c>
      <c r="R13" s="145">
        <f t="shared" si="6"/>
        <v>60.380069838190117</v>
      </c>
      <c r="S13" s="125">
        <f t="shared" si="7"/>
        <v>-18.119930161809883</v>
      </c>
      <c r="T13" s="144">
        <f t="shared" si="8"/>
        <v>0</v>
      </c>
      <c r="V13" s="12"/>
    </row>
    <row r="14" spans="1:22" x14ac:dyDescent="0.25">
      <c r="A14" s="49">
        <f>'A) Base RI'!A15</f>
        <v>5409</v>
      </c>
      <c r="B14" s="352" t="str">
        <f>'A) Base RI'!B15</f>
        <v>Ollon</v>
      </c>
      <c r="C14" s="404">
        <v>8088799.430014356</v>
      </c>
      <c r="D14" s="404">
        <v>4089421.6425166605</v>
      </c>
      <c r="E14" s="390">
        <v>0</v>
      </c>
      <c r="F14" s="390">
        <v>0</v>
      </c>
      <c r="G14" s="390">
        <v>0</v>
      </c>
      <c r="H14" s="404">
        <f t="shared" si="0"/>
        <v>12178221.072531017</v>
      </c>
      <c r="I14" s="405">
        <v>364239.90242657869</v>
      </c>
      <c r="J14" s="356">
        <f>'B) D RI'!U15</f>
        <v>398078.90791518224</v>
      </c>
      <c r="K14" s="62">
        <f t="shared" si="1"/>
        <v>33.43461545920502</v>
      </c>
      <c r="L14" s="33">
        <f>'B) D RI'!S15</f>
        <v>68</v>
      </c>
      <c r="M14" s="33">
        <f t="shared" si="2"/>
        <v>34.56538454079498</v>
      </c>
      <c r="N14" s="33">
        <f>'J) Plafonnement effort'!G13+'J) Plafonnement effort'!I13-'K) Plafonnement aide'!I13</f>
        <v>26.351462246852527</v>
      </c>
      <c r="O14" s="125">
        <f t="shared" si="3"/>
        <v>60.916846787647508</v>
      </c>
      <c r="P14" s="47">
        <f t="shared" si="4"/>
        <v>0</v>
      </c>
      <c r="Q14" s="55">
        <f t="shared" si="5"/>
        <v>0</v>
      </c>
      <c r="R14" s="145">
        <f t="shared" si="6"/>
        <v>60.916846787647508</v>
      </c>
      <c r="S14" s="125">
        <f t="shared" si="7"/>
        <v>-7.0831532123524923</v>
      </c>
      <c r="T14" s="144">
        <f t="shared" si="8"/>
        <v>0</v>
      </c>
      <c r="V14" s="12"/>
    </row>
    <row r="15" spans="1:22" x14ac:dyDescent="0.25">
      <c r="A15" s="49">
        <f>'A) Base RI'!A16</f>
        <v>5410</v>
      </c>
      <c r="B15" s="352" t="str">
        <f>'A) Base RI'!B16</f>
        <v>Ormont-Dessous</v>
      </c>
      <c r="C15" s="404">
        <v>826863.39892391674</v>
      </c>
      <c r="D15" s="404">
        <v>536466.11778944312</v>
      </c>
      <c r="E15" s="390">
        <v>0</v>
      </c>
      <c r="F15" s="390">
        <v>0</v>
      </c>
      <c r="G15" s="390">
        <v>0</v>
      </c>
      <c r="H15" s="404">
        <f t="shared" si="0"/>
        <v>1363329.5167133599</v>
      </c>
      <c r="I15" s="405">
        <v>43203.907731880769</v>
      </c>
      <c r="J15" s="356">
        <f>'B) D RI'!U16</f>
        <v>38209.218513800428</v>
      </c>
      <c r="K15" s="62">
        <f t="shared" si="1"/>
        <v>31.555699201425242</v>
      </c>
      <c r="L15" s="33">
        <f>'B) D RI'!S16</f>
        <v>78.5</v>
      </c>
      <c r="M15" s="33">
        <f t="shared" si="2"/>
        <v>46.944300798574758</v>
      </c>
      <c r="N15" s="33">
        <f>'J) Plafonnement effort'!G14+'J) Plafonnement effort'!I14-'K) Plafonnement aide'!I14</f>
        <v>0.84591394587823032</v>
      </c>
      <c r="O15" s="125">
        <f t="shared" si="3"/>
        <v>47.790214744452989</v>
      </c>
      <c r="P15" s="47">
        <f t="shared" si="4"/>
        <v>0</v>
      </c>
      <c r="Q15" s="55">
        <f t="shared" si="5"/>
        <v>0</v>
      </c>
      <c r="R15" s="145">
        <f t="shared" si="6"/>
        <v>47.790214744452989</v>
      </c>
      <c r="S15" s="125">
        <f t="shared" si="7"/>
        <v>-30.709785255547011</v>
      </c>
      <c r="T15" s="144">
        <f t="shared" si="8"/>
        <v>0</v>
      </c>
      <c r="V15" s="12"/>
    </row>
    <row r="16" spans="1:22" x14ac:dyDescent="0.25">
      <c r="A16" s="49">
        <f>'A) Base RI'!A17</f>
        <v>5411</v>
      </c>
      <c r="B16" s="352" t="str">
        <f>'A) Base RI'!B17</f>
        <v>Ormont-Dessus</v>
      </c>
      <c r="C16" s="404">
        <v>1608776.6804379956</v>
      </c>
      <c r="D16" s="404">
        <v>1191912.1697684298</v>
      </c>
      <c r="E16" s="390">
        <v>0</v>
      </c>
      <c r="F16" s="390">
        <v>0</v>
      </c>
      <c r="G16" s="390">
        <v>0</v>
      </c>
      <c r="H16" s="404">
        <f t="shared" si="0"/>
        <v>2800688.8502064254</v>
      </c>
      <c r="I16" s="405">
        <v>72610.798338858935</v>
      </c>
      <c r="J16" s="356">
        <f>'B) D RI'!U17</f>
        <v>73074.251809839989</v>
      </c>
      <c r="K16" s="62">
        <f t="shared" si="1"/>
        <v>38.571244419269632</v>
      </c>
      <c r="L16" s="33">
        <f>'B) D RI'!S17</f>
        <v>76</v>
      </c>
      <c r="M16" s="33">
        <f t="shared" si="2"/>
        <v>37.428755580730368</v>
      </c>
      <c r="N16" s="33">
        <f>'J) Plafonnement effort'!G15+'J) Plafonnement effort'!I15-'K) Plafonnement aide'!I15</f>
        <v>25.158333909449787</v>
      </c>
      <c r="O16" s="125">
        <f t="shared" si="3"/>
        <v>62.587089490180155</v>
      </c>
      <c r="P16" s="47">
        <f t="shared" si="4"/>
        <v>0</v>
      </c>
      <c r="Q16" s="55">
        <f t="shared" si="5"/>
        <v>0</v>
      </c>
      <c r="R16" s="145">
        <f t="shared" si="6"/>
        <v>62.587089490180155</v>
      </c>
      <c r="S16" s="125">
        <f t="shared" si="7"/>
        <v>-13.412910509819845</v>
      </c>
      <c r="T16" s="144">
        <f t="shared" si="8"/>
        <v>0</v>
      </c>
      <c r="V16" s="12"/>
    </row>
    <row r="17" spans="1:22" x14ac:dyDescent="0.25">
      <c r="A17" s="49">
        <f>'A) Base RI'!A18</f>
        <v>5412</v>
      </c>
      <c r="B17" s="352" t="str">
        <f>'A) Base RI'!B18</f>
        <v>Rennaz</v>
      </c>
      <c r="C17" s="404">
        <v>847349.08124645788</v>
      </c>
      <c r="D17" s="404">
        <v>242340.16005969676</v>
      </c>
      <c r="E17" s="390">
        <v>0</v>
      </c>
      <c r="F17" s="390">
        <v>0</v>
      </c>
      <c r="G17" s="390">
        <v>0</v>
      </c>
      <c r="H17" s="404">
        <f t="shared" si="0"/>
        <v>1089689.2413061545</v>
      </c>
      <c r="I17" s="405">
        <v>26466.15780602719</v>
      </c>
      <c r="J17" s="356">
        <f>'B) D RI'!U18</f>
        <v>23813.904160849284</v>
      </c>
      <c r="K17" s="62">
        <f t="shared" si="1"/>
        <v>41.172929191028913</v>
      </c>
      <c r="L17" s="33">
        <f>'B) D RI'!S18</f>
        <v>67.5</v>
      </c>
      <c r="M17" s="33">
        <f t="shared" si="2"/>
        <v>26.327070808971087</v>
      </c>
      <c r="N17" s="33">
        <f>'J) Plafonnement effort'!G16+'J) Plafonnement effort'!I16-'K) Plafonnement aide'!I16</f>
        <v>16.884034701819644</v>
      </c>
      <c r="O17" s="125">
        <f t="shared" si="3"/>
        <v>43.21110551079073</v>
      </c>
      <c r="P17" s="47">
        <f t="shared" si="4"/>
        <v>0</v>
      </c>
      <c r="Q17" s="55">
        <f t="shared" si="5"/>
        <v>0</v>
      </c>
      <c r="R17" s="145">
        <f t="shared" si="6"/>
        <v>43.21110551079073</v>
      </c>
      <c r="S17" s="125">
        <f t="shared" si="7"/>
        <v>-24.28889448920927</v>
      </c>
      <c r="T17" s="144">
        <f t="shared" si="8"/>
        <v>0</v>
      </c>
      <c r="V17" s="12"/>
    </row>
    <row r="18" spans="1:22" x14ac:dyDescent="0.25">
      <c r="A18" s="49">
        <f>'A) Base RI'!A19</f>
        <v>5413</v>
      </c>
      <c r="B18" s="352" t="str">
        <f>'A) Base RI'!B19</f>
        <v>Roche</v>
      </c>
      <c r="C18" s="404">
        <v>834496.08965298661</v>
      </c>
      <c r="D18" s="404">
        <v>-389741.98484670732</v>
      </c>
      <c r="E18" s="390">
        <v>0</v>
      </c>
      <c r="F18" s="390">
        <v>0</v>
      </c>
      <c r="G18" s="390">
        <v>0</v>
      </c>
      <c r="H18" s="404">
        <f t="shared" si="0"/>
        <v>444754.1048062793</v>
      </c>
      <c r="I18" s="405">
        <v>37990.385509658925</v>
      </c>
      <c r="J18" s="356">
        <f>'B) D RI'!U19</f>
        <v>44639.413526237746</v>
      </c>
      <c r="K18" s="62">
        <f t="shared" si="1"/>
        <v>11.707017416109192</v>
      </c>
      <c r="L18" s="33">
        <f>'B) D RI'!S19</f>
        <v>68</v>
      </c>
      <c r="M18" s="33">
        <f t="shared" si="2"/>
        <v>56.292982583890804</v>
      </c>
      <c r="N18" s="33">
        <f>'J) Plafonnement effort'!G17+'J) Plafonnement effort'!I17-'K) Plafonnement aide'!I17</f>
        <v>15.621719535018888</v>
      </c>
      <c r="O18" s="125">
        <f t="shared" si="3"/>
        <v>71.914702118909688</v>
      </c>
      <c r="P18" s="47">
        <f t="shared" si="4"/>
        <v>0</v>
      </c>
      <c r="Q18" s="55">
        <f t="shared" si="5"/>
        <v>0</v>
      </c>
      <c r="R18" s="145">
        <f t="shared" si="6"/>
        <v>71.914702118909688</v>
      </c>
      <c r="S18" s="125">
        <f t="shared" si="7"/>
        <v>3.9147021189096876</v>
      </c>
      <c r="T18" s="144">
        <f t="shared" si="8"/>
        <v>0</v>
      </c>
      <c r="V18" s="12"/>
    </row>
    <row r="19" spans="1:22" x14ac:dyDescent="0.25">
      <c r="A19" s="49">
        <f>'A) Base RI'!A20</f>
        <v>5414</v>
      </c>
      <c r="B19" s="352" t="str">
        <f>'A) Base RI'!B20</f>
        <v>Villeneuve</v>
      </c>
      <c r="C19" s="404">
        <v>3799776.9124750192</v>
      </c>
      <c r="D19" s="404">
        <v>-690957.29727607733</v>
      </c>
      <c r="E19" s="390">
        <v>0</v>
      </c>
      <c r="F19" s="390">
        <v>0</v>
      </c>
      <c r="G19" s="390">
        <v>0</v>
      </c>
      <c r="H19" s="404">
        <f t="shared" si="0"/>
        <v>3108819.6151989419</v>
      </c>
      <c r="I19" s="405">
        <v>165545.36815921174</v>
      </c>
      <c r="J19" s="356">
        <f>'B) D RI'!U20</f>
        <v>166033.59034311198</v>
      </c>
      <c r="K19" s="62">
        <f t="shared" si="1"/>
        <v>18.779260632705007</v>
      </c>
      <c r="L19" s="33">
        <f>'B) D RI'!S20</f>
        <v>69</v>
      </c>
      <c r="M19" s="33">
        <f t="shared" si="2"/>
        <v>50.220739367294996</v>
      </c>
      <c r="N19" s="33">
        <f>'J) Plafonnement effort'!G18+'J) Plafonnement effort'!I18-'K) Plafonnement aide'!I18</f>
        <v>6.6651269378699709</v>
      </c>
      <c r="O19" s="125">
        <f t="shared" si="3"/>
        <v>56.885866305164967</v>
      </c>
      <c r="P19" s="47">
        <f t="shared" si="4"/>
        <v>0</v>
      </c>
      <c r="Q19" s="55">
        <f t="shared" si="5"/>
        <v>0</v>
      </c>
      <c r="R19" s="145">
        <f t="shared" si="6"/>
        <v>56.885866305164967</v>
      </c>
      <c r="S19" s="125">
        <f t="shared" si="7"/>
        <v>-12.114133694835033</v>
      </c>
      <c r="T19" s="144">
        <f t="shared" si="8"/>
        <v>0</v>
      </c>
      <c r="V19" s="12"/>
    </row>
    <row r="20" spans="1:22" x14ac:dyDescent="0.25">
      <c r="A20" s="49">
        <f>'A) Base RI'!A21</f>
        <v>5415</v>
      </c>
      <c r="B20" s="352" t="str">
        <f>'A) Base RI'!B21</f>
        <v>Yvorne</v>
      </c>
      <c r="C20" s="404">
        <v>595058.35192077444</v>
      </c>
      <c r="D20" s="404">
        <v>235643.86662119499</v>
      </c>
      <c r="E20" s="390">
        <v>0</v>
      </c>
      <c r="F20" s="390">
        <v>0</v>
      </c>
      <c r="G20" s="390">
        <v>0</v>
      </c>
      <c r="H20" s="404">
        <f t="shared" si="0"/>
        <v>830702.21854196943</v>
      </c>
      <c r="I20" s="405">
        <v>33364.537599401883</v>
      </c>
      <c r="J20" s="356">
        <f>'B) D RI'!U21</f>
        <v>39123.170780997614</v>
      </c>
      <c r="K20" s="62">
        <f t="shared" si="1"/>
        <v>24.897759067305678</v>
      </c>
      <c r="L20" s="33">
        <f>'B) D RI'!S21</f>
        <v>71.5</v>
      </c>
      <c r="M20" s="33">
        <f t="shared" si="2"/>
        <v>46.602240932694322</v>
      </c>
      <c r="N20" s="33">
        <f>'J) Plafonnement effort'!G19+'J) Plafonnement effort'!I19-'K) Plafonnement aide'!I19</f>
        <v>26.25305100975817</v>
      </c>
      <c r="O20" s="125">
        <f t="shared" si="3"/>
        <v>72.855291942452496</v>
      </c>
      <c r="P20" s="47">
        <f t="shared" si="4"/>
        <v>0</v>
      </c>
      <c r="Q20" s="55">
        <f t="shared" si="5"/>
        <v>0</v>
      </c>
      <c r="R20" s="145">
        <f t="shared" si="6"/>
        <v>72.855291942452496</v>
      </c>
      <c r="S20" s="125">
        <f t="shared" si="7"/>
        <v>1.3552919424524958</v>
      </c>
      <c r="T20" s="144">
        <f t="shared" si="8"/>
        <v>0</v>
      </c>
      <c r="V20" s="12"/>
    </row>
    <row r="21" spans="1:22" x14ac:dyDescent="0.25">
      <c r="A21" s="49">
        <f>'A) Base RI'!A22</f>
        <v>5421</v>
      </c>
      <c r="B21" s="352" t="str">
        <f>'A) Base RI'!B22</f>
        <v>Apples</v>
      </c>
      <c r="C21" s="404">
        <v>1148456.7236300348</v>
      </c>
      <c r="D21" s="404">
        <v>1069567.8919232748</v>
      </c>
      <c r="E21" s="390">
        <v>0</v>
      </c>
      <c r="F21" s="390">
        <v>0</v>
      </c>
      <c r="G21" s="390">
        <v>0</v>
      </c>
      <c r="H21" s="404">
        <f t="shared" si="0"/>
        <v>2218024.6155533097</v>
      </c>
      <c r="I21" s="405">
        <v>66975.284470984901</v>
      </c>
      <c r="J21" s="356">
        <f>'B) D RI'!U22</f>
        <v>70492.513251958138</v>
      </c>
      <c r="K21" s="62">
        <f t="shared" si="1"/>
        <v>33.117061511163932</v>
      </c>
      <c r="L21" s="33">
        <f>'B) D RI'!S22</f>
        <v>76</v>
      </c>
      <c r="M21" s="33">
        <f t="shared" si="2"/>
        <v>42.882938488836068</v>
      </c>
      <c r="N21" s="33">
        <f>'J) Plafonnement effort'!G20+'J) Plafonnement effort'!I20-'K) Plafonnement aide'!I20</f>
        <v>30.901043987885121</v>
      </c>
      <c r="O21" s="125">
        <f t="shared" si="3"/>
        <v>73.783982476721192</v>
      </c>
      <c r="P21" s="47">
        <f t="shared" si="4"/>
        <v>0</v>
      </c>
      <c r="Q21" s="55">
        <f t="shared" si="5"/>
        <v>0</v>
      </c>
      <c r="R21" s="145">
        <f t="shared" si="6"/>
        <v>73.783982476721192</v>
      </c>
      <c r="S21" s="125">
        <f t="shared" si="7"/>
        <v>-2.2160175232788077</v>
      </c>
      <c r="T21" s="144">
        <f t="shared" si="8"/>
        <v>0</v>
      </c>
      <c r="V21" s="12"/>
    </row>
    <row r="22" spans="1:22" x14ac:dyDescent="0.25">
      <c r="A22" s="49">
        <f>'A) Base RI'!A23</f>
        <v>5422</v>
      </c>
      <c r="B22" s="352" t="str">
        <f>'A) Base RI'!B23</f>
        <v>Aubonne</v>
      </c>
      <c r="C22" s="404">
        <v>6715164.4029018478</v>
      </c>
      <c r="D22" s="404">
        <v>3787695.7087219618</v>
      </c>
      <c r="E22" s="390">
        <v>0</v>
      </c>
      <c r="F22" s="390">
        <v>0</v>
      </c>
      <c r="G22" s="390">
        <v>0</v>
      </c>
      <c r="H22" s="404">
        <f t="shared" si="0"/>
        <v>10502860.111623809</v>
      </c>
      <c r="I22" s="405">
        <v>243654.06393699537</v>
      </c>
      <c r="J22" s="356">
        <f>'B) D RI'!U23</f>
        <v>245436.88330377048</v>
      </c>
      <c r="K22" s="62">
        <f t="shared" si="1"/>
        <v>43.105622545001602</v>
      </c>
      <c r="L22" s="33">
        <f>'B) D RI'!S23</f>
        <v>70.52</v>
      </c>
      <c r="M22" s="33">
        <f t="shared" si="2"/>
        <v>27.414377454998395</v>
      </c>
      <c r="N22" s="33">
        <f>'J) Plafonnement effort'!G21+'J) Plafonnement effort'!I21-'K) Plafonnement aide'!I21</f>
        <v>37.907655525236876</v>
      </c>
      <c r="O22" s="125">
        <f t="shared" si="3"/>
        <v>65.322032980235264</v>
      </c>
      <c r="P22" s="47">
        <f t="shared" si="4"/>
        <v>0</v>
      </c>
      <c r="Q22" s="55">
        <f t="shared" si="5"/>
        <v>0</v>
      </c>
      <c r="R22" s="145">
        <f t="shared" si="6"/>
        <v>65.322032980235264</v>
      </c>
      <c r="S22" s="125">
        <f t="shared" si="7"/>
        <v>-5.1979670197647323</v>
      </c>
      <c r="T22" s="144">
        <f t="shared" si="8"/>
        <v>0</v>
      </c>
      <c r="V22" s="12"/>
    </row>
    <row r="23" spans="1:22" x14ac:dyDescent="0.25">
      <c r="A23" s="49">
        <f>'A) Base RI'!A24</f>
        <v>5423</v>
      </c>
      <c r="B23" s="352" t="str">
        <f>'A) Base RI'!B24</f>
        <v>Ballens</v>
      </c>
      <c r="C23" s="404">
        <v>231855.10797404434</v>
      </c>
      <c r="D23" s="404">
        <v>-14234.106144068588</v>
      </c>
      <c r="E23" s="390">
        <v>0</v>
      </c>
      <c r="F23" s="390">
        <v>0</v>
      </c>
      <c r="G23" s="390">
        <v>0</v>
      </c>
      <c r="H23" s="404">
        <f t="shared" si="0"/>
        <v>217621.00182997575</v>
      </c>
      <c r="I23" s="405">
        <v>13546.834391748147</v>
      </c>
      <c r="J23" s="356">
        <f>'B) D RI'!U24</f>
        <v>16319.771402685055</v>
      </c>
      <c r="K23" s="62">
        <f t="shared" si="1"/>
        <v>16.064343560775818</v>
      </c>
      <c r="L23" s="33">
        <f>'B) D RI'!S24</f>
        <v>73</v>
      </c>
      <c r="M23" s="33">
        <f t="shared" si="2"/>
        <v>56.935656439224182</v>
      </c>
      <c r="N23" s="33">
        <f>'J) Plafonnement effort'!G22+'J) Plafonnement effort'!I22-'K) Plafonnement aide'!I22</f>
        <v>17.793189314440113</v>
      </c>
      <c r="O23" s="125">
        <f t="shared" si="3"/>
        <v>74.728845753664302</v>
      </c>
      <c r="P23" s="47">
        <f t="shared" si="4"/>
        <v>0</v>
      </c>
      <c r="Q23" s="55">
        <f t="shared" si="5"/>
        <v>0</v>
      </c>
      <c r="R23" s="145">
        <f t="shared" si="6"/>
        <v>74.728845753664302</v>
      </c>
      <c r="S23" s="125">
        <f t="shared" si="7"/>
        <v>1.7288457536643023</v>
      </c>
      <c r="T23" s="144">
        <f t="shared" si="8"/>
        <v>0</v>
      </c>
      <c r="V23" s="12"/>
    </row>
    <row r="24" spans="1:22" x14ac:dyDescent="0.25">
      <c r="A24" s="49">
        <f>'A) Base RI'!A25</f>
        <v>5424</v>
      </c>
      <c r="B24" s="352" t="str">
        <f>'A) Base RI'!B25</f>
        <v>Berolle</v>
      </c>
      <c r="C24" s="404">
        <v>147646.63977097848</v>
      </c>
      <c r="D24" s="404">
        <v>45441.572498451511</v>
      </c>
      <c r="E24" s="390">
        <v>0</v>
      </c>
      <c r="F24" s="390">
        <v>0</v>
      </c>
      <c r="G24" s="390">
        <v>0</v>
      </c>
      <c r="H24" s="404">
        <f t="shared" si="0"/>
        <v>193088.21226942999</v>
      </c>
      <c r="I24" s="405">
        <v>9307.5930888942275</v>
      </c>
      <c r="J24" s="356">
        <f>'B) D RI'!U25</f>
        <v>9278.5718181818156</v>
      </c>
      <c r="K24" s="62">
        <f t="shared" si="1"/>
        <v>20.745235682877226</v>
      </c>
      <c r="L24" s="33">
        <f>'B) D RI'!S25</f>
        <v>77</v>
      </c>
      <c r="M24" s="33">
        <f t="shared" si="2"/>
        <v>56.254764317122778</v>
      </c>
      <c r="N24" s="33">
        <f>'J) Plafonnement effort'!G23+'J) Plafonnement effort'!I23-'K) Plafonnement aide'!I23</f>
        <v>15.842813091364789</v>
      </c>
      <c r="O24" s="125">
        <f t="shared" si="3"/>
        <v>72.097577408487567</v>
      </c>
      <c r="P24" s="47">
        <f t="shared" si="4"/>
        <v>0</v>
      </c>
      <c r="Q24" s="55">
        <f t="shared" si="5"/>
        <v>0</v>
      </c>
      <c r="R24" s="145">
        <f t="shared" si="6"/>
        <v>72.097577408487567</v>
      </c>
      <c r="S24" s="125">
        <f t="shared" si="7"/>
        <v>-4.9024225915124333</v>
      </c>
      <c r="T24" s="144">
        <f t="shared" si="8"/>
        <v>0</v>
      </c>
      <c r="V24" s="12"/>
    </row>
    <row r="25" spans="1:22" x14ac:dyDescent="0.25">
      <c r="A25" s="49">
        <f>'A) Base RI'!A26</f>
        <v>5425</v>
      </c>
      <c r="B25" s="352" t="str">
        <f>'A) Base RI'!B26</f>
        <v>Bière</v>
      </c>
      <c r="C25" s="404">
        <v>687154.64015473239</v>
      </c>
      <c r="D25" s="404">
        <v>-194686.27065822273</v>
      </c>
      <c r="E25" s="390">
        <v>0</v>
      </c>
      <c r="F25" s="390">
        <v>0</v>
      </c>
      <c r="G25" s="390">
        <v>0</v>
      </c>
      <c r="H25" s="404">
        <f t="shared" si="0"/>
        <v>492468.36949650967</v>
      </c>
      <c r="I25" s="405">
        <v>38506.775780608448</v>
      </c>
      <c r="J25" s="356">
        <f>'B) D RI'!U26</f>
        <v>39360.03487040029</v>
      </c>
      <c r="K25" s="62">
        <f t="shared" si="1"/>
        <v>12.789135405735809</v>
      </c>
      <c r="L25" s="33">
        <f>'B) D RI'!S26</f>
        <v>70</v>
      </c>
      <c r="M25" s="33">
        <f t="shared" si="2"/>
        <v>57.210864594264194</v>
      </c>
      <c r="N25" s="33">
        <f>'J) Plafonnement effort'!G24+'J) Plafonnement effort'!I24-'K) Plafonnement aide'!I24</f>
        <v>-0.26833563963582563</v>
      </c>
      <c r="O25" s="125">
        <f t="shared" si="3"/>
        <v>56.942528954628372</v>
      </c>
      <c r="P25" s="47">
        <f t="shared" si="4"/>
        <v>0</v>
      </c>
      <c r="Q25" s="55">
        <f t="shared" si="5"/>
        <v>0</v>
      </c>
      <c r="R25" s="145">
        <f t="shared" si="6"/>
        <v>56.942528954628372</v>
      </c>
      <c r="S25" s="125">
        <f t="shared" si="7"/>
        <v>-13.057471045371628</v>
      </c>
      <c r="T25" s="144">
        <f t="shared" si="8"/>
        <v>0</v>
      </c>
      <c r="V25" s="12"/>
    </row>
    <row r="26" spans="1:22" x14ac:dyDescent="0.25">
      <c r="A26" s="49">
        <f>'A) Base RI'!A27</f>
        <v>5426</v>
      </c>
      <c r="B26" s="352" t="str">
        <f>'A) Base RI'!B27</f>
        <v>Bougy-Villars</v>
      </c>
      <c r="C26" s="404">
        <v>2624088.9729467249</v>
      </c>
      <c r="D26" s="404">
        <v>966254.4468282148</v>
      </c>
      <c r="E26" s="390">
        <v>0</v>
      </c>
      <c r="F26" s="390">
        <v>-15432.993548206763</v>
      </c>
      <c r="G26" s="390">
        <v>0</v>
      </c>
      <c r="H26" s="404">
        <f t="shared" si="0"/>
        <v>3574910.4262267328</v>
      </c>
      <c r="I26" s="405">
        <v>50656.587213056948</v>
      </c>
      <c r="J26" s="356">
        <f>'B) D RI'!U27</f>
        <v>51974.123620521015</v>
      </c>
      <c r="K26" s="62">
        <f t="shared" si="1"/>
        <v>70.571481872455962</v>
      </c>
      <c r="L26" s="33">
        <f>'B) D RI'!S27</f>
        <v>66</v>
      </c>
      <c r="M26" s="33">
        <f t="shared" si="2"/>
        <v>-4.571481872455962</v>
      </c>
      <c r="N26" s="33">
        <f>'J) Plafonnement effort'!G25+'J) Plafonnement effort'!I25-'K) Plafonnement aide'!I25</f>
        <v>51.037453717404645</v>
      </c>
      <c r="O26" s="125">
        <f t="shared" si="3"/>
        <v>46.465971844948683</v>
      </c>
      <c r="P26" s="47">
        <f t="shared" si="4"/>
        <v>0</v>
      </c>
      <c r="Q26" s="55">
        <f t="shared" si="5"/>
        <v>0</v>
      </c>
      <c r="R26" s="145">
        <f t="shared" si="6"/>
        <v>46.465971844948683</v>
      </c>
      <c r="S26" s="125">
        <f t="shared" si="7"/>
        <v>-19.534028155051317</v>
      </c>
      <c r="T26" s="144">
        <f t="shared" si="8"/>
        <v>0</v>
      </c>
      <c r="V26" s="12"/>
    </row>
    <row r="27" spans="1:22" x14ac:dyDescent="0.25">
      <c r="A27" s="49">
        <f>'A) Base RI'!A28</f>
        <v>5427</v>
      </c>
      <c r="B27" s="352" t="str">
        <f>'A) Base RI'!B28</f>
        <v>Féchy</v>
      </c>
      <c r="C27" s="404">
        <v>2040576.0631844904</v>
      </c>
      <c r="D27" s="404">
        <v>1368878.6198054641</v>
      </c>
      <c r="E27" s="390">
        <v>0</v>
      </c>
      <c r="F27" s="390">
        <v>0</v>
      </c>
      <c r="G27" s="390">
        <v>0</v>
      </c>
      <c r="H27" s="404">
        <f t="shared" si="0"/>
        <v>3409454.6829899545</v>
      </c>
      <c r="I27" s="405">
        <v>72785.387066428128</v>
      </c>
      <c r="J27" s="356">
        <f>'B) D RI'!U28</f>
        <v>86694.092344793113</v>
      </c>
      <c r="K27" s="62">
        <f t="shared" si="1"/>
        <v>46.84257129632752</v>
      </c>
      <c r="L27" s="33">
        <f>'B) D RI'!S28</f>
        <v>64</v>
      </c>
      <c r="M27" s="33">
        <f t="shared" si="2"/>
        <v>17.15742870367248</v>
      </c>
      <c r="N27" s="33">
        <f>'J) Plafonnement effort'!G26+'J) Plafonnement effort'!I26-'K) Plafonnement aide'!I26</f>
        <v>48.841671977099786</v>
      </c>
      <c r="O27" s="125">
        <f t="shared" si="3"/>
        <v>65.999100680772273</v>
      </c>
      <c r="P27" s="47">
        <f t="shared" si="4"/>
        <v>0</v>
      </c>
      <c r="Q27" s="55">
        <f t="shared" si="5"/>
        <v>0</v>
      </c>
      <c r="R27" s="145">
        <f t="shared" si="6"/>
        <v>65.999100680772273</v>
      </c>
      <c r="S27" s="125">
        <f t="shared" si="7"/>
        <v>1.9991006807722727</v>
      </c>
      <c r="T27" s="144">
        <f t="shared" si="8"/>
        <v>0</v>
      </c>
      <c r="V27" s="12"/>
    </row>
    <row r="28" spans="1:22" x14ac:dyDescent="0.25">
      <c r="A28" s="49">
        <f>'A) Base RI'!A29</f>
        <v>5428</v>
      </c>
      <c r="B28" s="352" t="str">
        <f>'A) Base RI'!B29</f>
        <v>Gimel</v>
      </c>
      <c r="C28" s="404">
        <v>1328185.6343185578</v>
      </c>
      <c r="D28" s="404">
        <v>-139108.09434508136</v>
      </c>
      <c r="E28" s="390">
        <v>0</v>
      </c>
      <c r="F28" s="390">
        <v>0</v>
      </c>
      <c r="G28" s="390">
        <v>0</v>
      </c>
      <c r="H28" s="404">
        <f t="shared" si="0"/>
        <v>1189077.5399734764</v>
      </c>
      <c r="I28" s="405">
        <v>58910.135180018216</v>
      </c>
      <c r="J28" s="356">
        <f>'B) D RI'!U29</f>
        <v>66248.425772179224</v>
      </c>
      <c r="K28" s="62">
        <f t="shared" si="1"/>
        <v>20.184600431485698</v>
      </c>
      <c r="L28" s="33">
        <f>'B) D RI'!S29</f>
        <v>74.5</v>
      </c>
      <c r="M28" s="33">
        <f t="shared" si="2"/>
        <v>54.315399568514302</v>
      </c>
      <c r="N28" s="33">
        <f>'J) Plafonnement effort'!G27+'J) Plafonnement effort'!I27-'K) Plafonnement aide'!I27</f>
        <v>14.299204514945293</v>
      </c>
      <c r="O28" s="125">
        <f t="shared" si="3"/>
        <v>68.614604083459596</v>
      </c>
      <c r="P28" s="47">
        <f t="shared" si="4"/>
        <v>0</v>
      </c>
      <c r="Q28" s="55">
        <f t="shared" si="5"/>
        <v>0</v>
      </c>
      <c r="R28" s="145">
        <f t="shared" si="6"/>
        <v>68.614604083459596</v>
      </c>
      <c r="S28" s="125">
        <f t="shared" si="7"/>
        <v>-5.8853959165404035</v>
      </c>
      <c r="T28" s="144">
        <f t="shared" si="8"/>
        <v>0</v>
      </c>
      <c r="V28" s="12"/>
    </row>
    <row r="29" spans="1:22" x14ac:dyDescent="0.25">
      <c r="A29" s="49">
        <f>'A) Base RI'!A30</f>
        <v>5429</v>
      </c>
      <c r="B29" s="352" t="str">
        <f>'A) Base RI'!B30</f>
        <v>Longirod</v>
      </c>
      <c r="C29" s="404">
        <v>248450.77326805482</v>
      </c>
      <c r="D29" s="404">
        <v>19698.061329765711</v>
      </c>
      <c r="E29" s="390">
        <v>0</v>
      </c>
      <c r="F29" s="390">
        <v>0</v>
      </c>
      <c r="G29" s="390">
        <v>0</v>
      </c>
      <c r="H29" s="404">
        <f t="shared" si="0"/>
        <v>268148.83459782053</v>
      </c>
      <c r="I29" s="405">
        <v>13766.784256066006</v>
      </c>
      <c r="J29" s="356">
        <f>'B) D RI'!U30</f>
        <v>15299.789438077625</v>
      </c>
      <c r="K29" s="62">
        <f t="shared" si="1"/>
        <v>19.477957205559253</v>
      </c>
      <c r="L29" s="33">
        <f>'B) D RI'!S30</f>
        <v>81</v>
      </c>
      <c r="M29" s="33">
        <f t="shared" si="2"/>
        <v>61.52204279444075</v>
      </c>
      <c r="N29" s="33">
        <f>'J) Plafonnement effort'!G28+'J) Plafonnement effort'!I28-'K) Plafonnement aide'!I28</f>
        <v>17.306826075927368</v>
      </c>
      <c r="O29" s="125">
        <f t="shared" si="3"/>
        <v>78.828868870368126</v>
      </c>
      <c r="P29" s="47">
        <f t="shared" si="4"/>
        <v>0</v>
      </c>
      <c r="Q29" s="55">
        <f t="shared" si="5"/>
        <v>0</v>
      </c>
      <c r="R29" s="145">
        <f t="shared" si="6"/>
        <v>78.828868870368126</v>
      </c>
      <c r="S29" s="125">
        <f t="shared" si="7"/>
        <v>-2.171131129631874</v>
      </c>
      <c r="T29" s="144">
        <f t="shared" si="8"/>
        <v>0</v>
      </c>
      <c r="V29" s="12"/>
    </row>
    <row r="30" spans="1:22" x14ac:dyDescent="0.25">
      <c r="A30" s="49">
        <f>'A) Base RI'!A31</f>
        <v>5430</v>
      </c>
      <c r="B30" s="352" t="str">
        <f>'A) Base RI'!B31</f>
        <v>Marchissy</v>
      </c>
      <c r="C30" s="404">
        <v>247639.83893369537</v>
      </c>
      <c r="D30" s="404">
        <v>44358.441487051314</v>
      </c>
      <c r="E30" s="390">
        <v>0</v>
      </c>
      <c r="F30" s="390">
        <v>0</v>
      </c>
      <c r="G30" s="390">
        <v>0</v>
      </c>
      <c r="H30" s="404">
        <f t="shared" si="0"/>
        <v>291998.28042074665</v>
      </c>
      <c r="I30" s="405">
        <v>13685.946067131534</v>
      </c>
      <c r="J30" s="356">
        <f>'B) D RI'!U31</f>
        <v>14892.112085590652</v>
      </c>
      <c r="K30" s="62">
        <f t="shared" si="1"/>
        <v>21.335629921998311</v>
      </c>
      <c r="L30" s="33">
        <f>'B) D RI'!S31</f>
        <v>79</v>
      </c>
      <c r="M30" s="33">
        <f t="shared" si="2"/>
        <v>57.664370078001689</v>
      </c>
      <c r="N30" s="33">
        <f>'J) Plafonnement effort'!G29+'J) Plafonnement effort'!I29-'K) Plafonnement aide'!I29</f>
        <v>17.060024148940528</v>
      </c>
      <c r="O30" s="125">
        <f t="shared" si="3"/>
        <v>74.724394226942223</v>
      </c>
      <c r="P30" s="47">
        <f t="shared" si="4"/>
        <v>0</v>
      </c>
      <c r="Q30" s="55">
        <f t="shared" si="5"/>
        <v>0</v>
      </c>
      <c r="R30" s="145">
        <f t="shared" si="6"/>
        <v>74.724394226942223</v>
      </c>
      <c r="S30" s="125">
        <f t="shared" si="7"/>
        <v>-4.2756057730577766</v>
      </c>
      <c r="T30" s="144">
        <f t="shared" si="8"/>
        <v>0</v>
      </c>
      <c r="V30" s="12"/>
    </row>
    <row r="31" spans="1:22" x14ac:dyDescent="0.25">
      <c r="A31" s="49">
        <f>'A) Base RI'!A32</f>
        <v>5431</v>
      </c>
      <c r="B31" s="352" t="str">
        <f>'A) Base RI'!B32</f>
        <v>Mollens</v>
      </c>
      <c r="C31" s="404">
        <v>180566.61410347995</v>
      </c>
      <c r="D31" s="404">
        <v>51432.769732705259</v>
      </c>
      <c r="E31" s="390">
        <v>0</v>
      </c>
      <c r="F31" s="390">
        <v>0</v>
      </c>
      <c r="G31" s="390">
        <v>0</v>
      </c>
      <c r="H31" s="404">
        <f t="shared" si="0"/>
        <v>231999.38383618521</v>
      </c>
      <c r="I31" s="405">
        <v>8631.0396252458468</v>
      </c>
      <c r="J31" s="356">
        <f>'B) D RI'!U32</f>
        <v>10626.564516518391</v>
      </c>
      <c r="K31" s="62">
        <f t="shared" si="1"/>
        <v>26.879656902232902</v>
      </c>
      <c r="L31" s="33">
        <f>'B) D RI'!S32</f>
        <v>74</v>
      </c>
      <c r="M31" s="33">
        <f t="shared" si="2"/>
        <v>47.120343097767098</v>
      </c>
      <c r="N31" s="33">
        <f>'J) Plafonnement effort'!G30+'J) Plafonnement effort'!I30-'K) Plafonnement aide'!I30</f>
        <v>27.124186430838321</v>
      </c>
      <c r="O31" s="125">
        <f t="shared" si="3"/>
        <v>74.244529528605426</v>
      </c>
      <c r="P31" s="47">
        <f t="shared" si="4"/>
        <v>0</v>
      </c>
      <c r="Q31" s="55">
        <f t="shared" si="5"/>
        <v>0</v>
      </c>
      <c r="R31" s="145">
        <f t="shared" si="6"/>
        <v>74.244529528605426</v>
      </c>
      <c r="S31" s="125">
        <f t="shared" si="7"/>
        <v>0.24452952860542609</v>
      </c>
      <c r="T31" s="144">
        <f t="shared" si="8"/>
        <v>0</v>
      </c>
      <c r="V31" s="12"/>
    </row>
    <row r="32" spans="1:22" x14ac:dyDescent="0.25">
      <c r="A32" s="49">
        <f>'A) Base RI'!A33</f>
        <v>5434</v>
      </c>
      <c r="B32" s="352" t="str">
        <f>'A) Base RI'!B33</f>
        <v>Saint-George</v>
      </c>
      <c r="C32" s="404">
        <v>738779.82355164806</v>
      </c>
      <c r="D32" s="404">
        <v>416875.85399137344</v>
      </c>
      <c r="E32" s="390">
        <v>0</v>
      </c>
      <c r="F32" s="390">
        <v>0</v>
      </c>
      <c r="G32" s="390">
        <v>0</v>
      </c>
      <c r="H32" s="404">
        <f t="shared" si="0"/>
        <v>1155655.6775430215</v>
      </c>
      <c r="I32" s="405">
        <v>36673.941124861783</v>
      </c>
      <c r="J32" s="356">
        <f>'B) D RI'!U33</f>
        <v>39849.055598308893</v>
      </c>
      <c r="K32" s="62">
        <f t="shared" si="1"/>
        <v>31.511630386503136</v>
      </c>
      <c r="L32" s="33">
        <f>'B) D RI'!S33</f>
        <v>71</v>
      </c>
      <c r="M32" s="33">
        <f t="shared" si="2"/>
        <v>39.488369613496864</v>
      </c>
      <c r="N32" s="33">
        <f>'J) Plafonnement effort'!G31+'J) Plafonnement effort'!I31-'K) Plafonnement aide'!I31</f>
        <v>28.146381506108945</v>
      </c>
      <c r="O32" s="125">
        <f t="shared" si="3"/>
        <v>67.634751119605809</v>
      </c>
      <c r="P32" s="47">
        <f t="shared" si="4"/>
        <v>0</v>
      </c>
      <c r="Q32" s="55">
        <f t="shared" si="5"/>
        <v>0</v>
      </c>
      <c r="R32" s="145">
        <f t="shared" si="6"/>
        <v>67.634751119605809</v>
      </c>
      <c r="S32" s="125">
        <f t="shared" si="7"/>
        <v>-3.3652488803941907</v>
      </c>
      <c r="T32" s="144">
        <f t="shared" si="8"/>
        <v>0</v>
      </c>
      <c r="V32" s="12"/>
    </row>
    <row r="33" spans="1:22" x14ac:dyDescent="0.25">
      <c r="A33" s="49">
        <f>'A) Base RI'!A34</f>
        <v>5435</v>
      </c>
      <c r="B33" s="352" t="str">
        <f>'A) Base RI'!B34</f>
        <v>Saint-Livres</v>
      </c>
      <c r="C33" s="404">
        <v>416068.22574521776</v>
      </c>
      <c r="D33" s="404">
        <v>274696.94331241236</v>
      </c>
      <c r="E33" s="390">
        <v>0</v>
      </c>
      <c r="F33" s="390">
        <v>0</v>
      </c>
      <c r="G33" s="390">
        <v>0</v>
      </c>
      <c r="H33" s="404">
        <f t="shared" si="0"/>
        <v>690765.16905763012</v>
      </c>
      <c r="I33" s="405">
        <v>24134.317552979472</v>
      </c>
      <c r="J33" s="356">
        <f>'B) D RI'!U34</f>
        <v>24291.940869565216</v>
      </c>
      <c r="K33" s="62">
        <f t="shared" si="1"/>
        <v>28.621698854391372</v>
      </c>
      <c r="L33" s="33">
        <f>'B) D RI'!S34</f>
        <v>69</v>
      </c>
      <c r="M33" s="33">
        <f t="shared" si="2"/>
        <v>40.378301145608631</v>
      </c>
      <c r="N33" s="33">
        <f>'J) Plafonnement effort'!G32+'J) Plafonnement effort'!I32-'K) Plafonnement aide'!I32</f>
        <v>24.244381296946546</v>
      </c>
      <c r="O33" s="125">
        <f t="shared" si="3"/>
        <v>64.622682442555174</v>
      </c>
      <c r="P33" s="47">
        <f t="shared" si="4"/>
        <v>0</v>
      </c>
      <c r="Q33" s="55">
        <f t="shared" si="5"/>
        <v>0</v>
      </c>
      <c r="R33" s="145">
        <f t="shared" si="6"/>
        <v>64.622682442555174</v>
      </c>
      <c r="S33" s="125">
        <f t="shared" si="7"/>
        <v>-4.377317557444826</v>
      </c>
      <c r="T33" s="144">
        <f t="shared" si="8"/>
        <v>0</v>
      </c>
      <c r="V33" s="12"/>
    </row>
    <row r="34" spans="1:22" x14ac:dyDescent="0.25">
      <c r="A34" s="49">
        <f>'A) Base RI'!A35</f>
        <v>5436</v>
      </c>
      <c r="B34" s="352" t="str">
        <f>'A) Base RI'!B35</f>
        <v>Saint-Oyens</v>
      </c>
      <c r="C34" s="404">
        <v>289544.04333683412</v>
      </c>
      <c r="D34" s="404">
        <v>119485.43078379915</v>
      </c>
      <c r="E34" s="390">
        <v>0</v>
      </c>
      <c r="F34" s="390">
        <v>0</v>
      </c>
      <c r="G34" s="390">
        <v>0</v>
      </c>
      <c r="H34" s="404">
        <f t="shared" si="0"/>
        <v>409029.47412063327</v>
      </c>
      <c r="I34" s="405">
        <v>15081.317332619743</v>
      </c>
      <c r="J34" s="356">
        <f>'B) D RI'!U35</f>
        <v>16655.571776721274</v>
      </c>
      <c r="K34" s="62">
        <f t="shared" si="1"/>
        <v>27.121601190363762</v>
      </c>
      <c r="L34" s="33">
        <f>'B) D RI'!S35</f>
        <v>81</v>
      </c>
      <c r="M34" s="33">
        <f t="shared" si="2"/>
        <v>53.878398809636238</v>
      </c>
      <c r="N34" s="33">
        <f>'J) Plafonnement effort'!G33+'J) Plafonnement effort'!I33-'K) Plafonnement aide'!I33</f>
        <v>26.982764294902729</v>
      </c>
      <c r="O34" s="125">
        <f t="shared" si="3"/>
        <v>80.861163104538974</v>
      </c>
      <c r="P34" s="47">
        <f t="shared" si="4"/>
        <v>0</v>
      </c>
      <c r="Q34" s="55">
        <f t="shared" si="5"/>
        <v>0</v>
      </c>
      <c r="R34" s="145">
        <f t="shared" si="6"/>
        <v>80.861163104538974</v>
      </c>
      <c r="S34" s="125">
        <f t="shared" si="7"/>
        <v>-0.13883689546102573</v>
      </c>
      <c r="T34" s="144">
        <f t="shared" si="8"/>
        <v>0</v>
      </c>
      <c r="V34" s="12"/>
    </row>
    <row r="35" spans="1:22" x14ac:dyDescent="0.25">
      <c r="A35" s="49">
        <f>'A) Base RI'!A36</f>
        <v>5437</v>
      </c>
      <c r="B35" s="352" t="str">
        <f>'A) Base RI'!B36</f>
        <v>Saubraz</v>
      </c>
      <c r="C35" s="404">
        <v>216063.03472469212</v>
      </c>
      <c r="D35" s="404">
        <v>-9181.1485379166843</v>
      </c>
      <c r="E35" s="390">
        <v>0</v>
      </c>
      <c r="F35" s="390">
        <v>0</v>
      </c>
      <c r="G35" s="390">
        <v>0</v>
      </c>
      <c r="H35" s="404">
        <f t="shared" si="0"/>
        <v>206881.88618677543</v>
      </c>
      <c r="I35" s="405">
        <v>11367.539443741156</v>
      </c>
      <c r="J35" s="356">
        <f>'B) D RI'!U36</f>
        <v>13155.457431390041</v>
      </c>
      <c r="K35" s="62">
        <f t="shared" si="1"/>
        <v>18.199355032867938</v>
      </c>
      <c r="L35" s="33">
        <f>'B) D RI'!S36</f>
        <v>80</v>
      </c>
      <c r="M35" s="33">
        <f t="shared" si="2"/>
        <v>61.800644967132058</v>
      </c>
      <c r="N35" s="33">
        <f>'J) Plafonnement effort'!G34+'J) Plafonnement effort'!I34-'K) Plafonnement aide'!I34</f>
        <v>19.374096117428838</v>
      </c>
      <c r="O35" s="125">
        <f>M35+N35</f>
        <v>81.174741084560893</v>
      </c>
      <c r="P35" s="47">
        <f t="shared" si="4"/>
        <v>0</v>
      </c>
      <c r="Q35" s="55">
        <f t="shared" si="5"/>
        <v>0</v>
      </c>
      <c r="R35" s="145">
        <f t="shared" si="6"/>
        <v>81.174741084560893</v>
      </c>
      <c r="S35" s="125">
        <f t="shared" si="7"/>
        <v>1.1747410845608925</v>
      </c>
      <c r="T35" s="144">
        <f t="shared" si="8"/>
        <v>0</v>
      </c>
      <c r="V35" s="12"/>
    </row>
    <row r="36" spans="1:22" x14ac:dyDescent="0.25">
      <c r="A36" s="49">
        <f>'A) Base RI'!A37</f>
        <v>5451</v>
      </c>
      <c r="B36" s="352" t="str">
        <f>'A) Base RI'!B37</f>
        <v>Avenches</v>
      </c>
      <c r="C36" s="404">
        <v>2686373.292610242</v>
      </c>
      <c r="D36" s="404">
        <v>12780.59727854887</v>
      </c>
      <c r="E36" s="390">
        <v>0</v>
      </c>
      <c r="F36" s="390">
        <v>0</v>
      </c>
      <c r="G36" s="390">
        <v>0</v>
      </c>
      <c r="H36" s="404">
        <f t="shared" si="0"/>
        <v>2699153.8898887909</v>
      </c>
      <c r="I36" s="405">
        <v>129470.05703979287</v>
      </c>
      <c r="J36" s="356">
        <f>'B) D RI'!U37</f>
        <v>131058.88480778445</v>
      </c>
      <c r="K36" s="62">
        <f t="shared" si="1"/>
        <v>20.847707582759469</v>
      </c>
      <c r="L36" s="33">
        <f>'B) D RI'!S37</f>
        <v>68</v>
      </c>
      <c r="M36" s="33">
        <f t="shared" si="2"/>
        <v>47.152292417240531</v>
      </c>
      <c r="N36" s="33">
        <f>'J) Plafonnement effort'!G35+'J) Plafonnement effort'!I35-'K) Plafonnement aide'!I35</f>
        <v>8.0201892422511758</v>
      </c>
      <c r="O36" s="125">
        <f t="shared" si="3"/>
        <v>55.172481659491709</v>
      </c>
      <c r="P36" s="47">
        <f t="shared" si="4"/>
        <v>0</v>
      </c>
      <c r="Q36" s="55">
        <f t="shared" si="5"/>
        <v>0</v>
      </c>
      <c r="R36" s="145">
        <f t="shared" si="6"/>
        <v>55.172481659491709</v>
      </c>
      <c r="S36" s="125">
        <f t="shared" si="7"/>
        <v>-12.827518340508291</v>
      </c>
      <c r="T36" s="144">
        <f t="shared" si="8"/>
        <v>0</v>
      </c>
      <c r="V36" s="12"/>
    </row>
    <row r="37" spans="1:22" x14ac:dyDescent="0.25">
      <c r="A37" s="49">
        <f>'A) Base RI'!A38</f>
        <v>5456</v>
      </c>
      <c r="B37" s="352" t="str">
        <f>'A) Base RI'!B38</f>
        <v>Cudrefin</v>
      </c>
      <c r="C37" s="404">
        <v>1147501.1229770645</v>
      </c>
      <c r="D37" s="404">
        <v>612126.03470567171</v>
      </c>
      <c r="E37" s="390">
        <v>0</v>
      </c>
      <c r="F37" s="390">
        <v>0</v>
      </c>
      <c r="G37" s="390">
        <v>0</v>
      </c>
      <c r="H37" s="404">
        <f t="shared" si="0"/>
        <v>1759627.1576827362</v>
      </c>
      <c r="I37" s="405">
        <v>57775.409957876167</v>
      </c>
      <c r="J37" s="356">
        <f>'B) D RI'!U38</f>
        <v>57483.919740251898</v>
      </c>
      <c r="K37" s="62">
        <f t="shared" si="1"/>
        <v>30.456333567614209</v>
      </c>
      <c r="L37" s="33">
        <f>'B) D RI'!S38</f>
        <v>59</v>
      </c>
      <c r="M37" s="33">
        <f t="shared" si="2"/>
        <v>28.543666432385791</v>
      </c>
      <c r="N37" s="33">
        <f>'J) Plafonnement effort'!G36+'J) Plafonnement effort'!I36-'K) Plafonnement aide'!I36</f>
        <v>27.270363878416681</v>
      </c>
      <c r="O37" s="125">
        <f t="shared" si="3"/>
        <v>55.814030310802472</v>
      </c>
      <c r="P37" s="47">
        <f t="shared" si="4"/>
        <v>0</v>
      </c>
      <c r="Q37" s="55">
        <f t="shared" si="5"/>
        <v>0</v>
      </c>
      <c r="R37" s="145">
        <f t="shared" si="6"/>
        <v>55.814030310802472</v>
      </c>
      <c r="S37" s="125">
        <f t="shared" si="7"/>
        <v>-3.1859696891975275</v>
      </c>
      <c r="T37" s="144">
        <f t="shared" si="8"/>
        <v>0</v>
      </c>
      <c r="V37" s="12"/>
    </row>
    <row r="38" spans="1:22" x14ac:dyDescent="0.25">
      <c r="A38" s="49">
        <f>'A) Base RI'!A39</f>
        <v>5458</v>
      </c>
      <c r="B38" s="352" t="str">
        <f>'A) Base RI'!B39</f>
        <v>Faoug</v>
      </c>
      <c r="C38" s="404">
        <v>587662.19126517198</v>
      </c>
      <c r="D38" s="404">
        <v>325199.76106043457</v>
      </c>
      <c r="E38" s="390">
        <v>0</v>
      </c>
      <c r="F38" s="390">
        <v>0</v>
      </c>
      <c r="G38" s="390">
        <v>0</v>
      </c>
      <c r="H38" s="404">
        <f t="shared" si="0"/>
        <v>912861.95232560649</v>
      </c>
      <c r="I38" s="405">
        <v>30027.038437033407</v>
      </c>
      <c r="J38" s="356">
        <f>'B) D RI'!U39</f>
        <v>33103.176846222719</v>
      </c>
      <c r="K38" s="62">
        <f t="shared" si="1"/>
        <v>30.401331594518545</v>
      </c>
      <c r="L38" s="33">
        <f>'B) D RI'!S39</f>
        <v>66</v>
      </c>
      <c r="M38" s="33">
        <f t="shared" si="2"/>
        <v>35.598668405481455</v>
      </c>
      <c r="N38" s="33">
        <f>'J) Plafonnement effort'!G37+'J) Plafonnement effort'!I37-'K) Plafonnement aide'!I37</f>
        <v>32.615073186622936</v>
      </c>
      <c r="O38" s="125">
        <f t="shared" si="3"/>
        <v>68.213741592104384</v>
      </c>
      <c r="P38" s="47">
        <f t="shared" si="4"/>
        <v>0</v>
      </c>
      <c r="Q38" s="55">
        <f t="shared" si="5"/>
        <v>0</v>
      </c>
      <c r="R38" s="145">
        <f t="shared" si="6"/>
        <v>68.213741592104384</v>
      </c>
      <c r="S38" s="125">
        <f t="shared" si="7"/>
        <v>2.2137415921043839</v>
      </c>
      <c r="T38" s="144">
        <f t="shared" si="8"/>
        <v>0</v>
      </c>
      <c r="V38" s="12"/>
    </row>
    <row r="39" spans="1:22" x14ac:dyDescent="0.25">
      <c r="A39" s="49">
        <f>'A) Base RI'!A40</f>
        <v>5464</v>
      </c>
      <c r="B39" s="352" t="str">
        <f>'A) Base RI'!B40</f>
        <v>Vully-les-Lacs</v>
      </c>
      <c r="C39" s="404">
        <v>1987182.5393773981</v>
      </c>
      <c r="D39" s="404">
        <v>517826.8172661413</v>
      </c>
      <c r="E39" s="390">
        <v>0</v>
      </c>
      <c r="F39" s="390">
        <v>0</v>
      </c>
      <c r="G39" s="390">
        <v>0</v>
      </c>
      <c r="H39" s="404">
        <f t="shared" si="0"/>
        <v>2505009.3566435394</v>
      </c>
      <c r="I39" s="405">
        <v>103697.32714902573</v>
      </c>
      <c r="J39" s="356">
        <f>'B) D RI'!U40</f>
        <v>112706.50074312353</v>
      </c>
      <c r="K39" s="62">
        <f t="shared" si="1"/>
        <v>24.156932734086144</v>
      </c>
      <c r="L39" s="33">
        <f>'B) D RI'!S40</f>
        <v>67</v>
      </c>
      <c r="M39" s="33">
        <f t="shared" si="2"/>
        <v>42.843067265913859</v>
      </c>
      <c r="N39" s="33">
        <f>'J) Plafonnement effort'!G38+'J) Plafonnement effort'!I38-'K) Plafonnement aide'!I38</f>
        <v>19.415284490883309</v>
      </c>
      <c r="O39" s="125">
        <f t="shared" si="3"/>
        <v>62.258351756797168</v>
      </c>
      <c r="P39" s="47">
        <f t="shared" si="4"/>
        <v>0</v>
      </c>
      <c r="Q39" s="55">
        <f t="shared" si="5"/>
        <v>0</v>
      </c>
      <c r="R39" s="145">
        <f t="shared" si="6"/>
        <v>62.258351756797168</v>
      </c>
      <c r="S39" s="125">
        <f t="shared" si="7"/>
        <v>-4.7416482432028317</v>
      </c>
      <c r="T39" s="144">
        <f t="shared" si="8"/>
        <v>0</v>
      </c>
      <c r="V39" s="12"/>
    </row>
    <row r="40" spans="1:22" x14ac:dyDescent="0.25">
      <c r="A40" s="49">
        <f>'A) Base RI'!A41</f>
        <v>5471</v>
      </c>
      <c r="B40" s="352" t="str">
        <f>'A) Base RI'!B41</f>
        <v>Bettens</v>
      </c>
      <c r="C40" s="404">
        <v>317681.05515451741</v>
      </c>
      <c r="D40" s="404">
        <v>135040.42283841752</v>
      </c>
      <c r="E40" s="390">
        <v>0</v>
      </c>
      <c r="F40" s="390">
        <v>0</v>
      </c>
      <c r="G40" s="390">
        <v>0</v>
      </c>
      <c r="H40" s="404">
        <f t="shared" si="0"/>
        <v>452721.47799293493</v>
      </c>
      <c r="I40" s="405">
        <v>18256.794083184803</v>
      </c>
      <c r="J40" s="356">
        <f>'B) D RI'!U41</f>
        <v>21669.887846159098</v>
      </c>
      <c r="K40" s="62">
        <f t="shared" si="1"/>
        <v>24.797424779518575</v>
      </c>
      <c r="L40" s="33">
        <f>'B) D RI'!S41</f>
        <v>70</v>
      </c>
      <c r="M40" s="33">
        <f t="shared" si="2"/>
        <v>45.202575220481421</v>
      </c>
      <c r="N40" s="33">
        <f>'J) Plafonnement effort'!G39+'J) Plafonnement effort'!I39-'K) Plafonnement aide'!I39</f>
        <v>25.263466227710129</v>
      </c>
      <c r="O40" s="125">
        <f t="shared" si="3"/>
        <v>70.466041448191547</v>
      </c>
      <c r="P40" s="47">
        <f t="shared" si="4"/>
        <v>0</v>
      </c>
      <c r="Q40" s="55">
        <f t="shared" si="5"/>
        <v>0</v>
      </c>
      <c r="R40" s="145">
        <f t="shared" si="6"/>
        <v>70.466041448191547</v>
      </c>
      <c r="S40" s="125">
        <f t="shared" si="7"/>
        <v>0.46604144819154669</v>
      </c>
      <c r="T40" s="144">
        <f t="shared" si="8"/>
        <v>0</v>
      </c>
      <c r="V40" s="12"/>
    </row>
    <row r="41" spans="1:22" x14ac:dyDescent="0.25">
      <c r="A41" s="49">
        <f>'A) Base RI'!A42</f>
        <v>5472</v>
      </c>
      <c r="B41" s="352" t="str">
        <f>'A) Base RI'!B42</f>
        <v>Bournens</v>
      </c>
      <c r="C41" s="404">
        <v>274237.10927311529</v>
      </c>
      <c r="D41" s="404">
        <v>244913.93297076764</v>
      </c>
      <c r="E41" s="390">
        <v>0</v>
      </c>
      <c r="F41" s="390">
        <v>0</v>
      </c>
      <c r="G41" s="390">
        <v>0</v>
      </c>
      <c r="H41" s="404">
        <f t="shared" si="0"/>
        <v>519151.0422438829</v>
      </c>
      <c r="I41" s="405">
        <v>16446.057551579073</v>
      </c>
      <c r="J41" s="356">
        <f>'B) D RI'!U42</f>
        <v>15019.940865033717</v>
      </c>
      <c r="K41" s="62">
        <f t="shared" si="1"/>
        <v>31.566899277574063</v>
      </c>
      <c r="L41" s="33">
        <f>'B) D RI'!S42</f>
        <v>76</v>
      </c>
      <c r="M41" s="33">
        <f t="shared" si="2"/>
        <v>44.433100722425934</v>
      </c>
      <c r="N41" s="33">
        <f>'J) Plafonnement effort'!G40+'J) Plafonnement effort'!I40-'K) Plafonnement aide'!I40</f>
        <v>26.488743060458724</v>
      </c>
      <c r="O41" s="125">
        <f t="shared" si="3"/>
        <v>70.92184378288465</v>
      </c>
      <c r="P41" s="47">
        <f t="shared" si="4"/>
        <v>0</v>
      </c>
      <c r="Q41" s="55">
        <f t="shared" si="5"/>
        <v>0</v>
      </c>
      <c r="R41" s="145">
        <f t="shared" si="6"/>
        <v>70.92184378288465</v>
      </c>
      <c r="S41" s="125">
        <f t="shared" si="7"/>
        <v>-5.0781562171153496</v>
      </c>
      <c r="T41" s="144">
        <f t="shared" si="8"/>
        <v>0</v>
      </c>
      <c r="V41" s="12"/>
    </row>
    <row r="42" spans="1:22" x14ac:dyDescent="0.25">
      <c r="A42" s="49">
        <f>'A) Base RI'!A43</f>
        <v>5473</v>
      </c>
      <c r="B42" s="352" t="str">
        <f>'A) Base RI'!B43</f>
        <v>Boussens</v>
      </c>
      <c r="C42" s="404">
        <v>591272.85508283856</v>
      </c>
      <c r="D42" s="404">
        <v>460183.0543613137</v>
      </c>
      <c r="E42" s="390">
        <v>0</v>
      </c>
      <c r="F42" s="390">
        <v>0</v>
      </c>
      <c r="G42" s="390">
        <v>0</v>
      </c>
      <c r="H42" s="404">
        <f t="shared" si="0"/>
        <v>1051455.9094441524</v>
      </c>
      <c r="I42" s="405">
        <v>35765.75205607291</v>
      </c>
      <c r="J42" s="356">
        <f>'B) D RI'!U43</f>
        <v>34282.214706986073</v>
      </c>
      <c r="K42" s="62">
        <f t="shared" si="1"/>
        <v>29.398400676594147</v>
      </c>
      <c r="L42" s="33">
        <f>'B) D RI'!S43</f>
        <v>69</v>
      </c>
      <c r="M42" s="33">
        <f t="shared" si="2"/>
        <v>39.60159932340585</v>
      </c>
      <c r="N42" s="33">
        <f>'J) Plafonnement effort'!G41+'J) Plafonnement effort'!I41-'K) Plafonnement aide'!I41</f>
        <v>26.417739792206632</v>
      </c>
      <c r="O42" s="125">
        <f t="shared" si="3"/>
        <v>66.019339115612482</v>
      </c>
      <c r="P42" s="47">
        <f t="shared" si="4"/>
        <v>0</v>
      </c>
      <c r="Q42" s="55">
        <f t="shared" si="5"/>
        <v>0</v>
      </c>
      <c r="R42" s="145">
        <f t="shared" si="6"/>
        <v>66.019339115612482</v>
      </c>
      <c r="S42" s="125">
        <f t="shared" si="7"/>
        <v>-2.9806608843875182</v>
      </c>
      <c r="T42" s="144">
        <f t="shared" si="8"/>
        <v>0</v>
      </c>
      <c r="V42" s="12"/>
    </row>
    <row r="43" spans="1:22" x14ac:dyDescent="0.25">
      <c r="A43" s="49">
        <f>'A) Base RI'!A44</f>
        <v>5474</v>
      </c>
      <c r="B43" s="352" t="str">
        <f>'A) Base RI'!B44</f>
        <v>La Chaux (Cossonay)</v>
      </c>
      <c r="C43" s="404">
        <v>197891.1324604757</v>
      </c>
      <c r="D43" s="404">
        <v>84456.612856779306</v>
      </c>
      <c r="E43" s="390">
        <v>0</v>
      </c>
      <c r="F43" s="390">
        <v>0</v>
      </c>
      <c r="G43" s="390">
        <v>0</v>
      </c>
      <c r="H43" s="404">
        <f t="shared" si="0"/>
        <v>282347.74531725503</v>
      </c>
      <c r="I43" s="405">
        <v>12972.284673481885</v>
      </c>
      <c r="J43" s="356">
        <f>'B) D RI'!U44</f>
        <v>15312.847748917748</v>
      </c>
      <c r="K43" s="62">
        <f t="shared" si="1"/>
        <v>21.765460165581626</v>
      </c>
      <c r="L43" s="33">
        <f>'B) D RI'!S44</f>
        <v>77</v>
      </c>
      <c r="M43" s="33">
        <f t="shared" si="2"/>
        <v>55.234539834418371</v>
      </c>
      <c r="N43" s="33">
        <f>'J) Plafonnement effort'!G42+'J) Plafonnement effort'!I42-'K) Plafonnement aide'!I42</f>
        <v>21.265574687706582</v>
      </c>
      <c r="O43" s="125">
        <f t="shared" si="3"/>
        <v>76.50011452212496</v>
      </c>
      <c r="P43" s="47">
        <f t="shared" si="4"/>
        <v>0</v>
      </c>
      <c r="Q43" s="55">
        <f t="shared" si="5"/>
        <v>0</v>
      </c>
      <c r="R43" s="145">
        <f t="shared" si="6"/>
        <v>76.50011452212496</v>
      </c>
      <c r="S43" s="125">
        <f t="shared" si="7"/>
        <v>-0.4998854778750399</v>
      </c>
      <c r="T43" s="144">
        <f t="shared" si="8"/>
        <v>0</v>
      </c>
      <c r="V43" s="12"/>
    </row>
    <row r="44" spans="1:22" x14ac:dyDescent="0.25">
      <c r="A44" s="49">
        <f>'A) Base RI'!A45</f>
        <v>5475</v>
      </c>
      <c r="B44" s="352" t="str">
        <f>'A) Base RI'!B45</f>
        <v>Chavannes-le-Veyron</v>
      </c>
      <c r="C44" s="404">
        <v>107832.41197140559</v>
      </c>
      <c r="D44" s="404">
        <v>47202.89629452127</v>
      </c>
      <c r="E44" s="390">
        <v>0</v>
      </c>
      <c r="F44" s="390">
        <v>0</v>
      </c>
      <c r="G44" s="390">
        <v>0</v>
      </c>
      <c r="H44" s="404">
        <f t="shared" si="0"/>
        <v>155035.30826592684</v>
      </c>
      <c r="I44" s="405">
        <v>4902.1559506290205</v>
      </c>
      <c r="J44" s="356">
        <f>'B) D RI'!U45</f>
        <v>3043.2190909090909</v>
      </c>
      <c r="K44" s="62">
        <f t="shared" si="1"/>
        <v>31.625943733192223</v>
      </c>
      <c r="L44" s="33">
        <f>'B) D RI'!S45</f>
        <v>77</v>
      </c>
      <c r="M44" s="33">
        <f t="shared" si="2"/>
        <v>45.374056266807777</v>
      </c>
      <c r="N44" s="33">
        <f>'J) Plafonnement effort'!G43+'J) Plafonnement effort'!I43-'K) Plafonnement aide'!I43</f>
        <v>-3.2116758297323429</v>
      </c>
      <c r="O44" s="125">
        <f t="shared" si="3"/>
        <v>42.162380437075434</v>
      </c>
      <c r="P44" s="47">
        <f t="shared" si="4"/>
        <v>0</v>
      </c>
      <c r="Q44" s="55">
        <f t="shared" si="5"/>
        <v>0</v>
      </c>
      <c r="R44" s="145">
        <f t="shared" si="6"/>
        <v>42.162380437075434</v>
      </c>
      <c r="S44" s="125">
        <f t="shared" si="7"/>
        <v>-34.837619562924566</v>
      </c>
      <c r="T44" s="144">
        <f t="shared" si="8"/>
        <v>0</v>
      </c>
      <c r="V44" s="12"/>
    </row>
    <row r="45" spans="1:22" x14ac:dyDescent="0.25">
      <c r="A45" s="49">
        <f>'A) Base RI'!A46</f>
        <v>5476</v>
      </c>
      <c r="B45" s="352" t="str">
        <f>'A) Base RI'!B46</f>
        <v>Chevilly</v>
      </c>
      <c r="C45" s="404">
        <v>164452.67528276722</v>
      </c>
      <c r="D45" s="404">
        <v>103773.2375792355</v>
      </c>
      <c r="E45" s="390">
        <v>0</v>
      </c>
      <c r="F45" s="390">
        <v>0</v>
      </c>
      <c r="G45" s="390">
        <v>0</v>
      </c>
      <c r="H45" s="404">
        <f t="shared" si="0"/>
        <v>268225.91286200273</v>
      </c>
      <c r="I45" s="405">
        <v>10687.030816086675</v>
      </c>
      <c r="J45" s="356">
        <f>'B) D RI'!U46</f>
        <v>12636.676556913548</v>
      </c>
      <c r="K45" s="62">
        <f t="shared" si="1"/>
        <v>25.09826325739186</v>
      </c>
      <c r="L45" s="33">
        <f>'B) D RI'!S46</f>
        <v>74</v>
      </c>
      <c r="M45" s="33">
        <f t="shared" si="2"/>
        <v>48.901736742608136</v>
      </c>
      <c r="N45" s="33">
        <f>'J) Plafonnement effort'!G44+'J) Plafonnement effort'!I44-'K) Plafonnement aide'!I44</f>
        <v>27.697453697412158</v>
      </c>
      <c r="O45" s="125">
        <f t="shared" si="3"/>
        <v>76.599190440020294</v>
      </c>
      <c r="P45" s="47">
        <f t="shared" si="4"/>
        <v>0</v>
      </c>
      <c r="Q45" s="55">
        <f t="shared" si="5"/>
        <v>0</v>
      </c>
      <c r="R45" s="145">
        <f t="shared" si="6"/>
        <v>76.599190440020294</v>
      </c>
      <c r="S45" s="125">
        <f t="shared" si="7"/>
        <v>2.5991904400202941</v>
      </c>
      <c r="T45" s="144">
        <f t="shared" si="8"/>
        <v>0</v>
      </c>
      <c r="V45" s="12"/>
    </row>
    <row r="46" spans="1:22" x14ac:dyDescent="0.25">
      <c r="A46" s="49">
        <f>'A) Base RI'!A47</f>
        <v>5477</v>
      </c>
      <c r="B46" s="352" t="str">
        <f>'A) Base RI'!B47</f>
        <v>Cossonay</v>
      </c>
      <c r="C46" s="404">
        <v>2405882.7743256479</v>
      </c>
      <c r="D46" s="404">
        <v>488534.08465731284</v>
      </c>
      <c r="E46" s="390">
        <v>0</v>
      </c>
      <c r="F46" s="390">
        <v>0</v>
      </c>
      <c r="G46" s="390">
        <v>0</v>
      </c>
      <c r="H46" s="404">
        <f t="shared" si="0"/>
        <v>2894416.8589829607</v>
      </c>
      <c r="I46" s="405">
        <v>129587.92698014184</v>
      </c>
      <c r="J46" s="356">
        <f>'B) D RI'!U47</f>
        <v>144296.3607707771</v>
      </c>
      <c r="K46" s="62">
        <f t="shared" si="1"/>
        <v>22.335544108414538</v>
      </c>
      <c r="L46" s="33">
        <f>'B) D RI'!S47</f>
        <v>71</v>
      </c>
      <c r="M46" s="33">
        <f t="shared" si="2"/>
        <v>48.664455891585462</v>
      </c>
      <c r="N46" s="33">
        <f>'J) Plafonnement effort'!G45+'J) Plafonnement effort'!I45-'K) Plafonnement aide'!I45</f>
        <v>17.932250171497042</v>
      </c>
      <c r="O46" s="125">
        <f t="shared" si="3"/>
        <v>66.596706063082507</v>
      </c>
      <c r="P46" s="47">
        <f t="shared" si="4"/>
        <v>0</v>
      </c>
      <c r="Q46" s="55">
        <f t="shared" si="5"/>
        <v>0</v>
      </c>
      <c r="R46" s="145">
        <f t="shared" si="6"/>
        <v>66.596706063082507</v>
      </c>
      <c r="S46" s="125">
        <f t="shared" si="7"/>
        <v>-4.4032939369174926</v>
      </c>
      <c r="T46" s="144">
        <f t="shared" si="8"/>
        <v>0</v>
      </c>
      <c r="V46" s="12"/>
    </row>
    <row r="47" spans="1:22" x14ac:dyDescent="0.25">
      <c r="A47" s="49">
        <f>'A) Base RI'!A48</f>
        <v>5478</v>
      </c>
      <c r="B47" s="352" t="str">
        <f>'A) Base RI'!B48</f>
        <v>Cottens</v>
      </c>
      <c r="C47" s="404">
        <v>242100.02385479855</v>
      </c>
      <c r="D47" s="404">
        <v>62524.058916186448</v>
      </c>
      <c r="E47" s="390">
        <v>0</v>
      </c>
      <c r="F47" s="390">
        <v>0</v>
      </c>
      <c r="G47" s="390">
        <v>0</v>
      </c>
      <c r="H47" s="404">
        <f t="shared" si="0"/>
        <v>304624.08277098497</v>
      </c>
      <c r="I47" s="405">
        <v>14208.71013401275</v>
      </c>
      <c r="J47" s="356">
        <f>'B) D RI'!U48</f>
        <v>17520.338093666011</v>
      </c>
      <c r="K47" s="62">
        <f t="shared" si="1"/>
        <v>21.439249579859972</v>
      </c>
      <c r="L47" s="33">
        <f>'B) D RI'!S48</f>
        <v>74</v>
      </c>
      <c r="M47" s="33">
        <f t="shared" si="2"/>
        <v>52.560750420140025</v>
      </c>
      <c r="N47" s="33">
        <f>'J) Plafonnement effort'!G46+'J) Plafonnement effort'!I46-'K) Plafonnement aide'!I46</f>
        <v>-1.8240878822954549</v>
      </c>
      <c r="O47" s="125">
        <f t="shared" si="3"/>
        <v>50.736662537844566</v>
      </c>
      <c r="P47" s="47">
        <f t="shared" si="4"/>
        <v>0</v>
      </c>
      <c r="Q47" s="55">
        <f t="shared" si="5"/>
        <v>0</v>
      </c>
      <c r="R47" s="145">
        <f t="shared" si="6"/>
        <v>50.736662537844566</v>
      </c>
      <c r="S47" s="125">
        <f t="shared" si="7"/>
        <v>-23.263337462155434</v>
      </c>
      <c r="T47" s="144">
        <f t="shared" si="8"/>
        <v>0</v>
      </c>
      <c r="V47" s="12"/>
    </row>
    <row r="48" spans="1:22" x14ac:dyDescent="0.25">
      <c r="A48" s="49">
        <f>'A) Base RI'!A49</f>
        <v>5479</v>
      </c>
      <c r="B48" s="352" t="str">
        <f>'A) Base RI'!B49</f>
        <v>Cuarnens</v>
      </c>
      <c r="C48" s="404">
        <v>296058.27190303453</v>
      </c>
      <c r="D48" s="404">
        <v>154186.55984574341</v>
      </c>
      <c r="E48" s="390">
        <v>0</v>
      </c>
      <c r="F48" s="390">
        <v>0</v>
      </c>
      <c r="G48" s="390">
        <v>0</v>
      </c>
      <c r="H48" s="404">
        <f t="shared" si="0"/>
        <v>450244.83174877794</v>
      </c>
      <c r="I48" s="405">
        <v>16421.228790353522</v>
      </c>
      <c r="J48" s="356">
        <f>'B) D RI'!U49</f>
        <v>17273.482190037128</v>
      </c>
      <c r="K48" s="62">
        <f t="shared" si="1"/>
        <v>27.418461644799052</v>
      </c>
      <c r="L48" s="33">
        <f>'B) D RI'!S49</f>
        <v>77</v>
      </c>
      <c r="M48" s="33">
        <f t="shared" si="2"/>
        <v>49.581538355200948</v>
      </c>
      <c r="N48" s="33">
        <f>'J) Plafonnement effort'!G47+'J) Plafonnement effort'!I47-'K) Plafonnement aide'!I47</f>
        <v>9.0302164233157995</v>
      </c>
      <c r="O48" s="125">
        <f t="shared" si="3"/>
        <v>58.611754778516747</v>
      </c>
      <c r="P48" s="47">
        <f t="shared" si="4"/>
        <v>0</v>
      </c>
      <c r="Q48" s="55">
        <f t="shared" si="5"/>
        <v>0</v>
      </c>
      <c r="R48" s="145">
        <f t="shared" si="6"/>
        <v>58.611754778516747</v>
      </c>
      <c r="S48" s="125">
        <f t="shared" si="7"/>
        <v>-18.388245221483253</v>
      </c>
      <c r="T48" s="144">
        <f t="shared" si="8"/>
        <v>0</v>
      </c>
      <c r="V48" s="12"/>
    </row>
    <row r="49" spans="1:22" x14ac:dyDescent="0.25">
      <c r="A49" s="49">
        <f>'A) Base RI'!A50</f>
        <v>5480</v>
      </c>
      <c r="B49" s="352" t="str">
        <f>'A) Base RI'!B50</f>
        <v>Daillens</v>
      </c>
      <c r="C49" s="404">
        <v>812681.54067441495</v>
      </c>
      <c r="D49" s="404">
        <v>606947.65382978111</v>
      </c>
      <c r="E49" s="390">
        <v>0</v>
      </c>
      <c r="F49" s="390">
        <v>0</v>
      </c>
      <c r="G49" s="390">
        <v>0</v>
      </c>
      <c r="H49" s="404">
        <f t="shared" si="0"/>
        <v>1419629.1945041961</v>
      </c>
      <c r="I49" s="405">
        <v>41263.325123050025</v>
      </c>
      <c r="J49" s="356">
        <f>'B) D RI'!U50</f>
        <v>40220.975555555553</v>
      </c>
      <c r="K49" s="62">
        <f t="shared" si="1"/>
        <v>34.404139517859157</v>
      </c>
      <c r="L49" s="33">
        <f>'B) D RI'!S50</f>
        <v>66</v>
      </c>
      <c r="M49" s="33">
        <f t="shared" si="2"/>
        <v>31.595860482140843</v>
      </c>
      <c r="N49" s="33">
        <f>'J) Plafonnement effort'!G48+'J) Plafonnement effort'!I48-'K) Plafonnement aide'!I48</f>
        <v>20.793949901652507</v>
      </c>
      <c r="O49" s="125">
        <f t="shared" si="3"/>
        <v>52.389810383793346</v>
      </c>
      <c r="P49" s="47">
        <f t="shared" si="4"/>
        <v>0</v>
      </c>
      <c r="Q49" s="55">
        <f t="shared" si="5"/>
        <v>0</v>
      </c>
      <c r="R49" s="145">
        <f t="shared" si="6"/>
        <v>52.389810383793346</v>
      </c>
      <c r="S49" s="125">
        <f t="shared" si="7"/>
        <v>-13.610189616206654</v>
      </c>
      <c r="T49" s="144">
        <f t="shared" si="8"/>
        <v>0</v>
      </c>
      <c r="V49" s="12"/>
    </row>
    <row r="50" spans="1:22" x14ac:dyDescent="0.25">
      <c r="A50" s="49">
        <f>'A) Base RI'!A51</f>
        <v>5481</v>
      </c>
      <c r="B50" s="352" t="str">
        <f>'A) Base RI'!B51</f>
        <v>Dizy</v>
      </c>
      <c r="C50" s="404">
        <v>198756.3945428617</v>
      </c>
      <c r="D50" s="404">
        <v>193071.15049068836</v>
      </c>
      <c r="E50" s="390">
        <v>0</v>
      </c>
      <c r="F50" s="390">
        <v>0</v>
      </c>
      <c r="G50" s="390">
        <v>0</v>
      </c>
      <c r="H50" s="404">
        <f t="shared" si="0"/>
        <v>391827.54503355006</v>
      </c>
      <c r="I50" s="405">
        <v>10892.048755040036</v>
      </c>
      <c r="J50" s="356">
        <f>'B) D RI'!U51</f>
        <v>9702.0464562011348</v>
      </c>
      <c r="K50" s="62">
        <f t="shared" si="1"/>
        <v>35.973723019945282</v>
      </c>
      <c r="L50" s="33">
        <f>'B) D RI'!S51</f>
        <v>79</v>
      </c>
      <c r="M50" s="33">
        <f t="shared" si="2"/>
        <v>43.026276980054718</v>
      </c>
      <c r="N50" s="33">
        <f>'J) Plafonnement effort'!G49+'J) Plafonnement effort'!I49-'K) Plafonnement aide'!I49</f>
        <v>27.862502705037471</v>
      </c>
      <c r="O50" s="125">
        <f t="shared" si="3"/>
        <v>70.888779685092189</v>
      </c>
      <c r="P50" s="47">
        <f t="shared" si="4"/>
        <v>0</v>
      </c>
      <c r="Q50" s="55">
        <f t="shared" si="5"/>
        <v>0</v>
      </c>
      <c r="R50" s="145">
        <f t="shared" si="6"/>
        <v>70.888779685092189</v>
      </c>
      <c r="S50" s="125">
        <f t="shared" si="7"/>
        <v>-8.1112203149078113</v>
      </c>
      <c r="T50" s="144">
        <f t="shared" si="8"/>
        <v>0</v>
      </c>
      <c r="V50" s="12"/>
    </row>
    <row r="51" spans="1:22" x14ac:dyDescent="0.25">
      <c r="A51" s="49">
        <f>'A) Base RI'!A52</f>
        <v>5482</v>
      </c>
      <c r="B51" s="352" t="str">
        <f>'A) Base RI'!B52</f>
        <v>Eclépens</v>
      </c>
      <c r="C51" s="404">
        <v>853708.71383490984</v>
      </c>
      <c r="D51" s="404">
        <v>687413.28291404061</v>
      </c>
      <c r="E51" s="390">
        <v>0</v>
      </c>
      <c r="F51" s="390">
        <v>0</v>
      </c>
      <c r="G51" s="390">
        <v>0</v>
      </c>
      <c r="H51" s="404">
        <f t="shared" si="0"/>
        <v>1541121.9967489503</v>
      </c>
      <c r="I51" s="405">
        <v>46793.329731079626</v>
      </c>
      <c r="J51" s="356">
        <f>'B) D RI'!U52</f>
        <v>60387.408967257215</v>
      </c>
      <c r="K51" s="62">
        <f t="shared" si="1"/>
        <v>32.934651276276959</v>
      </c>
      <c r="L51" s="33">
        <f>'B) D RI'!S52</f>
        <v>46</v>
      </c>
      <c r="M51" s="33">
        <f t="shared" si="2"/>
        <v>13.065348723723041</v>
      </c>
      <c r="N51" s="33">
        <f>'J) Plafonnement effort'!G50+'J) Plafonnement effort'!I50-'K) Plafonnement aide'!I50</f>
        <v>33.864252714188446</v>
      </c>
      <c r="O51" s="125">
        <f t="shared" si="3"/>
        <v>46.929601437911487</v>
      </c>
      <c r="P51" s="47">
        <f t="shared" si="4"/>
        <v>0</v>
      </c>
      <c r="Q51" s="55">
        <f t="shared" si="5"/>
        <v>0</v>
      </c>
      <c r="R51" s="145">
        <f t="shared" si="6"/>
        <v>46.929601437911487</v>
      </c>
      <c r="S51" s="125">
        <f t="shared" si="7"/>
        <v>0.92960143791148653</v>
      </c>
      <c r="T51" s="144">
        <f t="shared" si="8"/>
        <v>0</v>
      </c>
      <c r="V51" s="12"/>
    </row>
    <row r="52" spans="1:22" x14ac:dyDescent="0.25">
      <c r="A52" s="49">
        <f>'A) Base RI'!A53</f>
        <v>5483</v>
      </c>
      <c r="B52" s="352" t="str">
        <f>'A) Base RI'!B53</f>
        <v>Ferreyres</v>
      </c>
      <c r="C52" s="404">
        <v>159398.62465329398</v>
      </c>
      <c r="D52" s="404">
        <v>26191.658381789282</v>
      </c>
      <c r="E52" s="390">
        <v>0</v>
      </c>
      <c r="F52" s="390">
        <v>0</v>
      </c>
      <c r="G52" s="390">
        <v>0</v>
      </c>
      <c r="H52" s="404">
        <f t="shared" si="0"/>
        <v>185590.28303508327</v>
      </c>
      <c r="I52" s="405">
        <v>8879.9356567959585</v>
      </c>
      <c r="J52" s="356">
        <f>'B) D RI'!U53</f>
        <v>11155.704681224479</v>
      </c>
      <c r="K52" s="62">
        <f t="shared" si="1"/>
        <v>20.89995808618816</v>
      </c>
      <c r="L52" s="33">
        <f>'B) D RI'!S53</f>
        <v>76</v>
      </c>
      <c r="M52" s="33">
        <f t="shared" si="2"/>
        <v>55.100041913811836</v>
      </c>
      <c r="N52" s="33">
        <f>'J) Plafonnement effort'!G51+'J) Plafonnement effort'!I51-'K) Plafonnement aide'!I51</f>
        <v>26.600205731035121</v>
      </c>
      <c r="O52" s="125">
        <f t="shared" si="3"/>
        <v>81.700247644846954</v>
      </c>
      <c r="P52" s="47">
        <f t="shared" si="4"/>
        <v>0</v>
      </c>
      <c r="Q52" s="55">
        <f t="shared" si="5"/>
        <v>0</v>
      </c>
      <c r="R52" s="145">
        <f t="shared" si="6"/>
        <v>81.700247644846954</v>
      </c>
      <c r="S52" s="125">
        <f t="shared" si="7"/>
        <v>5.7002476448469537</v>
      </c>
      <c r="T52" s="144">
        <f t="shared" si="8"/>
        <v>0</v>
      </c>
      <c r="V52" s="12"/>
    </row>
    <row r="53" spans="1:22" x14ac:dyDescent="0.25">
      <c r="A53" s="49">
        <f>'A) Base RI'!A54</f>
        <v>5484</v>
      </c>
      <c r="B53" s="352" t="str">
        <f>'A) Base RI'!B54</f>
        <v>Gollion</v>
      </c>
      <c r="C53" s="404">
        <v>633847.21477983007</v>
      </c>
      <c r="D53" s="404">
        <v>303400.62580803235</v>
      </c>
      <c r="E53" s="390">
        <v>0</v>
      </c>
      <c r="F53" s="390">
        <v>0</v>
      </c>
      <c r="G53" s="390">
        <v>0</v>
      </c>
      <c r="H53" s="404">
        <f t="shared" si="0"/>
        <v>937247.84058786242</v>
      </c>
      <c r="I53" s="405">
        <v>31794.268758715236</v>
      </c>
      <c r="J53" s="356">
        <f>'B) D RI'!U54</f>
        <v>33762.861845883657</v>
      </c>
      <c r="K53" s="62">
        <f t="shared" si="1"/>
        <v>29.478515379629549</v>
      </c>
      <c r="L53" s="33">
        <f>'B) D RI'!S54</f>
        <v>74</v>
      </c>
      <c r="M53" s="33">
        <f t="shared" si="2"/>
        <v>44.521484620370451</v>
      </c>
      <c r="N53" s="33">
        <f>'J) Plafonnement effort'!G52+'J) Plafonnement effort'!I52-'K) Plafonnement aide'!I52</f>
        <v>26.170893471356479</v>
      </c>
      <c r="O53" s="125">
        <f t="shared" si="3"/>
        <v>70.692378091726937</v>
      </c>
      <c r="P53" s="47">
        <f t="shared" si="4"/>
        <v>0</v>
      </c>
      <c r="Q53" s="55">
        <f t="shared" si="5"/>
        <v>0</v>
      </c>
      <c r="R53" s="145">
        <f t="shared" si="6"/>
        <v>70.692378091726937</v>
      </c>
      <c r="S53" s="125">
        <f t="shared" si="7"/>
        <v>-3.3076219082730631</v>
      </c>
      <c r="T53" s="144">
        <f t="shared" si="8"/>
        <v>0</v>
      </c>
      <c r="V53" s="12"/>
    </row>
    <row r="54" spans="1:22" x14ac:dyDescent="0.25">
      <c r="A54" s="49">
        <f>'A) Base RI'!A55</f>
        <v>5485</v>
      </c>
      <c r="B54" s="352" t="str">
        <f>'A) Base RI'!B55</f>
        <v>Grancy</v>
      </c>
      <c r="C54" s="404">
        <v>311970.76238677185</v>
      </c>
      <c r="D54" s="404">
        <v>326599.9559469634</v>
      </c>
      <c r="E54" s="390">
        <v>0</v>
      </c>
      <c r="F54" s="390">
        <v>0</v>
      </c>
      <c r="G54" s="390">
        <v>0</v>
      </c>
      <c r="H54" s="404">
        <f t="shared" si="0"/>
        <v>638570.71833373525</v>
      </c>
      <c r="I54" s="405">
        <v>18552.92429477413</v>
      </c>
      <c r="J54" s="356">
        <f>'B) D RI'!U55</f>
        <v>16914.094370194773</v>
      </c>
      <c r="K54" s="62">
        <f t="shared" si="1"/>
        <v>34.418871558356102</v>
      </c>
      <c r="L54" s="33">
        <f>'B) D RI'!S55</f>
        <v>70</v>
      </c>
      <c r="M54" s="33">
        <f t="shared" si="2"/>
        <v>35.581128441643898</v>
      </c>
      <c r="N54" s="33">
        <f>'J) Plafonnement effort'!G53+'J) Plafonnement effort'!I53-'K) Plafonnement aide'!I53</f>
        <v>31.469565767113252</v>
      </c>
      <c r="O54" s="125">
        <f t="shared" si="3"/>
        <v>67.05069420875715</v>
      </c>
      <c r="P54" s="47">
        <f t="shared" si="4"/>
        <v>0</v>
      </c>
      <c r="Q54" s="55">
        <f t="shared" si="5"/>
        <v>0</v>
      </c>
      <c r="R54" s="145">
        <f t="shared" si="6"/>
        <v>67.05069420875715</v>
      </c>
      <c r="S54" s="125">
        <f t="shared" si="7"/>
        <v>-2.9493057912428498</v>
      </c>
      <c r="T54" s="144">
        <f t="shared" si="8"/>
        <v>0</v>
      </c>
      <c r="V54" s="12"/>
    </row>
    <row r="55" spans="1:22" x14ac:dyDescent="0.25">
      <c r="A55" s="49">
        <f>'A) Base RI'!A56</f>
        <v>5486</v>
      </c>
      <c r="B55" s="352" t="str">
        <f>'A) Base RI'!B56</f>
        <v>L'Isle</v>
      </c>
      <c r="C55" s="404">
        <v>561922.82658103004</v>
      </c>
      <c r="D55" s="404">
        <v>159832.79782033688</v>
      </c>
      <c r="E55" s="390">
        <v>0</v>
      </c>
      <c r="F55" s="390">
        <v>0</v>
      </c>
      <c r="G55" s="390">
        <v>0</v>
      </c>
      <c r="H55" s="404">
        <f t="shared" si="0"/>
        <v>721755.62440136692</v>
      </c>
      <c r="I55" s="405">
        <v>30546.431240274927</v>
      </c>
      <c r="J55" s="356">
        <f>'B) D RI'!U56</f>
        <v>35759.534807519231</v>
      </c>
      <c r="K55" s="62">
        <f t="shared" si="1"/>
        <v>23.628148857197594</v>
      </c>
      <c r="L55" s="33">
        <f>'B) D RI'!S56</f>
        <v>76</v>
      </c>
      <c r="M55" s="33">
        <f t="shared" si="2"/>
        <v>52.371851142802406</v>
      </c>
      <c r="N55" s="33">
        <f>'J) Plafonnement effort'!G54+'J) Plafonnement effort'!I54-'K) Plafonnement aide'!I54</f>
        <v>25.686404302238493</v>
      </c>
      <c r="O55" s="125">
        <f t="shared" si="3"/>
        <v>78.058255445040899</v>
      </c>
      <c r="P55" s="47">
        <f t="shared" si="4"/>
        <v>0</v>
      </c>
      <c r="Q55" s="55">
        <f t="shared" si="5"/>
        <v>0</v>
      </c>
      <c r="R55" s="145">
        <f t="shared" si="6"/>
        <v>78.058255445040899</v>
      </c>
      <c r="S55" s="125">
        <f t="shared" si="7"/>
        <v>2.0582554450408992</v>
      </c>
      <c r="T55" s="144">
        <f t="shared" si="8"/>
        <v>0</v>
      </c>
      <c r="V55" s="12"/>
    </row>
    <row r="56" spans="1:22" x14ac:dyDescent="0.25">
      <c r="A56" s="49">
        <f>'A) Base RI'!A57</f>
        <v>5487</v>
      </c>
      <c r="B56" s="352" t="str">
        <f>'A) Base RI'!B57</f>
        <v>Lussery-Villars</v>
      </c>
      <c r="C56" s="404">
        <v>235058.36864109896</v>
      </c>
      <c r="D56" s="404">
        <v>102433.07648765249</v>
      </c>
      <c r="E56" s="390">
        <v>0</v>
      </c>
      <c r="F56" s="390">
        <v>0</v>
      </c>
      <c r="G56" s="390">
        <v>0</v>
      </c>
      <c r="H56" s="404">
        <f t="shared" si="0"/>
        <v>337491.44512875145</v>
      </c>
      <c r="I56" s="405">
        <v>14615.228333906985</v>
      </c>
      <c r="J56" s="356">
        <f>'B) D RI'!U57</f>
        <v>15494.848822945682</v>
      </c>
      <c r="K56" s="62">
        <f t="shared" si="1"/>
        <v>23.091766848813389</v>
      </c>
      <c r="L56" s="33">
        <f>'B) D RI'!S57</f>
        <v>75</v>
      </c>
      <c r="M56" s="33">
        <f t="shared" si="2"/>
        <v>51.908233151186607</v>
      </c>
      <c r="N56" s="33">
        <f>'J) Plafonnement effort'!G55+'J) Plafonnement effort'!I55-'K) Plafonnement aide'!I55</f>
        <v>22.924321988043054</v>
      </c>
      <c r="O56" s="125">
        <f t="shared" si="3"/>
        <v>74.832555139229669</v>
      </c>
      <c r="P56" s="47">
        <f t="shared" si="4"/>
        <v>0</v>
      </c>
      <c r="Q56" s="55">
        <f t="shared" si="5"/>
        <v>0</v>
      </c>
      <c r="R56" s="145">
        <f t="shared" si="6"/>
        <v>74.832555139229669</v>
      </c>
      <c r="S56" s="125">
        <f t="shared" si="7"/>
        <v>-0.16744486077033116</v>
      </c>
      <c r="T56" s="144">
        <f t="shared" si="8"/>
        <v>0</v>
      </c>
      <c r="V56" s="12"/>
    </row>
    <row r="57" spans="1:22" x14ac:dyDescent="0.25">
      <c r="A57" s="49">
        <f>'A) Base RI'!A58</f>
        <v>5488</v>
      </c>
      <c r="B57" s="352" t="str">
        <f>'A) Base RI'!B58</f>
        <v>Mauraz</v>
      </c>
      <c r="C57" s="404">
        <v>35690.675439220853</v>
      </c>
      <c r="D57" s="404">
        <v>13495.20547004215</v>
      </c>
      <c r="E57" s="390">
        <v>0</v>
      </c>
      <c r="F57" s="390">
        <v>0</v>
      </c>
      <c r="G57" s="390">
        <v>0</v>
      </c>
      <c r="H57" s="404">
        <f t="shared" si="0"/>
        <v>49185.880909263004</v>
      </c>
      <c r="I57" s="405">
        <v>1907.69174397183</v>
      </c>
      <c r="J57" s="356">
        <f>'B) D RI'!U58</f>
        <v>1750.6115384615387</v>
      </c>
      <c r="K57" s="62">
        <f t="shared" si="1"/>
        <v>25.782929063192146</v>
      </c>
      <c r="L57" s="33">
        <f>'B) D RI'!S58</f>
        <v>78</v>
      </c>
      <c r="M57" s="33">
        <f t="shared" si="2"/>
        <v>52.217070936807858</v>
      </c>
      <c r="N57" s="33">
        <f>'J) Plafonnement effort'!G56+'J) Plafonnement effort'!I56-'K) Plafonnement aide'!I56</f>
        <v>18.933679636806758</v>
      </c>
      <c r="O57" s="125">
        <f t="shared" si="3"/>
        <v>71.150750573614616</v>
      </c>
      <c r="P57" s="47">
        <f t="shared" si="4"/>
        <v>0</v>
      </c>
      <c r="Q57" s="55">
        <f t="shared" si="5"/>
        <v>0</v>
      </c>
      <c r="R57" s="145">
        <f t="shared" si="6"/>
        <v>71.150750573614616</v>
      </c>
      <c r="S57" s="125">
        <f t="shared" si="7"/>
        <v>-6.8492494263853843</v>
      </c>
      <c r="T57" s="144">
        <f t="shared" si="8"/>
        <v>0</v>
      </c>
      <c r="V57" s="12"/>
    </row>
    <row r="58" spans="1:22" x14ac:dyDescent="0.25">
      <c r="A58" s="49">
        <f>'A) Base RI'!A59</f>
        <v>5489</v>
      </c>
      <c r="B58" s="352" t="str">
        <f>'A) Base RI'!B59</f>
        <v>Mex</v>
      </c>
      <c r="C58" s="404">
        <v>1508102.4558146195</v>
      </c>
      <c r="D58" s="404">
        <v>1107154.0557105648</v>
      </c>
      <c r="E58" s="390">
        <v>0</v>
      </c>
      <c r="F58" s="390">
        <v>0</v>
      </c>
      <c r="G58" s="390">
        <v>0</v>
      </c>
      <c r="H58" s="404">
        <f t="shared" si="0"/>
        <v>2615256.5115251844</v>
      </c>
      <c r="I58" s="405">
        <v>59050.274266098029</v>
      </c>
      <c r="J58" s="356">
        <f>'B) D RI'!U59</f>
        <v>63473.912067537727</v>
      </c>
      <c r="K58" s="62">
        <f t="shared" si="1"/>
        <v>44.28864292382562</v>
      </c>
      <c r="L58" s="33">
        <f>'B) D RI'!S59</f>
        <v>61</v>
      </c>
      <c r="M58" s="33">
        <f t="shared" si="2"/>
        <v>16.71135707617438</v>
      </c>
      <c r="N58" s="33">
        <f>'J) Plafonnement effort'!G57+'J) Plafonnement effort'!I57-'K) Plafonnement aide'!I57</f>
        <v>44.294901570134513</v>
      </c>
      <c r="O58" s="125">
        <f t="shared" si="3"/>
        <v>61.006258646308893</v>
      </c>
      <c r="P58" s="47">
        <f t="shared" si="4"/>
        <v>0</v>
      </c>
      <c r="Q58" s="55">
        <f t="shared" si="5"/>
        <v>0</v>
      </c>
      <c r="R58" s="145">
        <f t="shared" si="6"/>
        <v>61.006258646308893</v>
      </c>
      <c r="S58" s="125">
        <f t="shared" si="7"/>
        <v>6.2586463088933897E-3</v>
      </c>
      <c r="T58" s="144">
        <f t="shared" si="8"/>
        <v>0</v>
      </c>
      <c r="V58" s="12"/>
    </row>
    <row r="59" spans="1:22" x14ac:dyDescent="0.25">
      <c r="A59" s="49">
        <f>'A) Base RI'!A60</f>
        <v>5490</v>
      </c>
      <c r="B59" s="352" t="str">
        <f>'A) Base RI'!B60</f>
        <v>Moiry</v>
      </c>
      <c r="C59" s="404">
        <v>159913.33332129999</v>
      </c>
      <c r="D59" s="404">
        <v>34706.334351225611</v>
      </c>
      <c r="E59" s="390">
        <v>0</v>
      </c>
      <c r="F59" s="390">
        <v>0</v>
      </c>
      <c r="G59" s="390">
        <v>0</v>
      </c>
      <c r="H59" s="404">
        <f t="shared" si="0"/>
        <v>194619.6676725256</v>
      </c>
      <c r="I59" s="405">
        <v>9338.2754275452353</v>
      </c>
      <c r="J59" s="356">
        <f>'B) D RI'!U60</f>
        <v>8338.3158944329061</v>
      </c>
      <c r="K59" s="62">
        <f t="shared" si="1"/>
        <v>20.841071692793872</v>
      </c>
      <c r="L59" s="33">
        <f>'B) D RI'!S60</f>
        <v>78.5</v>
      </c>
      <c r="M59" s="33">
        <f t="shared" si="2"/>
        <v>57.658928307206125</v>
      </c>
      <c r="N59" s="33">
        <f>'J) Plafonnement effort'!G58+'J) Plafonnement effort'!I58-'K) Plafonnement aide'!I58</f>
        <v>6.7747548700464071</v>
      </c>
      <c r="O59" s="125">
        <f t="shared" si="3"/>
        <v>64.433683177252533</v>
      </c>
      <c r="P59" s="47">
        <f t="shared" si="4"/>
        <v>0</v>
      </c>
      <c r="Q59" s="55">
        <f t="shared" si="5"/>
        <v>0</v>
      </c>
      <c r="R59" s="145">
        <f t="shared" si="6"/>
        <v>64.433683177252533</v>
      </c>
      <c r="S59" s="125">
        <f t="shared" si="7"/>
        <v>-14.066316822747467</v>
      </c>
      <c r="T59" s="144">
        <f t="shared" si="8"/>
        <v>0</v>
      </c>
      <c r="V59" s="12"/>
    </row>
    <row r="60" spans="1:22" x14ac:dyDescent="0.25">
      <c r="A60" s="49">
        <f>'A) Base RI'!A61</f>
        <v>5491</v>
      </c>
      <c r="B60" s="352" t="str">
        <f>'A) Base RI'!B61</f>
        <v>Mont-la-Ville</v>
      </c>
      <c r="C60" s="404">
        <v>236008.83874144885</v>
      </c>
      <c r="D60" s="404">
        <v>-4155.1080829542188</v>
      </c>
      <c r="E60" s="390">
        <v>0</v>
      </c>
      <c r="F60" s="390">
        <v>0</v>
      </c>
      <c r="G60" s="390">
        <v>0</v>
      </c>
      <c r="H60" s="404">
        <f t="shared" si="0"/>
        <v>231853.73065849463</v>
      </c>
      <c r="I60" s="405">
        <v>12342.149373733142</v>
      </c>
      <c r="J60" s="356">
        <f>'B) D RI'!U61</f>
        <v>14141.684131434778</v>
      </c>
      <c r="K60" s="62">
        <f t="shared" si="1"/>
        <v>18.785522978026119</v>
      </c>
      <c r="L60" s="33">
        <f>'B) D RI'!S61</f>
        <v>76</v>
      </c>
      <c r="M60" s="33">
        <f t="shared" ref="M60:M113" si="9">L60-K60</f>
        <v>57.214477021973877</v>
      </c>
      <c r="N60" s="33">
        <f>'J) Plafonnement effort'!G59+'J) Plafonnement effort'!I59-'K) Plafonnement aide'!I59</f>
        <v>12.409842656203338</v>
      </c>
      <c r="O60" s="125">
        <f t="shared" ref="O60:O113" si="10">M60+N60</f>
        <v>69.624319678177216</v>
      </c>
      <c r="P60" s="47">
        <f t="shared" ref="P60:P113" si="11">IF(O60&gt;$P$5,$P$5-O60,0)</f>
        <v>0</v>
      </c>
      <c r="Q60" s="55">
        <f t="shared" si="5"/>
        <v>0</v>
      </c>
      <c r="R60" s="145">
        <f t="shared" ref="R60:R113" si="12">O60+P60</f>
        <v>69.624319678177216</v>
      </c>
      <c r="S60" s="125">
        <f t="shared" ref="S60:S113" si="13">R60-L60</f>
        <v>-6.3756803218227844</v>
      </c>
      <c r="T60" s="144">
        <f t="shared" si="8"/>
        <v>0</v>
      </c>
      <c r="V60" s="12"/>
    </row>
    <row r="61" spans="1:22" x14ac:dyDescent="0.25">
      <c r="A61" s="49">
        <f>'A) Base RI'!A62</f>
        <v>5492</v>
      </c>
      <c r="B61" s="352" t="str">
        <f>'A) Base RI'!B62</f>
        <v>Montricher</v>
      </c>
      <c r="C61" s="404">
        <v>10364876.86001756</v>
      </c>
      <c r="D61" s="404">
        <v>4656673.017956323</v>
      </c>
      <c r="E61" s="390">
        <v>0</v>
      </c>
      <c r="F61" s="390">
        <v>-3356304.318071642</v>
      </c>
      <c r="G61" s="390">
        <v>0</v>
      </c>
      <c r="H61" s="404">
        <f t="shared" si="0"/>
        <v>11665245.559902243</v>
      </c>
      <c r="I61" s="405">
        <v>235377.8890618468</v>
      </c>
      <c r="J61" s="356">
        <f>'B) D RI'!U62</f>
        <v>189730.40192708332</v>
      </c>
      <c r="K61" s="62">
        <f t="shared" ref="K61:K115" si="14">H61/I61</f>
        <v>49.559648981460349</v>
      </c>
      <c r="L61" s="33">
        <f>'B) D RI'!S62</f>
        <v>64</v>
      </c>
      <c r="M61" s="33">
        <f t="shared" si="9"/>
        <v>14.440351018539651</v>
      </c>
      <c r="N61" s="33">
        <f>'J) Plafonnement effort'!G60+'J) Plafonnement effort'!I60-'K) Plafonnement aide'!I60</f>
        <v>48.358254656658147</v>
      </c>
      <c r="O61" s="125">
        <f t="shared" si="10"/>
        <v>62.798605675197798</v>
      </c>
      <c r="P61" s="47">
        <f t="shared" si="11"/>
        <v>0</v>
      </c>
      <c r="Q61" s="55">
        <f t="shared" si="5"/>
        <v>0</v>
      </c>
      <c r="R61" s="145">
        <f t="shared" si="12"/>
        <v>62.798605675197798</v>
      </c>
      <c r="S61" s="125">
        <f t="shared" si="13"/>
        <v>-1.2013943248022017</v>
      </c>
      <c r="T61" s="144">
        <f t="shared" si="8"/>
        <v>0</v>
      </c>
      <c r="V61" s="12"/>
    </row>
    <row r="62" spans="1:22" x14ac:dyDescent="0.25">
      <c r="A62" s="49">
        <f>'A) Base RI'!A63</f>
        <v>5493</v>
      </c>
      <c r="B62" s="352" t="str">
        <f>'A) Base RI'!B63</f>
        <v>Orny</v>
      </c>
      <c r="C62" s="404">
        <v>219577.09197749186</v>
      </c>
      <c r="D62" s="404">
        <v>50018.612687632616</v>
      </c>
      <c r="E62" s="390">
        <v>0</v>
      </c>
      <c r="F62" s="390">
        <v>0</v>
      </c>
      <c r="G62" s="390">
        <v>0</v>
      </c>
      <c r="H62" s="404">
        <f t="shared" si="0"/>
        <v>269595.70466512447</v>
      </c>
      <c r="I62" s="405">
        <v>10742.508207895562</v>
      </c>
      <c r="J62" s="356">
        <f>'B) D RI'!U63</f>
        <v>10671.007215907817</v>
      </c>
      <c r="K62" s="62">
        <f t="shared" si="14"/>
        <v>25.096159988686459</v>
      </c>
      <c r="L62" s="33">
        <f>'B) D RI'!S63</f>
        <v>73</v>
      </c>
      <c r="M62" s="33">
        <f t="shared" si="9"/>
        <v>47.903840011313541</v>
      </c>
      <c r="N62" s="33">
        <f>'J) Plafonnement effort'!G61+'J) Plafonnement effort'!I61-'K) Plafonnement aide'!I61</f>
        <v>21.39490041292499</v>
      </c>
      <c r="O62" s="125">
        <f t="shared" si="10"/>
        <v>69.298740424238531</v>
      </c>
      <c r="P62" s="47">
        <f t="shared" si="11"/>
        <v>0</v>
      </c>
      <c r="Q62" s="55">
        <f t="shared" ref="Q62:Q116" si="15">P62*J62</f>
        <v>0</v>
      </c>
      <c r="R62" s="145">
        <f t="shared" si="12"/>
        <v>69.298740424238531</v>
      </c>
      <c r="S62" s="125">
        <f t="shared" si="13"/>
        <v>-3.701259575761469</v>
      </c>
      <c r="T62" s="144">
        <f t="shared" si="8"/>
        <v>0</v>
      </c>
      <c r="V62" s="12"/>
    </row>
    <row r="63" spans="1:22" x14ac:dyDescent="0.25">
      <c r="A63" s="49">
        <f>'A) Base RI'!A64</f>
        <v>5494</v>
      </c>
      <c r="B63" s="352" t="str">
        <f>'A) Base RI'!B64</f>
        <v>Pampigny</v>
      </c>
      <c r="C63" s="404">
        <v>729925.89749131375</v>
      </c>
      <c r="D63" s="404">
        <v>317520.66927186097</v>
      </c>
      <c r="E63" s="390">
        <v>0</v>
      </c>
      <c r="F63" s="390">
        <v>0</v>
      </c>
      <c r="G63" s="390">
        <v>0</v>
      </c>
      <c r="H63" s="404">
        <f t="shared" si="0"/>
        <v>1047446.5667631747</v>
      </c>
      <c r="I63" s="405">
        <v>37463.804333090258</v>
      </c>
      <c r="J63" s="356">
        <f>'B) D RI'!U64</f>
        <v>36967.725840132596</v>
      </c>
      <c r="K63" s="62">
        <f t="shared" si="14"/>
        <v>27.958894869574355</v>
      </c>
      <c r="L63" s="33">
        <f>'B) D RI'!S64</f>
        <v>75</v>
      </c>
      <c r="M63" s="33">
        <f t="shared" si="9"/>
        <v>47.041105130425649</v>
      </c>
      <c r="N63" s="33">
        <f>'J) Plafonnement effort'!G62+'J) Plafonnement effort'!I62-'K) Plafonnement aide'!I62</f>
        <v>18.851239295294427</v>
      </c>
      <c r="O63" s="125">
        <f t="shared" si="10"/>
        <v>65.892344425720069</v>
      </c>
      <c r="P63" s="47">
        <f t="shared" si="11"/>
        <v>0</v>
      </c>
      <c r="Q63" s="55">
        <f t="shared" si="15"/>
        <v>0</v>
      </c>
      <c r="R63" s="145">
        <f t="shared" si="12"/>
        <v>65.892344425720069</v>
      </c>
      <c r="S63" s="125">
        <f t="shared" si="13"/>
        <v>-9.1076555742799314</v>
      </c>
      <c r="T63" s="144">
        <f t="shared" si="8"/>
        <v>0</v>
      </c>
      <c r="V63" s="12"/>
    </row>
    <row r="64" spans="1:22" x14ac:dyDescent="0.25">
      <c r="A64" s="49">
        <f>'A) Base RI'!A65</f>
        <v>5495</v>
      </c>
      <c r="B64" s="352" t="str">
        <f>'A) Base RI'!B65</f>
        <v>Penthalaz</v>
      </c>
      <c r="C64" s="404">
        <v>1657844.2278006501</v>
      </c>
      <c r="D64" s="404">
        <v>-321645.60913656349</v>
      </c>
      <c r="E64" s="390">
        <v>0</v>
      </c>
      <c r="F64" s="390">
        <v>0</v>
      </c>
      <c r="G64" s="390">
        <v>0</v>
      </c>
      <c r="H64" s="404">
        <f t="shared" si="0"/>
        <v>1336198.6186640866</v>
      </c>
      <c r="I64" s="405">
        <v>91501.360926624242</v>
      </c>
      <c r="J64" s="356">
        <f>'B) D RI'!U65</f>
        <v>95087.015809528908</v>
      </c>
      <c r="K64" s="62">
        <f t="shared" si="14"/>
        <v>14.603046393327375</v>
      </c>
      <c r="L64" s="33">
        <f>'B) D RI'!S65</f>
        <v>74</v>
      </c>
      <c r="M64" s="33">
        <f t="shared" si="9"/>
        <v>59.396953606672625</v>
      </c>
      <c r="N64" s="33">
        <f>'J) Plafonnement effort'!G63+'J) Plafonnement effort'!I63-'K) Plafonnement aide'!I63</f>
        <v>8.8838380320331538</v>
      </c>
      <c r="O64" s="125">
        <f t="shared" si="10"/>
        <v>68.280791638705779</v>
      </c>
      <c r="P64" s="47">
        <f t="shared" si="11"/>
        <v>0</v>
      </c>
      <c r="Q64" s="55">
        <f t="shared" si="15"/>
        <v>0</v>
      </c>
      <c r="R64" s="145">
        <f t="shared" si="12"/>
        <v>68.280791638705779</v>
      </c>
      <c r="S64" s="125">
        <f t="shared" si="13"/>
        <v>-5.7192083612942213</v>
      </c>
      <c r="T64" s="144">
        <f t="shared" si="8"/>
        <v>0</v>
      </c>
      <c r="V64" s="12"/>
    </row>
    <row r="65" spans="1:22" x14ac:dyDescent="0.25">
      <c r="A65" s="49">
        <f>'A) Base RI'!A66</f>
        <v>5496</v>
      </c>
      <c r="B65" s="352" t="str">
        <f>'A) Base RI'!B66</f>
        <v>Penthaz</v>
      </c>
      <c r="C65" s="404">
        <v>1127421.3723092191</v>
      </c>
      <c r="D65" s="404">
        <v>332193.80085736921</v>
      </c>
      <c r="E65" s="390">
        <v>0</v>
      </c>
      <c r="F65" s="390">
        <v>0</v>
      </c>
      <c r="G65" s="390">
        <v>0</v>
      </c>
      <c r="H65" s="404">
        <f t="shared" si="0"/>
        <v>1459615.1731665884</v>
      </c>
      <c r="I65" s="405">
        <v>56734.953960585386</v>
      </c>
      <c r="J65" s="356">
        <f>'B) D RI'!U66</f>
        <v>59337.456966456659</v>
      </c>
      <c r="K65" s="62">
        <f t="shared" si="14"/>
        <v>25.726912093391398</v>
      </c>
      <c r="L65" s="33">
        <f>'B) D RI'!S66</f>
        <v>71</v>
      </c>
      <c r="M65" s="33">
        <f t="shared" si="9"/>
        <v>45.273087906608602</v>
      </c>
      <c r="N65" s="33">
        <f>'J) Plafonnement effort'!G64+'J) Plafonnement effort'!I64-'K) Plafonnement aide'!I64</f>
        <v>20.535068649842213</v>
      </c>
      <c r="O65" s="125">
        <f t="shared" si="10"/>
        <v>65.808156556450811</v>
      </c>
      <c r="P65" s="47">
        <f t="shared" si="11"/>
        <v>0</v>
      </c>
      <c r="Q65" s="55">
        <f t="shared" si="15"/>
        <v>0</v>
      </c>
      <c r="R65" s="145">
        <f t="shared" si="12"/>
        <v>65.808156556450811</v>
      </c>
      <c r="S65" s="125">
        <f t="shared" si="13"/>
        <v>-5.1918434435491889</v>
      </c>
      <c r="T65" s="144">
        <f t="shared" si="8"/>
        <v>0</v>
      </c>
      <c r="V65" s="12"/>
    </row>
    <row r="66" spans="1:22" x14ac:dyDescent="0.25">
      <c r="A66" s="49">
        <f>'A) Base RI'!A67</f>
        <v>5497</v>
      </c>
      <c r="B66" s="352" t="str">
        <f>'A) Base RI'!B67</f>
        <v>Pompaples</v>
      </c>
      <c r="C66" s="404">
        <v>477435.02922676568</v>
      </c>
      <c r="D66" s="404">
        <v>69943.546991347568</v>
      </c>
      <c r="E66" s="390">
        <v>0</v>
      </c>
      <c r="F66" s="390">
        <v>0</v>
      </c>
      <c r="G66" s="390">
        <v>0</v>
      </c>
      <c r="H66" s="404">
        <f t="shared" si="0"/>
        <v>547378.5762181133</v>
      </c>
      <c r="I66" s="405">
        <v>22161.340037381338</v>
      </c>
      <c r="J66" s="356">
        <f>'B) D RI'!U67</f>
        <v>22672.594290282061</v>
      </c>
      <c r="K66" s="62">
        <f t="shared" si="14"/>
        <v>24.699705671895529</v>
      </c>
      <c r="L66" s="33">
        <f>'B) D RI'!S67</f>
        <v>66</v>
      </c>
      <c r="M66" s="33">
        <f t="shared" si="9"/>
        <v>41.300294328104471</v>
      </c>
      <c r="N66" s="33">
        <f>'J) Plafonnement effort'!G65+'J) Plafonnement effort'!I65-'K) Plafonnement aide'!I65</f>
        <v>15.705155667331457</v>
      </c>
      <c r="O66" s="125">
        <f t="shared" si="10"/>
        <v>57.005449995435924</v>
      </c>
      <c r="P66" s="47">
        <f t="shared" si="11"/>
        <v>0</v>
      </c>
      <c r="Q66" s="55">
        <f t="shared" si="15"/>
        <v>0</v>
      </c>
      <c r="R66" s="145">
        <f t="shared" si="12"/>
        <v>57.005449995435924</v>
      </c>
      <c r="S66" s="125">
        <f t="shared" si="13"/>
        <v>-8.9945500045640756</v>
      </c>
      <c r="T66" s="144">
        <f t="shared" si="8"/>
        <v>0</v>
      </c>
      <c r="V66" s="12"/>
    </row>
    <row r="67" spans="1:22" x14ac:dyDescent="0.25">
      <c r="A67" s="49">
        <f>'A) Base RI'!A68</f>
        <v>5498</v>
      </c>
      <c r="B67" s="352" t="str">
        <f>'A) Base RI'!B68</f>
        <v>La Sarraz</v>
      </c>
      <c r="C67" s="404">
        <v>1386969.1197281247</v>
      </c>
      <c r="D67" s="404">
        <v>211454.72575898515</v>
      </c>
      <c r="E67" s="390">
        <v>0</v>
      </c>
      <c r="F67" s="390">
        <v>0</v>
      </c>
      <c r="G67" s="390">
        <v>0</v>
      </c>
      <c r="H67" s="404">
        <f t="shared" si="0"/>
        <v>1598423.8454871099</v>
      </c>
      <c r="I67" s="405">
        <v>77385.435956102505</v>
      </c>
      <c r="J67" s="356">
        <f>'B) D RI'!U68</f>
        <v>77413.833852725787</v>
      </c>
      <c r="K67" s="62">
        <f t="shared" si="14"/>
        <v>20.655357506725533</v>
      </c>
      <c r="L67" s="33">
        <f>'B) D RI'!S68</f>
        <v>66</v>
      </c>
      <c r="M67" s="33">
        <f t="shared" si="9"/>
        <v>45.344642493274463</v>
      </c>
      <c r="N67" s="33">
        <f>'J) Plafonnement effort'!G66+'J) Plafonnement effort'!I66-'K) Plafonnement aide'!I66</f>
        <v>12.50410290817287</v>
      </c>
      <c r="O67" s="125">
        <f t="shared" si="10"/>
        <v>57.848745401447331</v>
      </c>
      <c r="P67" s="47">
        <f t="shared" si="11"/>
        <v>0</v>
      </c>
      <c r="Q67" s="55">
        <f t="shared" si="15"/>
        <v>0</v>
      </c>
      <c r="R67" s="145">
        <f t="shared" si="12"/>
        <v>57.848745401447331</v>
      </c>
      <c r="S67" s="125">
        <f t="shared" si="13"/>
        <v>-8.1512545985526685</v>
      </c>
      <c r="T67" s="144">
        <f t="shared" si="8"/>
        <v>0</v>
      </c>
      <c r="V67" s="12"/>
    </row>
    <row r="68" spans="1:22" x14ac:dyDescent="0.25">
      <c r="A68" s="49">
        <f>'A) Base RI'!A69</f>
        <v>5499</v>
      </c>
      <c r="B68" s="352" t="str">
        <f>'A) Base RI'!B69</f>
        <v>Senarclens</v>
      </c>
      <c r="C68" s="404">
        <v>434597.27637370431</v>
      </c>
      <c r="D68" s="404">
        <v>418559.25423163327</v>
      </c>
      <c r="E68" s="390">
        <v>0</v>
      </c>
      <c r="F68" s="390">
        <v>0</v>
      </c>
      <c r="G68" s="390">
        <v>0</v>
      </c>
      <c r="H68" s="404">
        <f t="shared" si="0"/>
        <v>853156.53060533758</v>
      </c>
      <c r="I68" s="405">
        <v>23640.951925367579</v>
      </c>
      <c r="J68" s="356">
        <f>'B) D RI'!U69</f>
        <v>19511.48949637344</v>
      </c>
      <c r="K68" s="62">
        <f t="shared" si="14"/>
        <v>36.088078572245237</v>
      </c>
      <c r="L68" s="33">
        <f>'B) D RI'!S69</f>
        <v>68.5</v>
      </c>
      <c r="M68" s="33">
        <f t="shared" si="9"/>
        <v>32.411921427754763</v>
      </c>
      <c r="N68" s="33">
        <f>'J) Plafonnement effort'!G67+'J) Plafonnement effort'!I67-'K) Plafonnement aide'!I67</f>
        <v>32.6839363342919</v>
      </c>
      <c r="O68" s="125">
        <f t="shared" si="10"/>
        <v>65.095857762046663</v>
      </c>
      <c r="P68" s="47">
        <f t="shared" si="11"/>
        <v>0</v>
      </c>
      <c r="Q68" s="55">
        <f t="shared" si="15"/>
        <v>0</v>
      </c>
      <c r="R68" s="145">
        <f t="shared" si="12"/>
        <v>65.095857762046663</v>
      </c>
      <c r="S68" s="125">
        <f t="shared" si="13"/>
        <v>-3.4041422379533373</v>
      </c>
      <c r="T68" s="144">
        <f t="shared" si="8"/>
        <v>0</v>
      </c>
      <c r="V68" s="12"/>
    </row>
    <row r="69" spans="1:22" x14ac:dyDescent="0.25">
      <c r="A69" s="49">
        <f>'A) Base RI'!A70</f>
        <v>5500</v>
      </c>
      <c r="B69" s="352" t="str">
        <f>'A) Base RI'!B70</f>
        <v>Sévery</v>
      </c>
      <c r="C69" s="404">
        <v>129168.03963006442</v>
      </c>
      <c r="D69" s="404">
        <v>15071.043193528356</v>
      </c>
      <c r="E69" s="390">
        <v>0</v>
      </c>
      <c r="F69" s="390">
        <v>0</v>
      </c>
      <c r="G69" s="390">
        <v>0</v>
      </c>
      <c r="H69" s="404">
        <f t="shared" si="0"/>
        <v>144239.08282359276</v>
      </c>
      <c r="I69" s="405">
        <v>6301.5037699957575</v>
      </c>
      <c r="J69" s="356">
        <f>'B) D RI'!U70</f>
        <v>6989.4068888888896</v>
      </c>
      <c r="K69" s="62">
        <f t="shared" si="14"/>
        <v>22.889628902608731</v>
      </c>
      <c r="L69" s="33">
        <f>'B) D RI'!S70</f>
        <v>75</v>
      </c>
      <c r="M69" s="33">
        <f t="shared" si="9"/>
        <v>52.110371097391265</v>
      </c>
      <c r="N69" s="33">
        <f>'J) Plafonnement effort'!G68+'J) Plafonnement effort'!I68-'K) Plafonnement aide'!I68</f>
        <v>19.730711454000268</v>
      </c>
      <c r="O69" s="125">
        <f t="shared" si="10"/>
        <v>71.841082551391537</v>
      </c>
      <c r="P69" s="47">
        <f t="shared" si="11"/>
        <v>0</v>
      </c>
      <c r="Q69" s="55">
        <f t="shared" si="15"/>
        <v>0</v>
      </c>
      <c r="R69" s="145">
        <f t="shared" si="12"/>
        <v>71.841082551391537</v>
      </c>
      <c r="S69" s="125">
        <f t="shared" si="13"/>
        <v>-3.158917448608463</v>
      </c>
      <c r="T69" s="144">
        <f t="shared" si="8"/>
        <v>0</v>
      </c>
      <c r="V69" s="12"/>
    </row>
    <row r="70" spans="1:22" x14ac:dyDescent="0.25">
      <c r="A70" s="49">
        <f>'A) Base RI'!A71</f>
        <v>5501</v>
      </c>
      <c r="B70" s="352" t="str">
        <f>'A) Base RI'!B71</f>
        <v>Sullens</v>
      </c>
      <c r="C70" s="404">
        <v>667536.8990404763</v>
      </c>
      <c r="D70" s="404">
        <v>449512.41098086361</v>
      </c>
      <c r="E70" s="390">
        <v>0</v>
      </c>
      <c r="F70" s="390">
        <v>0</v>
      </c>
      <c r="G70" s="390">
        <v>0</v>
      </c>
      <c r="H70" s="404">
        <f t="shared" ref="H70:H133" si="16">SUM(C70:G70)</f>
        <v>1117049.3100213399</v>
      </c>
      <c r="I70" s="405">
        <v>37513.894014769903</v>
      </c>
      <c r="J70" s="356">
        <f>'B) D RI'!U71</f>
        <v>40420.112388899281</v>
      </c>
      <c r="K70" s="62">
        <f t="shared" si="14"/>
        <v>29.776949030712121</v>
      </c>
      <c r="L70" s="33">
        <f>'B) D RI'!S71</f>
        <v>70</v>
      </c>
      <c r="M70" s="33">
        <f t="shared" si="9"/>
        <v>40.223050969287883</v>
      </c>
      <c r="N70" s="33">
        <f>'J) Plafonnement effort'!G69+'J) Plafonnement effort'!I69-'K) Plafonnement aide'!I69</f>
        <v>30.21284245270278</v>
      </c>
      <c r="O70" s="125">
        <f t="shared" si="10"/>
        <v>70.43589342199067</v>
      </c>
      <c r="P70" s="47">
        <f t="shared" si="11"/>
        <v>0</v>
      </c>
      <c r="Q70" s="55">
        <f t="shared" si="15"/>
        <v>0</v>
      </c>
      <c r="R70" s="145">
        <f t="shared" si="12"/>
        <v>70.43589342199067</v>
      </c>
      <c r="S70" s="125">
        <f t="shared" si="13"/>
        <v>0.43589342199067005</v>
      </c>
      <c r="T70" s="144">
        <f t="shared" ref="T70:T133" si="17">+C70+D70+E70+F70+G70-H70</f>
        <v>0</v>
      </c>
      <c r="V70" s="12"/>
    </row>
    <row r="71" spans="1:22" x14ac:dyDescent="0.25">
      <c r="A71" s="49">
        <f>'A) Base RI'!A72</f>
        <v>5503</v>
      </c>
      <c r="B71" s="352" t="str">
        <f>'A) Base RI'!B72</f>
        <v>Vufflens-la-Ville</v>
      </c>
      <c r="C71" s="404">
        <v>1693091.2136053436</v>
      </c>
      <c r="D71" s="404">
        <v>1221719.9657656318</v>
      </c>
      <c r="E71" s="390">
        <v>0</v>
      </c>
      <c r="F71" s="390">
        <v>0</v>
      </c>
      <c r="G71" s="390">
        <v>0</v>
      </c>
      <c r="H71" s="404">
        <f t="shared" si="16"/>
        <v>2914811.1793709751</v>
      </c>
      <c r="I71" s="405">
        <v>71529.073769442432</v>
      </c>
      <c r="J71" s="356">
        <f>'B) D RI'!U72</f>
        <v>89557.096460669622</v>
      </c>
      <c r="K71" s="62">
        <f t="shared" si="14"/>
        <v>40.750019897729985</v>
      </c>
      <c r="L71" s="33">
        <f>'B) D RI'!S72</f>
        <v>67</v>
      </c>
      <c r="M71" s="33">
        <f t="shared" si="9"/>
        <v>26.249980102270015</v>
      </c>
      <c r="N71" s="33">
        <f>'J) Plafonnement effort'!G70+'J) Plafonnement effort'!I70-'K) Plafonnement aide'!I70</f>
        <v>40.582489044128302</v>
      </c>
      <c r="O71" s="125">
        <f t="shared" si="10"/>
        <v>66.832469146398324</v>
      </c>
      <c r="P71" s="47">
        <f t="shared" si="11"/>
        <v>0</v>
      </c>
      <c r="Q71" s="55">
        <f t="shared" si="15"/>
        <v>0</v>
      </c>
      <c r="R71" s="145">
        <f t="shared" si="12"/>
        <v>66.832469146398324</v>
      </c>
      <c r="S71" s="125">
        <f t="shared" si="13"/>
        <v>-0.16753085360167574</v>
      </c>
      <c r="T71" s="144">
        <f t="shared" si="17"/>
        <v>0</v>
      </c>
      <c r="V71" s="12"/>
    </row>
    <row r="72" spans="1:22" x14ac:dyDescent="0.25">
      <c r="A72" s="49">
        <f>'A) Base RI'!A73</f>
        <v>5511</v>
      </c>
      <c r="B72" s="352" t="str">
        <f>'A) Base RI'!B73</f>
        <v>Assens</v>
      </c>
      <c r="C72" s="404">
        <v>726945.96771905501</v>
      </c>
      <c r="D72" s="404">
        <v>614541.19172595593</v>
      </c>
      <c r="E72" s="390">
        <v>0</v>
      </c>
      <c r="F72" s="390">
        <v>0</v>
      </c>
      <c r="G72" s="390">
        <v>0</v>
      </c>
      <c r="H72" s="404">
        <f t="shared" si="16"/>
        <v>1341487.1594450111</v>
      </c>
      <c r="I72" s="405">
        <v>42924.75672243804</v>
      </c>
      <c r="J72" s="356">
        <f>'B) D RI'!U73</f>
        <v>50056.955709388079</v>
      </c>
      <c r="K72" s="62">
        <f t="shared" si="14"/>
        <v>31.252062023773242</v>
      </c>
      <c r="L72" s="33">
        <f>'B) D RI'!S73</f>
        <v>70</v>
      </c>
      <c r="M72" s="33">
        <f t="shared" si="9"/>
        <v>38.747937976226758</v>
      </c>
      <c r="N72" s="33">
        <f>'J) Plafonnement effort'!G71+'J) Plafonnement effort'!I71-'K) Plafonnement aide'!I71</f>
        <v>30.471143195930416</v>
      </c>
      <c r="O72" s="125">
        <f t="shared" si="10"/>
        <v>69.219081172157175</v>
      </c>
      <c r="P72" s="47">
        <f t="shared" si="11"/>
        <v>0</v>
      </c>
      <c r="Q72" s="55">
        <f t="shared" si="15"/>
        <v>0</v>
      </c>
      <c r="R72" s="145">
        <f t="shared" si="12"/>
        <v>69.219081172157175</v>
      </c>
      <c r="S72" s="125">
        <f t="shared" si="13"/>
        <v>-0.78091882784282518</v>
      </c>
      <c r="T72" s="144">
        <f t="shared" si="17"/>
        <v>0</v>
      </c>
      <c r="V72" s="12"/>
    </row>
    <row r="73" spans="1:22" x14ac:dyDescent="0.25">
      <c r="A73" s="49">
        <f>'A) Base RI'!A74</f>
        <v>5512</v>
      </c>
      <c r="B73" s="352" t="str">
        <f>'A) Base RI'!B74</f>
        <v>Bercher</v>
      </c>
      <c r="C73" s="404">
        <v>683194.81102110643</v>
      </c>
      <c r="D73" s="404">
        <v>83933.553385511274</v>
      </c>
      <c r="E73" s="390">
        <v>0</v>
      </c>
      <c r="F73" s="390">
        <v>0</v>
      </c>
      <c r="G73" s="390">
        <v>0</v>
      </c>
      <c r="H73" s="404">
        <f t="shared" si="16"/>
        <v>767128.36440661771</v>
      </c>
      <c r="I73" s="405">
        <v>37044.132282785904</v>
      </c>
      <c r="J73" s="356">
        <f>'B) D RI'!U74</f>
        <v>40014.173696623147</v>
      </c>
      <c r="K73" s="62">
        <f t="shared" si="14"/>
        <v>20.708498678023989</v>
      </c>
      <c r="L73" s="33">
        <f>'B) D RI'!S74</f>
        <v>79</v>
      </c>
      <c r="M73" s="33">
        <f t="shared" si="9"/>
        <v>58.291501321976014</v>
      </c>
      <c r="N73" s="33">
        <f>'J) Plafonnement effort'!G72+'J) Plafonnement effort'!I72-'K) Plafonnement aide'!I72</f>
        <v>14.259537773805537</v>
      </c>
      <c r="O73" s="125">
        <f t="shared" si="10"/>
        <v>72.551039095781547</v>
      </c>
      <c r="P73" s="47">
        <f t="shared" si="11"/>
        <v>0</v>
      </c>
      <c r="Q73" s="55">
        <f t="shared" si="15"/>
        <v>0</v>
      </c>
      <c r="R73" s="145">
        <f t="shared" si="12"/>
        <v>72.551039095781547</v>
      </c>
      <c r="S73" s="125">
        <f t="shared" si="13"/>
        <v>-6.4489609042184526</v>
      </c>
      <c r="T73" s="144">
        <f t="shared" si="17"/>
        <v>0</v>
      </c>
      <c r="V73" s="12"/>
    </row>
    <row r="74" spans="1:22" x14ac:dyDescent="0.25">
      <c r="A74" s="49">
        <f>'A) Base RI'!A75</f>
        <v>5513</v>
      </c>
      <c r="B74" s="352" t="str">
        <f>'A) Base RI'!B75</f>
        <v>Bioley-Orjulaz</v>
      </c>
      <c r="C74" s="404">
        <v>408051.42560669518</v>
      </c>
      <c r="D74" s="404">
        <v>329370.78857558867</v>
      </c>
      <c r="E74" s="390">
        <v>0</v>
      </c>
      <c r="F74" s="390">
        <v>0</v>
      </c>
      <c r="G74" s="390">
        <v>0</v>
      </c>
      <c r="H74" s="404">
        <f t="shared" si="16"/>
        <v>737422.21418228385</v>
      </c>
      <c r="I74" s="405">
        <v>21181.93028195855</v>
      </c>
      <c r="J74" s="356">
        <f>'B) D RI'!U75</f>
        <v>21084.156158347432</v>
      </c>
      <c r="K74" s="62">
        <f t="shared" si="14"/>
        <v>34.81374003059458</v>
      </c>
      <c r="L74" s="33">
        <f>'B) D RI'!S75</f>
        <v>68</v>
      </c>
      <c r="M74" s="33">
        <f t="shared" si="9"/>
        <v>33.18625996940542</v>
      </c>
      <c r="N74" s="33">
        <f>'J) Plafonnement effort'!G73+'J) Plafonnement effort'!I73-'K) Plafonnement aide'!I73</f>
        <v>32.391873147895936</v>
      </c>
      <c r="O74" s="125">
        <f t="shared" si="10"/>
        <v>65.578133117301348</v>
      </c>
      <c r="P74" s="47">
        <f t="shared" si="11"/>
        <v>0</v>
      </c>
      <c r="Q74" s="55">
        <f t="shared" si="15"/>
        <v>0</v>
      </c>
      <c r="R74" s="145">
        <f t="shared" si="12"/>
        <v>65.578133117301348</v>
      </c>
      <c r="S74" s="125">
        <f t="shared" si="13"/>
        <v>-2.4218668826986516</v>
      </c>
      <c r="T74" s="144">
        <f t="shared" si="17"/>
        <v>0</v>
      </c>
      <c r="V74" s="12"/>
    </row>
    <row r="75" spans="1:22" x14ac:dyDescent="0.25">
      <c r="A75" s="49">
        <f>'A) Base RI'!A76</f>
        <v>5514</v>
      </c>
      <c r="B75" s="352" t="str">
        <f>'A) Base RI'!B76</f>
        <v>Bottens</v>
      </c>
      <c r="C75" s="404">
        <v>742261.5155122279</v>
      </c>
      <c r="D75" s="404">
        <v>419884.68198248697</v>
      </c>
      <c r="E75" s="390">
        <v>0</v>
      </c>
      <c r="F75" s="390">
        <v>0</v>
      </c>
      <c r="G75" s="390">
        <v>0</v>
      </c>
      <c r="H75" s="404">
        <f t="shared" si="16"/>
        <v>1162146.197494715</v>
      </c>
      <c r="I75" s="405">
        <v>44638.492368569219</v>
      </c>
      <c r="J75" s="356">
        <f>'B) D RI'!U76</f>
        <v>40808.475827283124</v>
      </c>
      <c r="K75" s="62">
        <f t="shared" si="14"/>
        <v>26.034620253281748</v>
      </c>
      <c r="L75" s="33">
        <f>'B) D RI'!S76</f>
        <v>74</v>
      </c>
      <c r="M75" s="33">
        <f t="shared" si="9"/>
        <v>47.965379746718256</v>
      </c>
      <c r="N75" s="33">
        <f>'J) Plafonnement effort'!G74+'J) Plafonnement effort'!I74-'K) Plafonnement aide'!I74</f>
        <v>20.838635234291459</v>
      </c>
      <c r="O75" s="125">
        <f t="shared" si="10"/>
        <v>68.804014981009715</v>
      </c>
      <c r="P75" s="47">
        <f t="shared" si="11"/>
        <v>0</v>
      </c>
      <c r="Q75" s="55">
        <f t="shared" si="15"/>
        <v>0</v>
      </c>
      <c r="R75" s="145">
        <f t="shared" si="12"/>
        <v>68.804014981009715</v>
      </c>
      <c r="S75" s="125">
        <f t="shared" si="13"/>
        <v>-5.1959850189902852</v>
      </c>
      <c r="T75" s="144">
        <f t="shared" si="17"/>
        <v>0</v>
      </c>
      <c r="V75" s="12"/>
    </row>
    <row r="76" spans="1:22" x14ac:dyDescent="0.25">
      <c r="A76" s="49">
        <f>'A) Base RI'!A77</f>
        <v>5515</v>
      </c>
      <c r="B76" s="352" t="str">
        <f>'A) Base RI'!B77</f>
        <v>Bretigny-sur-Morrens</v>
      </c>
      <c r="C76" s="404">
        <v>548125.95354644954</v>
      </c>
      <c r="D76" s="404">
        <v>245827.73417084455</v>
      </c>
      <c r="E76" s="390">
        <v>0</v>
      </c>
      <c r="F76" s="390">
        <v>0</v>
      </c>
      <c r="G76" s="390">
        <v>0</v>
      </c>
      <c r="H76" s="404">
        <f t="shared" si="16"/>
        <v>793953.68771729409</v>
      </c>
      <c r="I76" s="405">
        <v>28831.158924958156</v>
      </c>
      <c r="J76" s="356">
        <f>'B) D RI'!U77</f>
        <v>28817.325490208266</v>
      </c>
      <c r="K76" s="62">
        <f t="shared" si="14"/>
        <v>27.538042774617544</v>
      </c>
      <c r="L76" s="33">
        <f>'B) D RI'!S77</f>
        <v>81</v>
      </c>
      <c r="M76" s="33">
        <f t="shared" si="9"/>
        <v>53.461957225382456</v>
      </c>
      <c r="N76" s="33">
        <f>'J) Plafonnement effort'!G75+'J) Plafonnement effort'!I75-'K) Plafonnement aide'!I75</f>
        <v>22.882499722964436</v>
      </c>
      <c r="O76" s="125">
        <f t="shared" si="10"/>
        <v>76.344456948346888</v>
      </c>
      <c r="P76" s="47">
        <f t="shared" si="11"/>
        <v>0</v>
      </c>
      <c r="Q76" s="55">
        <f t="shared" si="15"/>
        <v>0</v>
      </c>
      <c r="R76" s="145">
        <f t="shared" si="12"/>
        <v>76.344456948346888</v>
      </c>
      <c r="S76" s="125">
        <f t="shared" si="13"/>
        <v>-4.6555430516531118</v>
      </c>
      <c r="T76" s="144">
        <f t="shared" si="17"/>
        <v>0</v>
      </c>
      <c r="V76" s="12"/>
    </row>
    <row r="77" spans="1:22" x14ac:dyDescent="0.25">
      <c r="A77" s="49">
        <f>'A) Base RI'!A78</f>
        <v>5516</v>
      </c>
      <c r="B77" s="352" t="str">
        <f>'A) Base RI'!B78</f>
        <v>Cugy</v>
      </c>
      <c r="C77" s="404">
        <v>1962784.8665650059</v>
      </c>
      <c r="D77" s="404">
        <v>1240061.9530743319</v>
      </c>
      <c r="E77" s="390">
        <v>0</v>
      </c>
      <c r="F77" s="390">
        <v>0</v>
      </c>
      <c r="G77" s="390">
        <v>0</v>
      </c>
      <c r="H77" s="404">
        <f t="shared" si="16"/>
        <v>3202846.8196393377</v>
      </c>
      <c r="I77" s="405">
        <v>111243.36559703569</v>
      </c>
      <c r="J77" s="356">
        <f>'B) D RI'!U78</f>
        <v>110914.83940385764</v>
      </c>
      <c r="K77" s="62">
        <f t="shared" si="14"/>
        <v>28.791351308456672</v>
      </c>
      <c r="L77" s="33">
        <f>'B) D RI'!S78</f>
        <v>78</v>
      </c>
      <c r="M77" s="33">
        <f t="shared" si="9"/>
        <v>49.208648691543331</v>
      </c>
      <c r="N77" s="33">
        <f>'J) Plafonnement effort'!G76+'J) Plafonnement effort'!I76-'K) Plafonnement aide'!I76</f>
        <v>24.258411717652674</v>
      </c>
      <c r="O77" s="125">
        <f t="shared" si="10"/>
        <v>73.467060409196009</v>
      </c>
      <c r="P77" s="47">
        <f t="shared" si="11"/>
        <v>0</v>
      </c>
      <c r="Q77" s="55">
        <f t="shared" si="15"/>
        <v>0</v>
      </c>
      <c r="R77" s="145">
        <f t="shared" si="12"/>
        <v>73.467060409196009</v>
      </c>
      <c r="S77" s="125">
        <f t="shared" si="13"/>
        <v>-4.5329395908039913</v>
      </c>
      <c r="T77" s="144">
        <f t="shared" si="17"/>
        <v>0</v>
      </c>
      <c r="V77" s="12"/>
    </row>
    <row r="78" spans="1:22" x14ac:dyDescent="0.25">
      <c r="A78" s="49">
        <f>'A) Base RI'!A79</f>
        <v>5518</v>
      </c>
      <c r="B78" s="352" t="str">
        <f>'A) Base RI'!B79</f>
        <v>Echallens</v>
      </c>
      <c r="C78" s="404">
        <v>3107643.5130777154</v>
      </c>
      <c r="D78" s="404">
        <v>-261806.58233116008</v>
      </c>
      <c r="E78" s="390">
        <v>0</v>
      </c>
      <c r="F78" s="390">
        <v>0</v>
      </c>
      <c r="G78" s="390">
        <v>0</v>
      </c>
      <c r="H78" s="404">
        <f t="shared" si="16"/>
        <v>2845836.9307465553</v>
      </c>
      <c r="I78" s="405">
        <v>180959.47694399237</v>
      </c>
      <c r="J78" s="356">
        <f>'B) D RI'!U79</f>
        <v>185740.88420378894</v>
      </c>
      <c r="K78" s="62">
        <f t="shared" si="14"/>
        <v>15.726376859651028</v>
      </c>
      <c r="L78" s="33">
        <f>'B) D RI'!S79</f>
        <v>74</v>
      </c>
      <c r="M78" s="33">
        <f t="shared" si="9"/>
        <v>58.273623140348974</v>
      </c>
      <c r="N78" s="33">
        <f>'J) Plafonnement effort'!G77+'J) Plafonnement effort'!I77-'K) Plafonnement aide'!I77</f>
        <v>12.5139648258085</v>
      </c>
      <c r="O78" s="125">
        <f t="shared" si="10"/>
        <v>70.787587966157474</v>
      </c>
      <c r="P78" s="47">
        <f t="shared" si="11"/>
        <v>0</v>
      </c>
      <c r="Q78" s="55">
        <f t="shared" si="15"/>
        <v>0</v>
      </c>
      <c r="R78" s="145">
        <f t="shared" si="12"/>
        <v>70.787587966157474</v>
      </c>
      <c r="S78" s="125">
        <f t="shared" si="13"/>
        <v>-3.2124120338425257</v>
      </c>
      <c r="T78" s="144">
        <f t="shared" si="17"/>
        <v>0</v>
      </c>
      <c r="V78" s="12"/>
    </row>
    <row r="79" spans="1:22" x14ac:dyDescent="0.25">
      <c r="A79" s="49">
        <f>'A) Base RI'!A80</f>
        <v>5520</v>
      </c>
      <c r="B79" s="352" t="str">
        <f>'A) Base RI'!B80</f>
        <v>Essertines-sur-Yverdon</v>
      </c>
      <c r="C79" s="404">
        <v>601629.55658600049</v>
      </c>
      <c r="D79" s="404">
        <v>212617.23127519741</v>
      </c>
      <c r="E79" s="390">
        <v>0</v>
      </c>
      <c r="F79" s="390">
        <v>0</v>
      </c>
      <c r="G79" s="390">
        <v>0</v>
      </c>
      <c r="H79" s="404">
        <f t="shared" si="16"/>
        <v>814246.78786119795</v>
      </c>
      <c r="I79" s="405">
        <v>31792.947431853896</v>
      </c>
      <c r="J79" s="356">
        <f>'B) D RI'!U80</f>
        <v>29832.653259959214</v>
      </c>
      <c r="K79" s="62">
        <f t="shared" si="14"/>
        <v>25.610924863335892</v>
      </c>
      <c r="L79" s="33">
        <f>'B) D RI'!S80</f>
        <v>73</v>
      </c>
      <c r="M79" s="33">
        <f t="shared" si="9"/>
        <v>47.389075136664104</v>
      </c>
      <c r="N79" s="33">
        <f>'J) Plafonnement effort'!G78+'J) Plafonnement effort'!I78-'K) Plafonnement aide'!I78</f>
        <v>17.665898815179059</v>
      </c>
      <c r="O79" s="125">
        <f t="shared" si="10"/>
        <v>65.054973951843166</v>
      </c>
      <c r="P79" s="47">
        <f t="shared" si="11"/>
        <v>0</v>
      </c>
      <c r="Q79" s="55">
        <f t="shared" si="15"/>
        <v>0</v>
      </c>
      <c r="R79" s="145">
        <f t="shared" si="12"/>
        <v>65.054973951843166</v>
      </c>
      <c r="S79" s="125">
        <f t="shared" si="13"/>
        <v>-7.9450260481568336</v>
      </c>
      <c r="T79" s="144">
        <f t="shared" si="17"/>
        <v>0</v>
      </c>
      <c r="V79" s="12"/>
    </row>
    <row r="80" spans="1:22" x14ac:dyDescent="0.25">
      <c r="A80" s="49">
        <f>'A) Base RI'!A81</f>
        <v>5521</v>
      </c>
      <c r="B80" s="352" t="str">
        <f>'A) Base RI'!B81</f>
        <v>Etagnières</v>
      </c>
      <c r="C80" s="404">
        <v>740628.74297765957</v>
      </c>
      <c r="D80" s="404">
        <v>508115.72652300232</v>
      </c>
      <c r="E80" s="390">
        <v>0</v>
      </c>
      <c r="F80" s="390">
        <v>0</v>
      </c>
      <c r="G80" s="390">
        <v>0</v>
      </c>
      <c r="H80" s="404">
        <f t="shared" si="16"/>
        <v>1248744.4695006618</v>
      </c>
      <c r="I80" s="405">
        <v>41863.452740254725</v>
      </c>
      <c r="J80" s="356">
        <f>'B) D RI'!U81</f>
        <v>48092.453261297029</v>
      </c>
      <c r="K80" s="62">
        <f t="shared" si="14"/>
        <v>29.828988957231999</v>
      </c>
      <c r="L80" s="33">
        <f>'B) D RI'!S81</f>
        <v>73</v>
      </c>
      <c r="M80" s="33">
        <f t="shared" si="9"/>
        <v>43.171011042768001</v>
      </c>
      <c r="N80" s="33">
        <f>'J) Plafonnement effort'!G79+'J) Plafonnement effort'!I79-'K) Plafonnement aide'!I79</f>
        <v>31.941750768077796</v>
      </c>
      <c r="O80" s="125">
        <f t="shared" si="10"/>
        <v>75.112761810845797</v>
      </c>
      <c r="P80" s="47">
        <f t="shared" si="11"/>
        <v>0</v>
      </c>
      <c r="Q80" s="55">
        <f t="shared" si="15"/>
        <v>0</v>
      </c>
      <c r="R80" s="145">
        <f t="shared" si="12"/>
        <v>75.112761810845797</v>
      </c>
      <c r="S80" s="125">
        <f t="shared" si="13"/>
        <v>2.1127618108457966</v>
      </c>
      <c r="T80" s="144">
        <f t="shared" si="17"/>
        <v>0</v>
      </c>
      <c r="V80" s="12"/>
    </row>
    <row r="81" spans="1:22" x14ac:dyDescent="0.25">
      <c r="A81" s="49">
        <f>'A) Base RI'!A82</f>
        <v>5522</v>
      </c>
      <c r="B81" s="352" t="str">
        <f>'A) Base RI'!B82</f>
        <v>Fey</v>
      </c>
      <c r="C81" s="404">
        <v>392659.25541969133</v>
      </c>
      <c r="D81" s="404">
        <v>90692.129875755403</v>
      </c>
      <c r="E81" s="390">
        <v>0</v>
      </c>
      <c r="F81" s="390">
        <v>0</v>
      </c>
      <c r="G81" s="390">
        <v>0</v>
      </c>
      <c r="H81" s="404">
        <f t="shared" si="16"/>
        <v>483351.38529544673</v>
      </c>
      <c r="I81" s="405">
        <v>21530.578579692767</v>
      </c>
      <c r="J81" s="356">
        <f>'B) D RI'!U82</f>
        <v>22665.113066666665</v>
      </c>
      <c r="K81" s="62">
        <f t="shared" si="14"/>
        <v>22.4495307223808</v>
      </c>
      <c r="L81" s="33">
        <f>'B) D RI'!S82</f>
        <v>75</v>
      </c>
      <c r="M81" s="33">
        <f t="shared" si="9"/>
        <v>52.5504692776192</v>
      </c>
      <c r="N81" s="33">
        <f>'J) Plafonnement effort'!G80+'J) Plafonnement effort'!I80-'K) Plafonnement aide'!I80</f>
        <v>20.78643816774397</v>
      </c>
      <c r="O81" s="125">
        <f t="shared" si="10"/>
        <v>73.336907445363167</v>
      </c>
      <c r="P81" s="47">
        <f t="shared" si="11"/>
        <v>0</v>
      </c>
      <c r="Q81" s="55">
        <f t="shared" si="15"/>
        <v>0</v>
      </c>
      <c r="R81" s="145">
        <f t="shared" si="12"/>
        <v>73.336907445363167</v>
      </c>
      <c r="S81" s="125">
        <f t="shared" si="13"/>
        <v>-1.6630925546368331</v>
      </c>
      <c r="T81" s="144">
        <f t="shared" si="17"/>
        <v>0</v>
      </c>
      <c r="V81" s="12"/>
    </row>
    <row r="82" spans="1:22" x14ac:dyDescent="0.25">
      <c r="A82" s="49">
        <f>'A) Base RI'!A83</f>
        <v>5523</v>
      </c>
      <c r="B82" s="352" t="str">
        <f>'A) Base RI'!B83</f>
        <v>Froideville</v>
      </c>
      <c r="C82" s="404">
        <v>1438042.6662744998</v>
      </c>
      <c r="D82" s="404">
        <v>258893.72355253645</v>
      </c>
      <c r="E82" s="390">
        <v>0</v>
      </c>
      <c r="F82" s="390">
        <v>0</v>
      </c>
      <c r="G82" s="390">
        <v>0</v>
      </c>
      <c r="H82" s="404">
        <f t="shared" si="16"/>
        <v>1696936.3898270363</v>
      </c>
      <c r="I82" s="405">
        <v>82933.673531693348</v>
      </c>
      <c r="J82" s="356">
        <f>'B) D RI'!U83</f>
        <v>89135.106646646644</v>
      </c>
      <c r="K82" s="62">
        <f t="shared" si="14"/>
        <v>20.461367711856475</v>
      </c>
      <c r="L82" s="33">
        <f>'B) D RI'!S83</f>
        <v>76</v>
      </c>
      <c r="M82" s="33">
        <f t="shared" si="9"/>
        <v>55.538632288143525</v>
      </c>
      <c r="N82" s="33">
        <f>'J) Plafonnement effort'!G81+'J) Plafonnement effort'!I81-'K) Plafonnement aide'!I81</f>
        <v>19.6663988272451</v>
      </c>
      <c r="O82" s="125">
        <f t="shared" si="10"/>
        <v>75.205031115388621</v>
      </c>
      <c r="P82" s="47">
        <f t="shared" si="11"/>
        <v>0</v>
      </c>
      <c r="Q82" s="55">
        <f t="shared" si="15"/>
        <v>0</v>
      </c>
      <c r="R82" s="145">
        <f t="shared" si="12"/>
        <v>75.205031115388621</v>
      </c>
      <c r="S82" s="125">
        <f t="shared" si="13"/>
        <v>-0.79496888461137871</v>
      </c>
      <c r="T82" s="144">
        <f t="shared" si="17"/>
        <v>0</v>
      </c>
      <c r="V82" s="12"/>
    </row>
    <row r="83" spans="1:22" x14ac:dyDescent="0.25">
      <c r="A83" s="49">
        <f>'A) Base RI'!A84</f>
        <v>5527</v>
      </c>
      <c r="B83" s="352" t="str">
        <f>'A) Base RI'!B84</f>
        <v>Morrens</v>
      </c>
      <c r="C83" s="404">
        <v>717876.5201888741</v>
      </c>
      <c r="D83" s="404">
        <v>388696.21530649997</v>
      </c>
      <c r="E83" s="390">
        <v>0</v>
      </c>
      <c r="F83" s="390">
        <v>0</v>
      </c>
      <c r="G83" s="390">
        <v>0</v>
      </c>
      <c r="H83" s="404">
        <f t="shared" si="16"/>
        <v>1106572.7354953741</v>
      </c>
      <c r="I83" s="405">
        <v>37846.307885294293</v>
      </c>
      <c r="J83" s="356">
        <f>'B) D RI'!U84</f>
        <v>40159.939986831349</v>
      </c>
      <c r="K83" s="62">
        <f t="shared" si="14"/>
        <v>29.238591485573899</v>
      </c>
      <c r="L83" s="33">
        <f>'B) D RI'!S84</f>
        <v>74</v>
      </c>
      <c r="M83" s="33">
        <f t="shared" si="9"/>
        <v>44.761408514426101</v>
      </c>
      <c r="N83" s="33">
        <f>'J) Plafonnement effort'!G82+'J) Plafonnement effort'!I82-'K) Plafonnement aide'!I82</f>
        <v>27.440883453653875</v>
      </c>
      <c r="O83" s="125">
        <f t="shared" si="10"/>
        <v>72.202291968079976</v>
      </c>
      <c r="P83" s="47">
        <f t="shared" si="11"/>
        <v>0</v>
      </c>
      <c r="Q83" s="55">
        <f t="shared" si="15"/>
        <v>0</v>
      </c>
      <c r="R83" s="145">
        <f t="shared" si="12"/>
        <v>72.202291968079976</v>
      </c>
      <c r="S83" s="125">
        <f t="shared" si="13"/>
        <v>-1.797708031920024</v>
      </c>
      <c r="T83" s="144">
        <f t="shared" si="17"/>
        <v>0</v>
      </c>
      <c r="V83" s="12"/>
    </row>
    <row r="84" spans="1:22" x14ac:dyDescent="0.25">
      <c r="A84" s="49">
        <f>'A) Base RI'!A85</f>
        <v>5529</v>
      </c>
      <c r="B84" s="352" t="str">
        <f>'A) Base RI'!B85</f>
        <v>Oulens-sous-Echallens</v>
      </c>
      <c r="C84" s="404">
        <v>357503.29032905784</v>
      </c>
      <c r="D84" s="404">
        <v>230964.13157734676</v>
      </c>
      <c r="E84" s="390">
        <v>0</v>
      </c>
      <c r="F84" s="390">
        <v>0</v>
      </c>
      <c r="G84" s="390">
        <v>0</v>
      </c>
      <c r="H84" s="404">
        <f t="shared" si="16"/>
        <v>588467.42190640466</v>
      </c>
      <c r="I84" s="405">
        <v>21232.684624593807</v>
      </c>
      <c r="J84" s="356">
        <f>'B) D RI'!U85</f>
        <v>21598.779787193034</v>
      </c>
      <c r="K84" s="62">
        <f t="shared" si="14"/>
        <v>27.715168020947438</v>
      </c>
      <c r="L84" s="33">
        <f>'B) D RI'!S85</f>
        <v>71</v>
      </c>
      <c r="M84" s="33">
        <f t="shared" si="9"/>
        <v>43.284831979052562</v>
      </c>
      <c r="N84" s="33">
        <f>'J) Plafonnement effort'!G83+'J) Plafonnement effort'!I83-'K) Plafonnement aide'!I83</f>
        <v>24.644438239748524</v>
      </c>
      <c r="O84" s="125">
        <f t="shared" si="10"/>
        <v>67.929270218801094</v>
      </c>
      <c r="P84" s="47">
        <f t="shared" si="11"/>
        <v>0</v>
      </c>
      <c r="Q84" s="55">
        <f t="shared" si="15"/>
        <v>0</v>
      </c>
      <c r="R84" s="145">
        <f t="shared" si="12"/>
        <v>67.929270218801094</v>
      </c>
      <c r="S84" s="125">
        <f t="shared" si="13"/>
        <v>-3.0707297811989065</v>
      </c>
      <c r="T84" s="144">
        <f t="shared" si="17"/>
        <v>0</v>
      </c>
      <c r="V84" s="12"/>
    </row>
    <row r="85" spans="1:22" x14ac:dyDescent="0.25">
      <c r="A85" s="49">
        <f>'A) Base RI'!A86</f>
        <v>5530</v>
      </c>
      <c r="B85" s="352" t="str">
        <f>'A) Base RI'!B86</f>
        <v>Pailly</v>
      </c>
      <c r="C85" s="404">
        <v>353161.40058655443</v>
      </c>
      <c r="D85" s="404">
        <v>72345.301764277276</v>
      </c>
      <c r="E85" s="390">
        <v>0</v>
      </c>
      <c r="F85" s="390">
        <v>0</v>
      </c>
      <c r="G85" s="390">
        <v>0</v>
      </c>
      <c r="H85" s="404">
        <f t="shared" si="16"/>
        <v>425506.70235083171</v>
      </c>
      <c r="I85" s="405">
        <v>16822.836054480296</v>
      </c>
      <c r="J85" s="356">
        <f>'B) D RI'!U86</f>
        <v>17606.249882733009</v>
      </c>
      <c r="K85" s="62">
        <f t="shared" si="14"/>
        <v>25.293398864070234</v>
      </c>
      <c r="L85" s="33">
        <f>'B) D RI'!S86</f>
        <v>77.5</v>
      </c>
      <c r="M85" s="33">
        <f t="shared" si="9"/>
        <v>52.206601135929766</v>
      </c>
      <c r="N85" s="33">
        <f>'J) Plafonnement effort'!G84+'J) Plafonnement effort'!I84-'K) Plafonnement aide'!I84</f>
        <v>2.4459566854158155</v>
      </c>
      <c r="O85" s="125">
        <f t="shared" si="10"/>
        <v>54.652557821345582</v>
      </c>
      <c r="P85" s="47">
        <f t="shared" si="11"/>
        <v>0</v>
      </c>
      <c r="Q85" s="55">
        <f t="shared" si="15"/>
        <v>0</v>
      </c>
      <c r="R85" s="145">
        <f t="shared" si="12"/>
        <v>54.652557821345582</v>
      </c>
      <c r="S85" s="125">
        <f t="shared" si="13"/>
        <v>-22.847442178654418</v>
      </c>
      <c r="T85" s="144">
        <f t="shared" si="17"/>
        <v>0</v>
      </c>
      <c r="V85" s="12"/>
    </row>
    <row r="86" spans="1:22" x14ac:dyDescent="0.25">
      <c r="A86" s="49">
        <f>'A) Base RI'!A87</f>
        <v>5531</v>
      </c>
      <c r="B86" s="352" t="str">
        <f>'A) Base RI'!B87</f>
        <v>Penthéréaz</v>
      </c>
      <c r="C86" s="404">
        <v>263551.25688373635</v>
      </c>
      <c r="D86" s="404">
        <v>157534.57863251129</v>
      </c>
      <c r="E86" s="390">
        <v>0</v>
      </c>
      <c r="F86" s="390">
        <v>0</v>
      </c>
      <c r="G86" s="390">
        <v>0</v>
      </c>
      <c r="H86" s="404">
        <f t="shared" si="16"/>
        <v>421085.83551624767</v>
      </c>
      <c r="I86" s="405">
        <v>14989.425098501475</v>
      </c>
      <c r="J86" s="356">
        <f>'B) D RI'!U87</f>
        <v>14646.364779076894</v>
      </c>
      <c r="K86" s="62">
        <f t="shared" si="14"/>
        <v>28.092193846603532</v>
      </c>
      <c r="L86" s="33">
        <f>'B) D RI'!S87</f>
        <v>78</v>
      </c>
      <c r="M86" s="33">
        <f t="shared" si="9"/>
        <v>49.907806153396464</v>
      </c>
      <c r="N86" s="33">
        <f>'J) Plafonnement effort'!G85+'J) Plafonnement effort'!I85-'K) Plafonnement aide'!I85</f>
        <v>19.796946742995058</v>
      </c>
      <c r="O86" s="125">
        <f t="shared" si="10"/>
        <v>69.704752896391525</v>
      </c>
      <c r="P86" s="47">
        <f t="shared" si="11"/>
        <v>0</v>
      </c>
      <c r="Q86" s="55">
        <f t="shared" si="15"/>
        <v>0</v>
      </c>
      <c r="R86" s="145">
        <f t="shared" si="12"/>
        <v>69.704752896391525</v>
      </c>
      <c r="S86" s="125">
        <f t="shared" si="13"/>
        <v>-8.2952471036084745</v>
      </c>
      <c r="T86" s="144">
        <f t="shared" si="17"/>
        <v>0</v>
      </c>
      <c r="V86" s="12"/>
    </row>
    <row r="87" spans="1:22" x14ac:dyDescent="0.25">
      <c r="A87" s="49">
        <f>'A) Base RI'!A88</f>
        <v>5533</v>
      </c>
      <c r="B87" s="352" t="str">
        <f>'A) Base RI'!B88</f>
        <v>Poliez-Pittet</v>
      </c>
      <c r="C87" s="404">
        <v>424101.00656971481</v>
      </c>
      <c r="D87" s="404">
        <v>153514.33129161026</v>
      </c>
      <c r="E87" s="390">
        <v>0</v>
      </c>
      <c r="F87" s="390">
        <v>0</v>
      </c>
      <c r="G87" s="390">
        <v>0</v>
      </c>
      <c r="H87" s="404">
        <f t="shared" si="16"/>
        <v>577615.33786132513</v>
      </c>
      <c r="I87" s="405">
        <v>25275.822973621725</v>
      </c>
      <c r="J87" s="356">
        <f>'B) D RI'!U88</f>
        <v>22519.70890410959</v>
      </c>
      <c r="K87" s="62">
        <f t="shared" si="14"/>
        <v>22.852483911765571</v>
      </c>
      <c r="L87" s="33">
        <f>'B) D RI'!S88</f>
        <v>73</v>
      </c>
      <c r="M87" s="33">
        <f t="shared" si="9"/>
        <v>50.147516088234426</v>
      </c>
      <c r="N87" s="33">
        <f>'J) Plafonnement effort'!G86+'J) Plafonnement effort'!I86-'K) Plafonnement aide'!I86</f>
        <v>15.525470616142551</v>
      </c>
      <c r="O87" s="125">
        <f t="shared" si="10"/>
        <v>65.672986704376981</v>
      </c>
      <c r="P87" s="47">
        <f t="shared" si="11"/>
        <v>0</v>
      </c>
      <c r="Q87" s="55">
        <f t="shared" si="15"/>
        <v>0</v>
      </c>
      <c r="R87" s="145">
        <f t="shared" si="12"/>
        <v>65.672986704376981</v>
      </c>
      <c r="S87" s="125">
        <f t="shared" si="13"/>
        <v>-7.3270132956230185</v>
      </c>
      <c r="T87" s="144">
        <f t="shared" si="17"/>
        <v>0</v>
      </c>
      <c r="V87" s="12"/>
    </row>
    <row r="88" spans="1:22" x14ac:dyDescent="0.25">
      <c r="A88" s="49">
        <f>'A) Base RI'!A89</f>
        <v>5534</v>
      </c>
      <c r="B88" s="352" t="str">
        <f>'A) Base RI'!B89</f>
        <v>Rueyres</v>
      </c>
      <c r="C88" s="404">
        <v>140522.50384773713</v>
      </c>
      <c r="D88" s="404">
        <v>70710.941439905146</v>
      </c>
      <c r="E88" s="390">
        <v>0</v>
      </c>
      <c r="F88" s="390">
        <v>0</v>
      </c>
      <c r="G88" s="390">
        <v>0</v>
      </c>
      <c r="H88" s="404">
        <f t="shared" si="16"/>
        <v>211233.44528764227</v>
      </c>
      <c r="I88" s="405">
        <v>8313.1321594227738</v>
      </c>
      <c r="J88" s="356">
        <f>'B) D RI'!U89</f>
        <v>10356.386166784428</v>
      </c>
      <c r="K88" s="62">
        <f t="shared" si="14"/>
        <v>25.409609908368083</v>
      </c>
      <c r="L88" s="33">
        <f>'B) D RI'!S89</f>
        <v>73</v>
      </c>
      <c r="M88" s="33">
        <f t="shared" si="9"/>
        <v>47.590390091631917</v>
      </c>
      <c r="N88" s="33">
        <f>'J) Plafonnement effort'!G87+'J) Plafonnement effort'!I87-'K) Plafonnement aide'!I87</f>
        <v>30.272747032999124</v>
      </c>
      <c r="O88" s="125">
        <f t="shared" si="10"/>
        <v>77.863137124631038</v>
      </c>
      <c r="P88" s="47">
        <f t="shared" si="11"/>
        <v>0</v>
      </c>
      <c r="Q88" s="55">
        <f t="shared" si="15"/>
        <v>0</v>
      </c>
      <c r="R88" s="145">
        <f t="shared" si="12"/>
        <v>77.863137124631038</v>
      </c>
      <c r="S88" s="125">
        <f t="shared" si="13"/>
        <v>4.863137124631038</v>
      </c>
      <c r="T88" s="144">
        <f t="shared" si="17"/>
        <v>0</v>
      </c>
      <c r="V88" s="12"/>
    </row>
    <row r="89" spans="1:22" x14ac:dyDescent="0.25">
      <c r="A89" s="49">
        <f>'A) Base RI'!A90</f>
        <v>5535</v>
      </c>
      <c r="B89" s="352" t="str">
        <f>'A) Base RI'!B90</f>
        <v>Saint-Barthélemy</v>
      </c>
      <c r="C89" s="404">
        <v>422846.00341937522</v>
      </c>
      <c r="D89" s="404">
        <v>36875.060592184425</v>
      </c>
      <c r="E89" s="390">
        <v>0</v>
      </c>
      <c r="F89" s="390">
        <v>0</v>
      </c>
      <c r="G89" s="390">
        <v>0</v>
      </c>
      <c r="H89" s="404">
        <f t="shared" si="16"/>
        <v>459721.06401155965</v>
      </c>
      <c r="I89" s="405">
        <v>21802.428816169639</v>
      </c>
      <c r="J89" s="356">
        <f>'B) D RI'!U90</f>
        <v>22444.916025525185</v>
      </c>
      <c r="K89" s="62">
        <f t="shared" si="14"/>
        <v>21.085772960790969</v>
      </c>
      <c r="L89" s="33">
        <f>'B) D RI'!S90</f>
        <v>77</v>
      </c>
      <c r="M89" s="33">
        <f t="shared" si="9"/>
        <v>55.914227039209031</v>
      </c>
      <c r="N89" s="33">
        <f>'J) Plafonnement effort'!G88+'J) Plafonnement effort'!I88-'K) Plafonnement aide'!I88</f>
        <v>17.359399749132372</v>
      </c>
      <c r="O89" s="125">
        <f t="shared" si="10"/>
        <v>73.273626788341403</v>
      </c>
      <c r="P89" s="47">
        <f t="shared" si="11"/>
        <v>0</v>
      </c>
      <c r="Q89" s="55">
        <f t="shared" si="15"/>
        <v>0</v>
      </c>
      <c r="R89" s="145">
        <f t="shared" si="12"/>
        <v>73.273626788341403</v>
      </c>
      <c r="S89" s="125">
        <f t="shared" si="13"/>
        <v>-3.726373211658597</v>
      </c>
      <c r="T89" s="144">
        <f t="shared" si="17"/>
        <v>0</v>
      </c>
      <c r="V89" s="12"/>
    </row>
    <row r="90" spans="1:22" x14ac:dyDescent="0.25">
      <c r="A90" s="49">
        <f>'A) Base RI'!A91</f>
        <v>5537</v>
      </c>
      <c r="B90" s="352" t="str">
        <f>'A) Base RI'!B91</f>
        <v>Villars-le-Terroir</v>
      </c>
      <c r="C90" s="404">
        <v>634877.59736156557</v>
      </c>
      <c r="D90" s="404">
        <v>195912.77878138446</v>
      </c>
      <c r="E90" s="390">
        <v>0</v>
      </c>
      <c r="F90" s="390">
        <v>0</v>
      </c>
      <c r="G90" s="390">
        <v>0</v>
      </c>
      <c r="H90" s="404">
        <f t="shared" si="16"/>
        <v>830790.37614295003</v>
      </c>
      <c r="I90" s="405">
        <v>37312.302103659451</v>
      </c>
      <c r="J90" s="356">
        <f>'B) D RI'!U91</f>
        <v>36279.342540673366</v>
      </c>
      <c r="K90" s="62">
        <f t="shared" si="14"/>
        <v>22.265856816737909</v>
      </c>
      <c r="L90" s="33">
        <f>'B) D RI'!S91</f>
        <v>73</v>
      </c>
      <c r="M90" s="33">
        <f t="shared" si="9"/>
        <v>50.734143183262091</v>
      </c>
      <c r="N90" s="33">
        <f>'J) Plafonnement effort'!G89+'J) Plafonnement effort'!I89-'K) Plafonnement aide'!I89</f>
        <v>18.018013555431416</v>
      </c>
      <c r="O90" s="125">
        <f t="shared" si="10"/>
        <v>68.752156738693515</v>
      </c>
      <c r="P90" s="47">
        <f t="shared" si="11"/>
        <v>0</v>
      </c>
      <c r="Q90" s="55">
        <f t="shared" si="15"/>
        <v>0</v>
      </c>
      <c r="R90" s="145">
        <f t="shared" si="12"/>
        <v>68.752156738693515</v>
      </c>
      <c r="S90" s="125">
        <f t="shared" si="13"/>
        <v>-4.2478432613064854</v>
      </c>
      <c r="T90" s="144">
        <f t="shared" si="17"/>
        <v>0</v>
      </c>
      <c r="V90" s="12"/>
    </row>
    <row r="91" spans="1:22" x14ac:dyDescent="0.25">
      <c r="A91" s="49">
        <f>'A) Base RI'!A92</f>
        <v>5539</v>
      </c>
      <c r="B91" s="352" t="str">
        <f>'A) Base RI'!B92</f>
        <v>Vuarrens</v>
      </c>
      <c r="C91" s="404">
        <v>530167.6931315203</v>
      </c>
      <c r="D91" s="404">
        <v>102167.20617040963</v>
      </c>
      <c r="E91" s="390">
        <v>0</v>
      </c>
      <c r="F91" s="390">
        <v>0</v>
      </c>
      <c r="G91" s="390">
        <v>0</v>
      </c>
      <c r="H91" s="404">
        <f t="shared" si="16"/>
        <v>632334.89930192987</v>
      </c>
      <c r="I91" s="405">
        <v>28863.357859136209</v>
      </c>
      <c r="J91" s="356">
        <f>'B) D RI'!U92</f>
        <v>30001.761907299908</v>
      </c>
      <c r="K91" s="62">
        <f t="shared" si="14"/>
        <v>21.907877191141672</v>
      </c>
      <c r="L91" s="33">
        <f>'B) D RI'!S92</f>
        <v>75</v>
      </c>
      <c r="M91" s="33">
        <f t="shared" si="9"/>
        <v>53.092122808858328</v>
      </c>
      <c r="N91" s="33">
        <f>'J) Plafonnement effort'!G90+'J) Plafonnement effort'!I90-'K) Plafonnement aide'!I90</f>
        <v>19.199269017905294</v>
      </c>
      <c r="O91" s="125">
        <f t="shared" si="10"/>
        <v>72.291391826763629</v>
      </c>
      <c r="P91" s="47">
        <f t="shared" si="11"/>
        <v>0</v>
      </c>
      <c r="Q91" s="55">
        <f t="shared" si="15"/>
        <v>0</v>
      </c>
      <c r="R91" s="145">
        <f t="shared" si="12"/>
        <v>72.291391826763629</v>
      </c>
      <c r="S91" s="125">
        <f t="shared" si="13"/>
        <v>-2.7086081732363709</v>
      </c>
      <c r="T91" s="144">
        <f t="shared" si="17"/>
        <v>0</v>
      </c>
      <c r="V91" s="12"/>
    </row>
    <row r="92" spans="1:22" x14ac:dyDescent="0.25">
      <c r="A92" s="49">
        <f>'A) Base RI'!A93</f>
        <v>5540</v>
      </c>
      <c r="B92" s="352" t="str">
        <f>'A) Base RI'!B93</f>
        <v>Montilliez</v>
      </c>
      <c r="C92" s="404">
        <v>1010338.2054242165</v>
      </c>
      <c r="D92" s="404">
        <v>348920.73280259571</v>
      </c>
      <c r="E92" s="390">
        <v>0</v>
      </c>
      <c r="F92" s="390">
        <v>0</v>
      </c>
      <c r="G92" s="390">
        <v>0</v>
      </c>
      <c r="H92" s="404">
        <f t="shared" si="16"/>
        <v>1359258.9382268121</v>
      </c>
      <c r="I92" s="405">
        <v>59091.740495657374</v>
      </c>
      <c r="J92" s="356">
        <f>'B) D RI'!U93</f>
        <v>64637.646238645939</v>
      </c>
      <c r="K92" s="62">
        <f>H92/I92</f>
        <v>23.002519926227311</v>
      </c>
      <c r="L92" s="33">
        <f>'B) D RI'!S93</f>
        <v>74</v>
      </c>
      <c r="M92" s="33">
        <f>L92-K92</f>
        <v>50.997480073772692</v>
      </c>
      <c r="N92" s="33">
        <f>'J) Plafonnement effort'!G91+'J) Plafonnement effort'!I91-'K) Plafonnement aide'!I91</f>
        <v>19.03457676667248</v>
      </c>
      <c r="O92" s="125">
        <f>M92+N92</f>
        <v>70.032056840445165</v>
      </c>
      <c r="P92" s="47">
        <f t="shared" si="11"/>
        <v>0</v>
      </c>
      <c r="Q92" s="55">
        <f>P92*J92</f>
        <v>0</v>
      </c>
      <c r="R92" s="145">
        <f>O92+P92</f>
        <v>70.032056840445165</v>
      </c>
      <c r="S92" s="125">
        <f>R92-L92</f>
        <v>-3.9679431595548351</v>
      </c>
      <c r="T92" s="144">
        <f t="shared" si="17"/>
        <v>0</v>
      </c>
      <c r="V92" s="12"/>
    </row>
    <row r="93" spans="1:22" x14ac:dyDescent="0.25">
      <c r="A93" s="49">
        <f>'A) Base RI'!A94</f>
        <v>5541</v>
      </c>
      <c r="B93" s="352" t="str">
        <f>'A) Base RI'!B94</f>
        <v>Goumoëns</v>
      </c>
      <c r="C93" s="404">
        <v>609825.67535833851</v>
      </c>
      <c r="D93" s="404">
        <v>196130.62070700387</v>
      </c>
      <c r="E93" s="390">
        <v>0</v>
      </c>
      <c r="F93" s="390">
        <v>0</v>
      </c>
      <c r="G93" s="390">
        <v>0</v>
      </c>
      <c r="H93" s="404">
        <f t="shared" si="16"/>
        <v>805956.29606534238</v>
      </c>
      <c r="I93" s="405">
        <v>35230.967112736034</v>
      </c>
      <c r="J93" s="356">
        <f>'B) D RI'!U94</f>
        <v>37288.389369533332</v>
      </c>
      <c r="K93" s="62">
        <f>H93/I93</f>
        <v>22.876360262446166</v>
      </c>
      <c r="L93" s="33">
        <f>'B) D RI'!S94</f>
        <v>77</v>
      </c>
      <c r="M93" s="33">
        <f>L93-K93</f>
        <v>54.12363973755383</v>
      </c>
      <c r="N93" s="33">
        <f>'J) Plafonnement effort'!G92+'J) Plafonnement effort'!I92-'K) Plafonnement aide'!I92</f>
        <v>23.61351019026289</v>
      </c>
      <c r="O93" s="125">
        <f>M93+N93</f>
        <v>77.737149927816716</v>
      </c>
      <c r="P93" s="47">
        <f t="shared" si="11"/>
        <v>0</v>
      </c>
      <c r="Q93" s="55">
        <f>P93*J93</f>
        <v>0</v>
      </c>
      <c r="R93" s="145">
        <f>O93+P93</f>
        <v>77.737149927816716</v>
      </c>
      <c r="S93" s="125">
        <f>R93-L93</f>
        <v>0.7371499278167164</v>
      </c>
      <c r="T93" s="144">
        <f t="shared" si="17"/>
        <v>0</v>
      </c>
      <c r="V93" s="12"/>
    </row>
    <row r="94" spans="1:22" x14ac:dyDescent="0.25">
      <c r="A94" s="49">
        <f>'A) Base RI'!A95</f>
        <v>5551</v>
      </c>
      <c r="B94" s="352" t="str">
        <f>'A) Base RI'!B95</f>
        <v>Bonvillars</v>
      </c>
      <c r="C94" s="404">
        <v>372848.06914909289</v>
      </c>
      <c r="D94" s="404">
        <v>356601.73692305246</v>
      </c>
      <c r="E94" s="390">
        <v>0</v>
      </c>
      <c r="F94" s="390">
        <v>0</v>
      </c>
      <c r="G94" s="390">
        <v>0</v>
      </c>
      <c r="H94" s="404">
        <f t="shared" si="16"/>
        <v>729449.80607214535</v>
      </c>
      <c r="I94" s="405">
        <v>21415.305138743261</v>
      </c>
      <c r="J94" s="356">
        <f>'B) D RI'!U95</f>
        <v>18267.607293736826</v>
      </c>
      <c r="K94" s="62">
        <f t="shared" si="14"/>
        <v>34.062078562330143</v>
      </c>
      <c r="L94" s="33">
        <f>'B) D RI'!S95</f>
        <v>55</v>
      </c>
      <c r="M94" s="33">
        <f>L94-K94</f>
        <v>20.937921437669857</v>
      </c>
      <c r="N94" s="33">
        <f>'J) Plafonnement effort'!G93+'J) Plafonnement effort'!I93-'K) Plafonnement aide'!I93</f>
        <v>24.56300876402647</v>
      </c>
      <c r="O94" s="125">
        <f>M94+N94</f>
        <v>45.500930201696328</v>
      </c>
      <c r="P94" s="47">
        <f t="shared" si="11"/>
        <v>0</v>
      </c>
      <c r="Q94" s="55">
        <f>P94*J94</f>
        <v>0</v>
      </c>
      <c r="R94" s="145">
        <f>O94+P94</f>
        <v>45.500930201696328</v>
      </c>
      <c r="S94" s="125">
        <f>R94-L94</f>
        <v>-9.4990697983036725</v>
      </c>
      <c r="T94" s="144">
        <f t="shared" si="17"/>
        <v>0</v>
      </c>
      <c r="V94" s="12"/>
    </row>
    <row r="95" spans="1:22" x14ac:dyDescent="0.25">
      <c r="A95" s="49">
        <f>'A) Base RI'!A96</f>
        <v>5552</v>
      </c>
      <c r="B95" s="352" t="str">
        <f>'A) Base RI'!B96</f>
        <v>Bullet</v>
      </c>
      <c r="C95" s="404">
        <v>323250.94462396111</v>
      </c>
      <c r="D95" s="404">
        <v>31446.395894623129</v>
      </c>
      <c r="E95" s="390">
        <v>0</v>
      </c>
      <c r="F95" s="390">
        <v>0</v>
      </c>
      <c r="G95" s="390">
        <v>0</v>
      </c>
      <c r="H95" s="404">
        <f t="shared" si="16"/>
        <v>354697.34051858424</v>
      </c>
      <c r="I95" s="405">
        <v>17732.087898586105</v>
      </c>
      <c r="J95" s="356">
        <f>'B) D RI'!U96</f>
        <v>18370.265732879256</v>
      </c>
      <c r="K95" s="62">
        <f t="shared" si="14"/>
        <v>20.003134574291533</v>
      </c>
      <c r="L95" s="33">
        <f>'B) D RI'!S96</f>
        <v>73</v>
      </c>
      <c r="M95" s="33">
        <f t="shared" si="9"/>
        <v>52.996865425708464</v>
      </c>
      <c r="N95" s="33">
        <f>'J) Plafonnement effort'!G94+'J) Plafonnement effort'!I94-'K) Plafonnement aide'!I94</f>
        <v>9.3995567990435305</v>
      </c>
      <c r="O95" s="125">
        <f t="shared" si="10"/>
        <v>62.396422224751994</v>
      </c>
      <c r="P95" s="47">
        <f t="shared" si="11"/>
        <v>0</v>
      </c>
      <c r="Q95" s="55">
        <f t="shared" si="15"/>
        <v>0</v>
      </c>
      <c r="R95" s="145">
        <f t="shared" si="12"/>
        <v>62.396422224751994</v>
      </c>
      <c r="S95" s="125">
        <f t="shared" si="13"/>
        <v>-10.603577775248006</v>
      </c>
      <c r="T95" s="144">
        <f t="shared" si="17"/>
        <v>0</v>
      </c>
      <c r="V95" s="12"/>
    </row>
    <row r="96" spans="1:22" x14ac:dyDescent="0.25">
      <c r="A96" s="49">
        <f>'A) Base RI'!A97</f>
        <v>5553</v>
      </c>
      <c r="B96" s="352" t="str">
        <f>'A) Base RI'!B97</f>
        <v>Champagne</v>
      </c>
      <c r="C96" s="404">
        <v>717821.93809368927</v>
      </c>
      <c r="D96" s="404">
        <v>496778.72972541873</v>
      </c>
      <c r="E96" s="390">
        <v>0</v>
      </c>
      <c r="F96" s="390">
        <v>0</v>
      </c>
      <c r="G96" s="390">
        <v>0</v>
      </c>
      <c r="H96" s="404">
        <f t="shared" si="16"/>
        <v>1214600.6678191079</v>
      </c>
      <c r="I96" s="405">
        <v>38083.02347761167</v>
      </c>
      <c r="J96" s="356">
        <f>'B) D RI'!U97</f>
        <v>37727.892502871691</v>
      </c>
      <c r="K96" s="62">
        <f t="shared" si="14"/>
        <v>31.893493659534411</v>
      </c>
      <c r="L96" s="33">
        <f>'B) D RI'!S97</f>
        <v>65</v>
      </c>
      <c r="M96" s="33">
        <f t="shared" si="9"/>
        <v>33.106506340465586</v>
      </c>
      <c r="N96" s="33">
        <f>'J) Plafonnement effort'!G95+'J) Plafonnement effort'!I95-'K) Plafonnement aide'!I95</f>
        <v>24.555177220083316</v>
      </c>
      <c r="O96" s="125">
        <f t="shared" si="10"/>
        <v>57.661683560548902</v>
      </c>
      <c r="P96" s="47">
        <f t="shared" si="11"/>
        <v>0</v>
      </c>
      <c r="Q96" s="55">
        <f t="shared" si="15"/>
        <v>0</v>
      </c>
      <c r="R96" s="145">
        <f t="shared" si="12"/>
        <v>57.661683560548902</v>
      </c>
      <c r="S96" s="125">
        <f t="shared" si="13"/>
        <v>-7.3383164394510985</v>
      </c>
      <c r="T96" s="144">
        <f t="shared" si="17"/>
        <v>0</v>
      </c>
      <c r="V96" s="12"/>
    </row>
    <row r="97" spans="1:22" x14ac:dyDescent="0.25">
      <c r="A97" s="49">
        <f>'A) Base RI'!A98</f>
        <v>5554</v>
      </c>
      <c r="B97" s="352" t="str">
        <f>'A) Base RI'!B98</f>
        <v>Concise</v>
      </c>
      <c r="C97" s="404">
        <v>599374.17951420229</v>
      </c>
      <c r="D97" s="404">
        <v>147279.21793804743</v>
      </c>
      <c r="E97" s="390">
        <v>0</v>
      </c>
      <c r="F97" s="390">
        <v>0</v>
      </c>
      <c r="G97" s="390">
        <v>0</v>
      </c>
      <c r="H97" s="404">
        <f t="shared" si="16"/>
        <v>746653.39745224966</v>
      </c>
      <c r="I97" s="405">
        <v>29757.199499444905</v>
      </c>
      <c r="J97" s="356">
        <f>'B) D RI'!U98</f>
        <v>33273.512128706279</v>
      </c>
      <c r="K97" s="62">
        <f t="shared" si="14"/>
        <v>25.09152104404777</v>
      </c>
      <c r="L97" s="33">
        <f>'B) D RI'!S98</f>
        <v>75</v>
      </c>
      <c r="M97" s="33">
        <f t="shared" si="9"/>
        <v>49.908478955952233</v>
      </c>
      <c r="N97" s="33">
        <f>'J) Plafonnement effort'!G96+'J) Plafonnement effort'!I96-'K) Plafonnement aide'!I96</f>
        <v>22.824268044723354</v>
      </c>
      <c r="O97" s="125">
        <f t="shared" si="10"/>
        <v>72.732747000675587</v>
      </c>
      <c r="P97" s="47">
        <f t="shared" si="11"/>
        <v>0</v>
      </c>
      <c r="Q97" s="55">
        <f t="shared" si="15"/>
        <v>0</v>
      </c>
      <c r="R97" s="145">
        <f t="shared" si="12"/>
        <v>72.732747000675587</v>
      </c>
      <c r="S97" s="125">
        <f t="shared" si="13"/>
        <v>-2.2672529993244126</v>
      </c>
      <c r="T97" s="144">
        <f t="shared" si="17"/>
        <v>0</v>
      </c>
      <c r="V97" s="12"/>
    </row>
    <row r="98" spans="1:22" x14ac:dyDescent="0.25">
      <c r="A98" s="49">
        <f>'A) Base RI'!A99</f>
        <v>5555</v>
      </c>
      <c r="B98" s="352" t="str">
        <f>'A) Base RI'!B99</f>
        <v>Corcelles-près-Concise</v>
      </c>
      <c r="C98" s="404">
        <v>247072.65525673362</v>
      </c>
      <c r="D98" s="404">
        <v>114933.62636266882</v>
      </c>
      <c r="E98" s="390">
        <v>0</v>
      </c>
      <c r="F98" s="390">
        <v>0</v>
      </c>
      <c r="G98" s="390">
        <v>0</v>
      </c>
      <c r="H98" s="404">
        <f t="shared" si="16"/>
        <v>362006.28161940246</v>
      </c>
      <c r="I98" s="405">
        <v>13026.26930420642</v>
      </c>
      <c r="J98" s="356">
        <f>'B) D RI'!U99</f>
        <v>13532.861505055624</v>
      </c>
      <c r="K98" s="62">
        <f t="shared" si="14"/>
        <v>27.790480387389504</v>
      </c>
      <c r="L98" s="33">
        <f>'B) D RI'!S99</f>
        <v>71</v>
      </c>
      <c r="M98" s="33">
        <f t="shared" si="9"/>
        <v>43.209519612610492</v>
      </c>
      <c r="N98" s="33">
        <f>'J) Plafonnement effort'!G97+'J) Plafonnement effort'!I97-'K) Plafonnement aide'!I97</f>
        <v>19.458716948357601</v>
      </c>
      <c r="O98" s="125">
        <f t="shared" si="10"/>
        <v>62.668236560968097</v>
      </c>
      <c r="P98" s="47">
        <f t="shared" si="11"/>
        <v>0</v>
      </c>
      <c r="Q98" s="55">
        <f t="shared" si="15"/>
        <v>0</v>
      </c>
      <c r="R98" s="145">
        <f t="shared" si="12"/>
        <v>62.668236560968097</v>
      </c>
      <c r="S98" s="125">
        <f t="shared" si="13"/>
        <v>-8.3317634390319029</v>
      </c>
      <c r="T98" s="144">
        <f t="shared" si="17"/>
        <v>0</v>
      </c>
      <c r="V98" s="12"/>
    </row>
    <row r="99" spans="1:22" x14ac:dyDescent="0.25">
      <c r="A99" s="49">
        <f>'A) Base RI'!A100</f>
        <v>5556</v>
      </c>
      <c r="B99" s="352" t="str">
        <f>'A) Base RI'!B100</f>
        <v>Fiez</v>
      </c>
      <c r="C99" s="404">
        <v>243486.56023046665</v>
      </c>
      <c r="D99" s="404">
        <v>62142.223019746569</v>
      </c>
      <c r="E99" s="390">
        <v>0</v>
      </c>
      <c r="F99" s="390">
        <v>0</v>
      </c>
      <c r="G99" s="390">
        <v>0</v>
      </c>
      <c r="H99" s="404">
        <f t="shared" si="16"/>
        <v>305628.78325021325</v>
      </c>
      <c r="I99" s="405">
        <v>12681.485348367609</v>
      </c>
      <c r="J99" s="356">
        <f>'B) D RI'!U100</f>
        <v>13065.326581020432</v>
      </c>
      <c r="K99" s="62">
        <f t="shared" si="14"/>
        <v>24.100393199567471</v>
      </c>
      <c r="L99" s="33">
        <f>'B) D RI'!S100</f>
        <v>69</v>
      </c>
      <c r="M99" s="33">
        <f t="shared" si="9"/>
        <v>44.899606800432529</v>
      </c>
      <c r="N99" s="33">
        <f>'J) Plafonnement effort'!G98+'J) Plafonnement effort'!I98-'K) Plafonnement aide'!I98</f>
        <v>11.252729232586947</v>
      </c>
      <c r="O99" s="125">
        <f t="shared" si="10"/>
        <v>56.152336033019481</v>
      </c>
      <c r="P99" s="47">
        <f t="shared" si="11"/>
        <v>0</v>
      </c>
      <c r="Q99" s="55">
        <f t="shared" si="15"/>
        <v>0</v>
      </c>
      <c r="R99" s="145">
        <f t="shared" si="12"/>
        <v>56.152336033019481</v>
      </c>
      <c r="S99" s="125">
        <f t="shared" si="13"/>
        <v>-12.847663966980519</v>
      </c>
      <c r="T99" s="144">
        <f t="shared" si="17"/>
        <v>0</v>
      </c>
      <c r="V99" s="12"/>
    </row>
    <row r="100" spans="1:22" x14ac:dyDescent="0.25">
      <c r="A100" s="49">
        <f>'A) Base RI'!A101</f>
        <v>5557</v>
      </c>
      <c r="B100" s="352" t="str">
        <f>'A) Base RI'!B101</f>
        <v>Fontaines-sur-Grandson</v>
      </c>
      <c r="C100" s="404">
        <v>105640.87180216327</v>
      </c>
      <c r="D100" s="404">
        <v>2161.4123895065131</v>
      </c>
      <c r="E100" s="390">
        <v>0</v>
      </c>
      <c r="F100" s="390">
        <v>0</v>
      </c>
      <c r="G100" s="390">
        <v>0</v>
      </c>
      <c r="H100" s="404">
        <f t="shared" si="16"/>
        <v>107802.28419166978</v>
      </c>
      <c r="I100" s="405">
        <v>5466.9806268353996</v>
      </c>
      <c r="J100" s="356">
        <f>'B) D RI'!U101</f>
        <v>6528.2227757093106</v>
      </c>
      <c r="K100" s="62">
        <f t="shared" si="14"/>
        <v>19.718797550243359</v>
      </c>
      <c r="L100" s="33">
        <f>'B) D RI'!S101</f>
        <v>69</v>
      </c>
      <c r="M100" s="33">
        <f t="shared" si="9"/>
        <v>49.281202449756641</v>
      </c>
      <c r="N100" s="33">
        <f>'J) Plafonnement effort'!G99+'J) Plafonnement effort'!I99-'K) Plafonnement aide'!I99</f>
        <v>16.168315641518536</v>
      </c>
      <c r="O100" s="125">
        <f t="shared" si="10"/>
        <v>65.449518091275181</v>
      </c>
      <c r="P100" s="47">
        <f t="shared" si="11"/>
        <v>0</v>
      </c>
      <c r="Q100" s="55">
        <f t="shared" si="15"/>
        <v>0</v>
      </c>
      <c r="R100" s="145">
        <f t="shared" si="12"/>
        <v>65.449518091275181</v>
      </c>
      <c r="S100" s="125">
        <f t="shared" si="13"/>
        <v>-3.5504819087248194</v>
      </c>
      <c r="T100" s="144">
        <f t="shared" si="17"/>
        <v>0</v>
      </c>
      <c r="V100" s="12"/>
    </row>
    <row r="101" spans="1:22" x14ac:dyDescent="0.25">
      <c r="A101" s="49">
        <f>'A) Base RI'!A102</f>
        <v>5559</v>
      </c>
      <c r="B101" s="352" t="str">
        <f>'A) Base RI'!B102</f>
        <v>Giez</v>
      </c>
      <c r="C101" s="404">
        <v>420879.45642216172</v>
      </c>
      <c r="D101" s="404">
        <v>337497.7997520417</v>
      </c>
      <c r="E101" s="390">
        <v>0</v>
      </c>
      <c r="F101" s="390">
        <v>0</v>
      </c>
      <c r="G101" s="390">
        <v>0</v>
      </c>
      <c r="H101" s="404">
        <f t="shared" si="16"/>
        <v>758377.25617420347</v>
      </c>
      <c r="I101" s="405">
        <v>19176.421195753639</v>
      </c>
      <c r="J101" s="356">
        <f>'B) D RI'!U102</f>
        <v>20929.407833065721</v>
      </c>
      <c r="K101" s="62">
        <f t="shared" si="14"/>
        <v>39.547382091405872</v>
      </c>
      <c r="L101" s="33">
        <f>'B) D RI'!S102</f>
        <v>66</v>
      </c>
      <c r="M101" s="33">
        <f t="shared" si="9"/>
        <v>26.452617908594128</v>
      </c>
      <c r="N101" s="33">
        <f>'J) Plafonnement effort'!G100+'J) Plafonnement effort'!I100-'K) Plafonnement aide'!I100</f>
        <v>35.647391470719526</v>
      </c>
      <c r="O101" s="125">
        <f t="shared" si="10"/>
        <v>62.100009379313654</v>
      </c>
      <c r="P101" s="47">
        <f t="shared" si="11"/>
        <v>0</v>
      </c>
      <c r="Q101" s="55">
        <f t="shared" si="15"/>
        <v>0</v>
      </c>
      <c r="R101" s="145">
        <f t="shared" si="12"/>
        <v>62.100009379313654</v>
      </c>
      <c r="S101" s="125">
        <f t="shared" si="13"/>
        <v>-3.8999906206863457</v>
      </c>
      <c r="T101" s="144">
        <f t="shared" si="17"/>
        <v>0</v>
      </c>
      <c r="V101" s="12"/>
    </row>
    <row r="102" spans="1:22" x14ac:dyDescent="0.25">
      <c r="A102" s="49">
        <f>'A) Base RI'!A103</f>
        <v>5560</v>
      </c>
      <c r="B102" s="352" t="str">
        <f>'A) Base RI'!B103</f>
        <v>Grandevent</v>
      </c>
      <c r="C102" s="404">
        <v>136210.75979641112</v>
      </c>
      <c r="D102" s="404">
        <v>61648.71714824115</v>
      </c>
      <c r="E102" s="390">
        <v>0</v>
      </c>
      <c r="F102" s="390">
        <v>0</v>
      </c>
      <c r="G102" s="390">
        <v>0</v>
      </c>
      <c r="H102" s="404">
        <f t="shared" si="16"/>
        <v>197859.47694465227</v>
      </c>
      <c r="I102" s="405">
        <v>7435.5518015193766</v>
      </c>
      <c r="J102" s="356">
        <f>'B) D RI'!U103</f>
        <v>7416.8272615804444</v>
      </c>
      <c r="K102" s="62">
        <f t="shared" si="14"/>
        <v>26.609925157702722</v>
      </c>
      <c r="L102" s="33">
        <f>'B) D RI'!S103</f>
        <v>68</v>
      </c>
      <c r="M102" s="33">
        <f t="shared" si="9"/>
        <v>41.390074842297281</v>
      </c>
      <c r="N102" s="33">
        <f>'J) Plafonnement effort'!G101+'J) Plafonnement effort'!I101-'K) Plafonnement aide'!I101</f>
        <v>24.925940526888759</v>
      </c>
      <c r="O102" s="125">
        <f t="shared" si="10"/>
        <v>66.316015369186033</v>
      </c>
      <c r="P102" s="47">
        <f t="shared" si="11"/>
        <v>0</v>
      </c>
      <c r="Q102" s="55">
        <f t="shared" si="15"/>
        <v>0</v>
      </c>
      <c r="R102" s="145">
        <f t="shared" si="12"/>
        <v>66.316015369186033</v>
      </c>
      <c r="S102" s="125">
        <f t="shared" si="13"/>
        <v>-1.683984630813967</v>
      </c>
      <c r="T102" s="144">
        <f t="shared" si="17"/>
        <v>0</v>
      </c>
      <c r="V102" s="12"/>
    </row>
    <row r="103" spans="1:22" x14ac:dyDescent="0.25">
      <c r="A103" s="49">
        <f>'A) Base RI'!A104</f>
        <v>5561</v>
      </c>
      <c r="B103" s="352" t="str">
        <f>'A) Base RI'!B104</f>
        <v>Grandson</v>
      </c>
      <c r="C103" s="404">
        <v>2360178.7634896985</v>
      </c>
      <c r="D103" s="404">
        <v>920349.96645263117</v>
      </c>
      <c r="E103" s="390">
        <v>0</v>
      </c>
      <c r="F103" s="390">
        <v>0</v>
      </c>
      <c r="G103" s="390">
        <v>0</v>
      </c>
      <c r="H103" s="404">
        <f t="shared" si="16"/>
        <v>3280528.7299423297</v>
      </c>
      <c r="I103" s="405">
        <v>121785.01104961828</v>
      </c>
      <c r="J103" s="356">
        <f>'B) D RI'!U104</f>
        <v>113273.1793379919</v>
      </c>
      <c r="K103" s="62">
        <f t="shared" si="14"/>
        <v>26.937048341735256</v>
      </c>
      <c r="L103" s="33">
        <f>'B) D RI'!S104</f>
        <v>69</v>
      </c>
      <c r="M103" s="33">
        <f t="shared" si="9"/>
        <v>42.062951658264744</v>
      </c>
      <c r="N103" s="33">
        <f>'J) Plafonnement effort'!G102+'J) Plafonnement effort'!I102-'K) Plafonnement aide'!I102</f>
        <v>21.991839972097967</v>
      </c>
      <c r="O103" s="125">
        <f t="shared" si="10"/>
        <v>64.054791630362715</v>
      </c>
      <c r="P103" s="47">
        <f t="shared" si="11"/>
        <v>0</v>
      </c>
      <c r="Q103" s="55">
        <f t="shared" si="15"/>
        <v>0</v>
      </c>
      <c r="R103" s="145">
        <f t="shared" si="12"/>
        <v>64.054791630362715</v>
      </c>
      <c r="S103" s="125">
        <f t="shared" si="13"/>
        <v>-4.9452083696372853</v>
      </c>
      <c r="T103" s="144">
        <f t="shared" si="17"/>
        <v>0</v>
      </c>
      <c r="V103" s="12"/>
    </row>
    <row r="104" spans="1:22" x14ac:dyDescent="0.25">
      <c r="A104" s="49">
        <f>'A) Base RI'!A105</f>
        <v>5562</v>
      </c>
      <c r="B104" s="352" t="str">
        <f>'A) Base RI'!B105</f>
        <v>Mauborget</v>
      </c>
      <c r="C104" s="404">
        <v>98641.978442553227</v>
      </c>
      <c r="D104" s="404">
        <v>88736.913188738545</v>
      </c>
      <c r="E104" s="390">
        <v>0</v>
      </c>
      <c r="F104" s="390">
        <v>0</v>
      </c>
      <c r="G104" s="390">
        <v>0</v>
      </c>
      <c r="H104" s="404">
        <f t="shared" si="16"/>
        <v>187378.89163129177</v>
      </c>
      <c r="I104" s="405">
        <v>5293.9932786811205</v>
      </c>
      <c r="J104" s="356">
        <f>'B) D RI'!U105</f>
        <v>5481.8555000000006</v>
      </c>
      <c r="K104" s="62">
        <f t="shared" si="14"/>
        <v>35.394622125015808</v>
      </c>
      <c r="L104" s="33">
        <f>'B) D RI'!S105</f>
        <v>70</v>
      </c>
      <c r="M104" s="33">
        <f t="shared" si="9"/>
        <v>34.605377874984192</v>
      </c>
      <c r="N104" s="33">
        <f>'J) Plafonnement effort'!G103+'J) Plafonnement effort'!I103-'K) Plafonnement aide'!I103</f>
        <v>39.529735702063952</v>
      </c>
      <c r="O104" s="125">
        <f t="shared" si="10"/>
        <v>74.135113577048145</v>
      </c>
      <c r="P104" s="47">
        <f t="shared" si="11"/>
        <v>0</v>
      </c>
      <c r="Q104" s="55">
        <f t="shared" si="15"/>
        <v>0</v>
      </c>
      <c r="R104" s="145">
        <f t="shared" si="12"/>
        <v>74.135113577048145</v>
      </c>
      <c r="S104" s="125">
        <f t="shared" si="13"/>
        <v>4.1351135770481449</v>
      </c>
      <c r="T104" s="144">
        <f t="shared" si="17"/>
        <v>0</v>
      </c>
      <c r="V104" s="12"/>
    </row>
    <row r="105" spans="1:22" x14ac:dyDescent="0.25">
      <c r="A105" s="49">
        <f>'A) Base RI'!A106</f>
        <v>5563</v>
      </c>
      <c r="B105" s="352" t="str">
        <f>'A) Base RI'!B106</f>
        <v>Mutrux</v>
      </c>
      <c r="C105" s="404">
        <v>56158.012360125525</v>
      </c>
      <c r="D105" s="404">
        <v>-45818.106211827035</v>
      </c>
      <c r="E105" s="390">
        <v>0</v>
      </c>
      <c r="F105" s="390">
        <v>0</v>
      </c>
      <c r="G105" s="390">
        <v>0</v>
      </c>
      <c r="H105" s="404">
        <f t="shared" si="16"/>
        <v>10339.906148298491</v>
      </c>
      <c r="I105" s="405">
        <v>3292.4675996165679</v>
      </c>
      <c r="J105" s="356">
        <f>'B) D RI'!U106</f>
        <v>4024.138375587273</v>
      </c>
      <c r="K105" s="62">
        <f t="shared" si="14"/>
        <v>3.1404731665400893</v>
      </c>
      <c r="L105" s="33">
        <f>'B) D RI'!S106</f>
        <v>80</v>
      </c>
      <c r="M105" s="33">
        <f t="shared" si="9"/>
        <v>76.85952683345991</v>
      </c>
      <c r="N105" s="33">
        <f>'J) Plafonnement effort'!G104+'J) Plafonnement effort'!I104-'K) Plafonnement aide'!I104</f>
        <v>4.8069532142213705</v>
      </c>
      <c r="O105" s="125">
        <f t="shared" si="10"/>
        <v>81.666480047681276</v>
      </c>
      <c r="P105" s="47">
        <f t="shared" si="11"/>
        <v>0</v>
      </c>
      <c r="Q105" s="55">
        <f t="shared" si="15"/>
        <v>0</v>
      </c>
      <c r="R105" s="145">
        <f t="shared" si="12"/>
        <v>81.666480047681276</v>
      </c>
      <c r="S105" s="125">
        <f t="shared" si="13"/>
        <v>1.6664800476812758</v>
      </c>
      <c r="T105" s="144">
        <f t="shared" si="17"/>
        <v>0</v>
      </c>
      <c r="V105" s="12"/>
    </row>
    <row r="106" spans="1:22" x14ac:dyDescent="0.25">
      <c r="A106" s="49">
        <f>'A) Base RI'!A107</f>
        <v>5564</v>
      </c>
      <c r="B106" s="352" t="str">
        <f>'A) Base RI'!B107</f>
        <v>Novalles</v>
      </c>
      <c r="C106" s="404">
        <v>58038.870099978303</v>
      </c>
      <c r="D106" s="404">
        <v>7917.6211378754524</v>
      </c>
      <c r="E106" s="390">
        <v>0</v>
      </c>
      <c r="F106" s="390">
        <v>0</v>
      </c>
      <c r="G106" s="390">
        <v>0</v>
      </c>
      <c r="H106" s="404">
        <f t="shared" si="16"/>
        <v>65956.491237853756</v>
      </c>
      <c r="I106" s="405">
        <v>2878.9025109575691</v>
      </c>
      <c r="J106" s="356">
        <f>'B) D RI'!U107</f>
        <v>2262.9000968180799</v>
      </c>
      <c r="K106" s="62">
        <f t="shared" si="14"/>
        <v>22.910289940980171</v>
      </c>
      <c r="L106" s="33">
        <f>'B) D RI'!S107</f>
        <v>76</v>
      </c>
      <c r="M106" s="33">
        <f t="shared" si="9"/>
        <v>53.089710059019829</v>
      </c>
      <c r="N106" s="33">
        <f>'J) Plafonnement effort'!G105+'J) Plafonnement effort'!I105-'K) Plafonnement aide'!I105</f>
        <v>1.5143067513615067</v>
      </c>
      <c r="O106" s="125">
        <f t="shared" si="10"/>
        <v>54.604016810381339</v>
      </c>
      <c r="P106" s="47">
        <f t="shared" si="11"/>
        <v>0</v>
      </c>
      <c r="Q106" s="55">
        <f t="shared" si="15"/>
        <v>0</v>
      </c>
      <c r="R106" s="145">
        <f t="shared" si="12"/>
        <v>54.604016810381339</v>
      </c>
      <c r="S106" s="125">
        <f t="shared" si="13"/>
        <v>-21.395983189618661</v>
      </c>
      <c r="T106" s="144">
        <f t="shared" si="17"/>
        <v>0</v>
      </c>
      <c r="V106" s="12"/>
    </row>
    <row r="107" spans="1:22" x14ac:dyDescent="0.25">
      <c r="A107" s="49">
        <f>'A) Base RI'!A108</f>
        <v>5565</v>
      </c>
      <c r="B107" s="352" t="str">
        <f>'A) Base RI'!B108</f>
        <v>Onnens</v>
      </c>
      <c r="C107" s="404">
        <v>392942.0755701171</v>
      </c>
      <c r="D107" s="404">
        <v>394590.80646739836</v>
      </c>
      <c r="E107" s="390">
        <v>0</v>
      </c>
      <c r="F107" s="390">
        <v>0</v>
      </c>
      <c r="G107" s="390">
        <v>0</v>
      </c>
      <c r="H107" s="404">
        <f t="shared" si="16"/>
        <v>787532.88203751552</v>
      </c>
      <c r="I107" s="405">
        <v>22496.162634074011</v>
      </c>
      <c r="J107" s="356">
        <f>'B) D RI'!U108</f>
        <v>18662.496602351366</v>
      </c>
      <c r="K107" s="62">
        <f t="shared" si="14"/>
        <v>35.007431927286653</v>
      </c>
      <c r="L107" s="33">
        <f>'B) D RI'!S108</f>
        <v>65</v>
      </c>
      <c r="M107" s="33">
        <f t="shared" si="9"/>
        <v>29.992568072713347</v>
      </c>
      <c r="N107" s="33">
        <f>'J) Plafonnement effort'!G106+'J) Plafonnement effort'!I106-'K) Plafonnement aide'!I106</f>
        <v>29.453954479923958</v>
      </c>
      <c r="O107" s="125">
        <f t="shared" si="10"/>
        <v>59.446522552637305</v>
      </c>
      <c r="P107" s="47">
        <f t="shared" si="11"/>
        <v>0</v>
      </c>
      <c r="Q107" s="55">
        <f t="shared" si="15"/>
        <v>0</v>
      </c>
      <c r="R107" s="145">
        <f t="shared" si="12"/>
        <v>59.446522552637305</v>
      </c>
      <c r="S107" s="125">
        <f t="shared" si="13"/>
        <v>-5.5534774473626953</v>
      </c>
      <c r="T107" s="144">
        <f t="shared" si="17"/>
        <v>0</v>
      </c>
      <c r="V107" s="12"/>
    </row>
    <row r="108" spans="1:22" x14ac:dyDescent="0.25">
      <c r="A108" s="49">
        <f>'A) Base RI'!A109</f>
        <v>5566</v>
      </c>
      <c r="B108" s="352" t="str">
        <f>'A) Base RI'!B109</f>
        <v>Provence</v>
      </c>
      <c r="C108" s="404">
        <v>172518.88628978247</v>
      </c>
      <c r="D108" s="404">
        <v>-100883.88787676604</v>
      </c>
      <c r="E108" s="390">
        <v>0</v>
      </c>
      <c r="F108" s="390">
        <v>0</v>
      </c>
      <c r="G108" s="390">
        <v>0</v>
      </c>
      <c r="H108" s="404">
        <f t="shared" si="16"/>
        <v>71634.998413016438</v>
      </c>
      <c r="I108" s="405">
        <v>8235.6819296483191</v>
      </c>
      <c r="J108" s="356">
        <f>'B) D RI'!U109</f>
        <v>8507.523402669327</v>
      </c>
      <c r="K108" s="62">
        <f t="shared" si="14"/>
        <v>8.6981259141555274</v>
      </c>
      <c r="L108" s="33">
        <f>'B) D RI'!S109</f>
        <v>81</v>
      </c>
      <c r="M108" s="33">
        <f t="shared" si="9"/>
        <v>72.301874085844474</v>
      </c>
      <c r="N108" s="33">
        <f>'J) Plafonnement effort'!G107+'J) Plafonnement effort'!I107-'K) Plafonnement aide'!I107</f>
        <v>-17.51652355704724</v>
      </c>
      <c r="O108" s="125">
        <f t="shared" si="10"/>
        <v>54.785350528797238</v>
      </c>
      <c r="P108" s="47">
        <f t="shared" si="11"/>
        <v>0</v>
      </c>
      <c r="Q108" s="55">
        <f t="shared" si="15"/>
        <v>0</v>
      </c>
      <c r="R108" s="145">
        <f t="shared" si="12"/>
        <v>54.785350528797238</v>
      </c>
      <c r="S108" s="125">
        <f t="shared" si="13"/>
        <v>-26.214649471202762</v>
      </c>
      <c r="T108" s="144">
        <f t="shared" si="17"/>
        <v>0</v>
      </c>
      <c r="V108" s="12"/>
    </row>
    <row r="109" spans="1:22" x14ac:dyDescent="0.25">
      <c r="A109" s="49">
        <f>'A) Base RI'!A110</f>
        <v>5568</v>
      </c>
      <c r="B109" s="352" t="str">
        <f>'A) Base RI'!B110</f>
        <v>Sainte-Croix</v>
      </c>
      <c r="C109" s="404">
        <v>2376017.2821776848</v>
      </c>
      <c r="D109" s="404">
        <v>-1923547.3576056969</v>
      </c>
      <c r="E109" s="390">
        <v>0</v>
      </c>
      <c r="F109" s="390">
        <v>0</v>
      </c>
      <c r="G109" s="390">
        <v>0</v>
      </c>
      <c r="H109" s="404">
        <f t="shared" si="16"/>
        <v>452469.92457198794</v>
      </c>
      <c r="I109" s="405">
        <v>101939.03540611925</v>
      </c>
      <c r="J109" s="356">
        <f>'B) D RI'!U110</f>
        <v>109442.50057575936</v>
      </c>
      <c r="K109" s="62">
        <f t="shared" si="14"/>
        <v>4.4386325882854765</v>
      </c>
      <c r="L109" s="33">
        <f>'B) D RI'!S110</f>
        <v>70</v>
      </c>
      <c r="M109" s="33">
        <f t="shared" si="9"/>
        <v>65.561367411714528</v>
      </c>
      <c r="N109" s="33">
        <f>'J) Plafonnement effort'!G108+'J) Plafonnement effort'!I108-'K) Plafonnement aide'!I108</f>
        <v>-3.9296884875293685</v>
      </c>
      <c r="O109" s="125">
        <f t="shared" si="10"/>
        <v>61.631678924185159</v>
      </c>
      <c r="P109" s="47">
        <f t="shared" si="11"/>
        <v>0</v>
      </c>
      <c r="Q109" s="55">
        <f t="shared" si="15"/>
        <v>0</v>
      </c>
      <c r="R109" s="145">
        <f t="shared" si="12"/>
        <v>61.631678924185159</v>
      </c>
      <c r="S109" s="125">
        <f t="shared" si="13"/>
        <v>-8.3683210758148405</v>
      </c>
      <c r="T109" s="144">
        <f t="shared" si="17"/>
        <v>0</v>
      </c>
      <c r="V109" s="12"/>
    </row>
    <row r="110" spans="1:22" x14ac:dyDescent="0.25">
      <c r="A110" s="49">
        <f>'A) Base RI'!A111</f>
        <v>5571</v>
      </c>
      <c r="B110" s="352" t="str">
        <f>'A) Base RI'!B111</f>
        <v>Tévenon</v>
      </c>
      <c r="C110" s="404">
        <v>431132.87631471688</v>
      </c>
      <c r="D110" s="404">
        <v>-9730.4935629794491</v>
      </c>
      <c r="E110" s="390">
        <v>0</v>
      </c>
      <c r="F110" s="390">
        <v>0</v>
      </c>
      <c r="G110" s="390">
        <v>0</v>
      </c>
      <c r="H110" s="404">
        <f t="shared" si="16"/>
        <v>421402.38275173743</v>
      </c>
      <c r="I110" s="405">
        <v>22492.192645834311</v>
      </c>
      <c r="J110" s="356">
        <f>'B) D RI'!U111</f>
        <v>24814.739648311806</v>
      </c>
      <c r="K110" s="62">
        <f t="shared" si="14"/>
        <v>18.73549588460348</v>
      </c>
      <c r="L110" s="33">
        <f>'B) D RI'!S111</f>
        <v>73</v>
      </c>
      <c r="M110" s="33">
        <f t="shared" si="9"/>
        <v>54.26450411539652</v>
      </c>
      <c r="N110" s="33">
        <f>'J) Plafonnement effort'!G109+'J) Plafonnement effort'!I109-'K) Plafonnement aide'!I109</f>
        <v>14.580690668386804</v>
      </c>
      <c r="O110" s="125">
        <f t="shared" si="10"/>
        <v>68.845194783783327</v>
      </c>
      <c r="P110" s="47">
        <f t="shared" si="11"/>
        <v>0</v>
      </c>
      <c r="Q110" s="55">
        <f t="shared" si="15"/>
        <v>0</v>
      </c>
      <c r="R110" s="145">
        <f t="shared" si="12"/>
        <v>68.845194783783327</v>
      </c>
      <c r="S110" s="125">
        <f t="shared" si="13"/>
        <v>-4.1548052162166726</v>
      </c>
      <c r="T110" s="144">
        <f t="shared" si="17"/>
        <v>0</v>
      </c>
      <c r="V110" s="12"/>
    </row>
    <row r="111" spans="1:22" x14ac:dyDescent="0.25">
      <c r="A111" s="49">
        <f>'A) Base RI'!A112</f>
        <v>5581</v>
      </c>
      <c r="B111" s="352" t="str">
        <f>'A) Base RI'!B112</f>
        <v>Belmont-sur-Lausanne</v>
      </c>
      <c r="C111" s="404">
        <v>3760439.026456852</v>
      </c>
      <c r="D111" s="404">
        <v>2571041.095755728</v>
      </c>
      <c r="E111" s="390">
        <v>0</v>
      </c>
      <c r="F111" s="390">
        <v>0</v>
      </c>
      <c r="G111" s="390">
        <v>0</v>
      </c>
      <c r="H111" s="404">
        <f t="shared" si="16"/>
        <v>6331480.1222125795</v>
      </c>
      <c r="I111" s="405">
        <v>185422.93708910214</v>
      </c>
      <c r="J111" s="356">
        <f>'B) D RI'!U112</f>
        <v>187390.297037037</v>
      </c>
      <c r="K111" s="62">
        <f t="shared" si="14"/>
        <v>34.146153769369342</v>
      </c>
      <c r="L111" s="33">
        <f>'B) D RI'!S112</f>
        <v>72</v>
      </c>
      <c r="M111" s="33">
        <f t="shared" si="9"/>
        <v>37.853846230630658</v>
      </c>
      <c r="N111" s="33">
        <f>'J) Plafonnement effort'!G110+'J) Plafonnement effort'!I110-'K) Plafonnement aide'!I110</f>
        <v>26.221278763117915</v>
      </c>
      <c r="O111" s="125">
        <f t="shared" si="10"/>
        <v>64.075124993748574</v>
      </c>
      <c r="P111" s="47">
        <f t="shared" si="11"/>
        <v>0</v>
      </c>
      <c r="Q111" s="55">
        <f t="shared" si="15"/>
        <v>0</v>
      </c>
      <c r="R111" s="145">
        <f t="shared" si="12"/>
        <v>64.075124993748574</v>
      </c>
      <c r="S111" s="125">
        <f t="shared" si="13"/>
        <v>-7.9248750062514262</v>
      </c>
      <c r="T111" s="144">
        <f t="shared" si="17"/>
        <v>0</v>
      </c>
      <c r="V111" s="12"/>
    </row>
    <row r="112" spans="1:22" x14ac:dyDescent="0.25">
      <c r="A112" s="49">
        <f>'A) Base RI'!A113</f>
        <v>5582</v>
      </c>
      <c r="B112" s="352" t="str">
        <f>'A) Base RI'!B113</f>
        <v>Cheseaux-sur-Lausanne</v>
      </c>
      <c r="C112" s="404">
        <v>3069286.9313248331</v>
      </c>
      <c r="D112" s="404">
        <v>1533821.3096172917</v>
      </c>
      <c r="E112" s="390">
        <v>0</v>
      </c>
      <c r="F112" s="390">
        <v>0</v>
      </c>
      <c r="G112" s="390">
        <v>0</v>
      </c>
      <c r="H112" s="404">
        <f t="shared" si="16"/>
        <v>4603108.2409421243</v>
      </c>
      <c r="I112" s="405">
        <v>172785.13258345879</v>
      </c>
      <c r="J112" s="356">
        <f>'B) D RI'!U113</f>
        <v>165596.20409124478</v>
      </c>
      <c r="K112" s="62">
        <f t="shared" si="14"/>
        <v>26.640649991796764</v>
      </c>
      <c r="L112" s="33">
        <f>'B) D RI'!S113</f>
        <v>74.5</v>
      </c>
      <c r="M112" s="33">
        <f t="shared" si="9"/>
        <v>47.859350008203236</v>
      </c>
      <c r="N112" s="33">
        <f>'J) Plafonnement effort'!G111+'J) Plafonnement effort'!I111-'K) Plafonnement aide'!I111</f>
        <v>22.93646618007994</v>
      </c>
      <c r="O112" s="125">
        <f t="shared" si="10"/>
        <v>70.795816188283169</v>
      </c>
      <c r="P112" s="47">
        <f t="shared" si="11"/>
        <v>0</v>
      </c>
      <c r="Q112" s="55">
        <f t="shared" si="15"/>
        <v>0</v>
      </c>
      <c r="R112" s="145">
        <f t="shared" si="12"/>
        <v>70.795816188283169</v>
      </c>
      <c r="S112" s="125">
        <f t="shared" si="13"/>
        <v>-3.7041838117168311</v>
      </c>
      <c r="T112" s="144">
        <f t="shared" si="17"/>
        <v>0</v>
      </c>
      <c r="V112" s="12"/>
    </row>
    <row r="113" spans="1:22" x14ac:dyDescent="0.25">
      <c r="A113" s="49">
        <f>'A) Base RI'!A114</f>
        <v>5583</v>
      </c>
      <c r="B113" s="352" t="str">
        <f>'A) Base RI'!B114</f>
        <v>Crissier</v>
      </c>
      <c r="C113" s="404">
        <v>6918631.2641988415</v>
      </c>
      <c r="D113" s="404">
        <v>2031364.2015507128</v>
      </c>
      <c r="E113" s="390">
        <v>0</v>
      </c>
      <c r="F113" s="390">
        <v>0</v>
      </c>
      <c r="G113" s="390">
        <v>0</v>
      </c>
      <c r="H113" s="404">
        <f t="shared" si="16"/>
        <v>8949995.4657495543</v>
      </c>
      <c r="I113" s="405">
        <v>311434.56630958844</v>
      </c>
      <c r="J113" s="356">
        <f>'B) D RI'!U114</f>
        <v>307386.12106978399</v>
      </c>
      <c r="K113" s="62">
        <f t="shared" si="14"/>
        <v>28.737964355737613</v>
      </c>
      <c r="L113" s="33">
        <f>'B) D RI'!S114</f>
        <v>65</v>
      </c>
      <c r="M113" s="33">
        <f t="shared" si="9"/>
        <v>36.262035644262383</v>
      </c>
      <c r="N113" s="33">
        <f>'J) Plafonnement effort'!G112+'J) Plafonnement effort'!I112-'K) Plafonnement aide'!I112</f>
        <v>17.129800219728324</v>
      </c>
      <c r="O113" s="125">
        <f t="shared" si="10"/>
        <v>53.391835863990707</v>
      </c>
      <c r="P113" s="47">
        <f t="shared" si="11"/>
        <v>0</v>
      </c>
      <c r="Q113" s="55">
        <f t="shared" si="15"/>
        <v>0</v>
      </c>
      <c r="R113" s="145">
        <f t="shared" si="12"/>
        <v>53.391835863990707</v>
      </c>
      <c r="S113" s="125">
        <f t="shared" si="13"/>
        <v>-11.608164136009293</v>
      </c>
      <c r="T113" s="144">
        <f t="shared" si="17"/>
        <v>0</v>
      </c>
      <c r="V113" s="12"/>
    </row>
    <row r="114" spans="1:22" x14ac:dyDescent="0.25">
      <c r="A114" s="49">
        <f>'A) Base RI'!A115</f>
        <v>5584</v>
      </c>
      <c r="B114" s="352" t="str">
        <f>'A) Base RI'!B115</f>
        <v>Epalinges</v>
      </c>
      <c r="C114" s="404">
        <v>11376171.513539258</v>
      </c>
      <c r="D114" s="404">
        <v>4638126.5896817856</v>
      </c>
      <c r="E114" s="390">
        <v>0</v>
      </c>
      <c r="F114" s="390">
        <v>0</v>
      </c>
      <c r="G114" s="390">
        <v>0</v>
      </c>
      <c r="H114" s="404">
        <f t="shared" si="16"/>
        <v>16014298.103221044</v>
      </c>
      <c r="I114" s="405">
        <v>462898.41144046158</v>
      </c>
      <c r="J114" s="356">
        <f>'B) D RI'!U115</f>
        <v>474209.93693948264</v>
      </c>
      <c r="K114" s="62">
        <f t="shared" si="14"/>
        <v>34.595707627052029</v>
      </c>
      <c r="L114" s="33">
        <f>'B) D RI'!S115</f>
        <v>66</v>
      </c>
      <c r="M114" s="33">
        <f t="shared" ref="M114:M165" si="18">L114-K114</f>
        <v>31.404292372947971</v>
      </c>
      <c r="N114" s="33">
        <f>'J) Plafonnement effort'!G113+'J) Plafonnement effort'!I113-'K) Plafonnement aide'!I113</f>
        <v>20.702089890270003</v>
      </c>
      <c r="O114" s="125">
        <f t="shared" ref="O114:O165" si="19">M114+N114</f>
        <v>52.106382263217974</v>
      </c>
      <c r="P114" s="47">
        <f t="shared" ref="P114:P165" si="20">IF(O114&gt;$P$5,$P$5-O114,0)</f>
        <v>0</v>
      </c>
      <c r="Q114" s="55">
        <f t="shared" si="15"/>
        <v>0</v>
      </c>
      <c r="R114" s="145">
        <f t="shared" ref="R114:R165" si="21">O114+P114</f>
        <v>52.106382263217974</v>
      </c>
      <c r="S114" s="125">
        <f t="shared" ref="S114:S165" si="22">R114-L114</f>
        <v>-13.893617736782026</v>
      </c>
      <c r="T114" s="144">
        <f t="shared" si="17"/>
        <v>0</v>
      </c>
      <c r="V114" s="12"/>
    </row>
    <row r="115" spans="1:22" x14ac:dyDescent="0.25">
      <c r="A115" s="49">
        <f>'A) Base RI'!A116</f>
        <v>5585</v>
      </c>
      <c r="B115" s="352" t="str">
        <f>'A) Base RI'!B116</f>
        <v>Jouxtens-Mézery</v>
      </c>
      <c r="C115" s="404">
        <v>7215605.836335877</v>
      </c>
      <c r="D115" s="404">
        <v>4162942.5259221159</v>
      </c>
      <c r="E115" s="390">
        <v>0</v>
      </c>
      <c r="F115" s="390">
        <v>-598237.34373152582</v>
      </c>
      <c r="G115" s="390">
        <v>0</v>
      </c>
      <c r="H115" s="404">
        <f t="shared" si="16"/>
        <v>10780311.018526467</v>
      </c>
      <c r="I115" s="405">
        <v>219524.13851096807</v>
      </c>
      <c r="J115" s="356">
        <f>'B) D RI'!U116</f>
        <v>229667.26461667338</v>
      </c>
      <c r="K115" s="62">
        <f t="shared" si="14"/>
        <v>49.107633865001368</v>
      </c>
      <c r="L115" s="33">
        <f>'B) D RI'!S116</f>
        <v>59</v>
      </c>
      <c r="M115" s="33">
        <f t="shared" si="18"/>
        <v>9.8923661349986318</v>
      </c>
      <c r="N115" s="33">
        <f>'J) Plafonnement effort'!G114+'J) Plafonnement effort'!I114-'K) Plafonnement aide'!I114</f>
        <v>48.956389150045432</v>
      </c>
      <c r="O115" s="125">
        <f t="shared" si="19"/>
        <v>58.848755285044064</v>
      </c>
      <c r="P115" s="47">
        <f t="shared" si="20"/>
        <v>0</v>
      </c>
      <c r="Q115" s="55">
        <f t="shared" si="15"/>
        <v>0</v>
      </c>
      <c r="R115" s="145">
        <f t="shared" si="21"/>
        <v>58.848755285044064</v>
      </c>
      <c r="S115" s="125">
        <f t="shared" si="22"/>
        <v>-0.15124471495593639</v>
      </c>
      <c r="T115" s="144">
        <f t="shared" si="17"/>
        <v>0</v>
      </c>
      <c r="V115" s="12"/>
    </row>
    <row r="116" spans="1:22" x14ac:dyDescent="0.25">
      <c r="A116" s="49">
        <f>'A) Base RI'!A117</f>
        <v>5586</v>
      </c>
      <c r="B116" s="352" t="str">
        <f>'A) Base RI'!B117</f>
        <v>Lausanne</v>
      </c>
      <c r="C116" s="404">
        <v>109463235.27782373</v>
      </c>
      <c r="D116" s="404">
        <v>-42029218.246393412</v>
      </c>
      <c r="E116" s="390">
        <v>0</v>
      </c>
      <c r="F116" s="390">
        <v>0</v>
      </c>
      <c r="G116" s="390">
        <v>0</v>
      </c>
      <c r="H116" s="404">
        <f t="shared" si="16"/>
        <v>67434017.031430319</v>
      </c>
      <c r="I116" s="405">
        <v>5631743.9365920834</v>
      </c>
      <c r="J116" s="356">
        <f>'B) D RI'!U117</f>
        <v>5921149.2978412546</v>
      </c>
      <c r="K116" s="62">
        <f t="shared" ref="K116:K166" si="23">H116/I116</f>
        <v>11.973913904941568</v>
      </c>
      <c r="L116" s="33">
        <f>'B) D RI'!S117</f>
        <v>79</v>
      </c>
      <c r="M116" s="33">
        <f t="shared" si="18"/>
        <v>67.026086095058432</v>
      </c>
      <c r="N116" s="33">
        <f>'J) Plafonnement effort'!G115+'J) Plafonnement effort'!I115-'K) Plafonnement aide'!I115</f>
        <v>2.8331658169758196</v>
      </c>
      <c r="O116" s="125">
        <f t="shared" si="19"/>
        <v>69.859251912034253</v>
      </c>
      <c r="P116" s="47">
        <f t="shared" si="20"/>
        <v>0</v>
      </c>
      <c r="Q116" s="55">
        <f t="shared" si="15"/>
        <v>0</v>
      </c>
      <c r="R116" s="145">
        <f t="shared" si="21"/>
        <v>69.859251912034253</v>
      </c>
      <c r="S116" s="125">
        <f t="shared" si="22"/>
        <v>-9.140748087965747</v>
      </c>
      <c r="T116" s="144">
        <f t="shared" si="17"/>
        <v>0</v>
      </c>
      <c r="V116" s="12"/>
    </row>
    <row r="117" spans="1:22" x14ac:dyDescent="0.25">
      <c r="A117" s="49">
        <f>'A) Base RI'!A118</f>
        <v>5587</v>
      </c>
      <c r="B117" s="352" t="str">
        <f>'A) Base RI'!B118</f>
        <v>Le Mont-sur-Lausanne</v>
      </c>
      <c r="C117" s="404">
        <v>8009040.2713324111</v>
      </c>
      <c r="D117" s="404">
        <v>4570958.9030893287</v>
      </c>
      <c r="E117" s="390">
        <v>0</v>
      </c>
      <c r="F117" s="390">
        <v>0</v>
      </c>
      <c r="G117" s="390">
        <v>0</v>
      </c>
      <c r="H117" s="404">
        <f t="shared" si="16"/>
        <v>12579999.174421739</v>
      </c>
      <c r="I117" s="405">
        <v>419159.15757031104</v>
      </c>
      <c r="J117" s="356">
        <f>'B) D RI'!U118</f>
        <v>435325.60080081096</v>
      </c>
      <c r="K117" s="62">
        <f t="shared" si="23"/>
        <v>30.012464113494957</v>
      </c>
      <c r="L117" s="33">
        <f>'B) D RI'!S118</f>
        <v>75</v>
      </c>
      <c r="M117" s="33">
        <f t="shared" si="18"/>
        <v>44.987535886505043</v>
      </c>
      <c r="N117" s="33">
        <f>'J) Plafonnement effort'!G116+'J) Plafonnement effort'!I116-'K) Plafonnement aide'!I116</f>
        <v>22.362406814796696</v>
      </c>
      <c r="O117" s="125">
        <f t="shared" si="19"/>
        <v>67.349942701301742</v>
      </c>
      <c r="P117" s="47">
        <f t="shared" si="20"/>
        <v>0</v>
      </c>
      <c r="Q117" s="55">
        <f t="shared" ref="Q117:Q166" si="24">P117*J117</f>
        <v>0</v>
      </c>
      <c r="R117" s="145">
        <f t="shared" si="21"/>
        <v>67.349942701301742</v>
      </c>
      <c r="S117" s="125">
        <f t="shared" si="22"/>
        <v>-7.6500572986982576</v>
      </c>
      <c r="T117" s="144">
        <f t="shared" si="17"/>
        <v>0</v>
      </c>
      <c r="V117" s="12"/>
    </row>
    <row r="118" spans="1:22" x14ac:dyDescent="0.25">
      <c r="A118" s="49">
        <f>'A) Base RI'!A119</f>
        <v>5588</v>
      </c>
      <c r="B118" s="352" t="str">
        <f>'A) Base RI'!B119</f>
        <v>Paudex</v>
      </c>
      <c r="C118" s="404">
        <v>3424218.6779864561</v>
      </c>
      <c r="D118" s="404">
        <v>2302615.607984574</v>
      </c>
      <c r="E118" s="390">
        <v>0</v>
      </c>
      <c r="F118" s="390">
        <v>0</v>
      </c>
      <c r="G118" s="390">
        <v>0</v>
      </c>
      <c r="H118" s="404">
        <f t="shared" si="16"/>
        <v>5726834.2859710306</v>
      </c>
      <c r="I118" s="405">
        <v>128424.0019189813</v>
      </c>
      <c r="J118" s="356">
        <f>'B) D RI'!U119</f>
        <v>133190.693055262</v>
      </c>
      <c r="K118" s="62">
        <f t="shared" si="23"/>
        <v>44.593177290830042</v>
      </c>
      <c r="L118" s="33">
        <f>'B) D RI'!S119</f>
        <v>68</v>
      </c>
      <c r="M118" s="33">
        <f t="shared" si="18"/>
        <v>23.406822709169958</v>
      </c>
      <c r="N118" s="33">
        <f>'J) Plafonnement effort'!G117+'J) Plafonnement effort'!I117-'K) Plafonnement aide'!I117</f>
        <v>43.557724671999921</v>
      </c>
      <c r="O118" s="125">
        <f t="shared" si="19"/>
        <v>66.964547381169879</v>
      </c>
      <c r="P118" s="47">
        <f t="shared" si="20"/>
        <v>0</v>
      </c>
      <c r="Q118" s="55">
        <f t="shared" si="24"/>
        <v>0</v>
      </c>
      <c r="R118" s="145">
        <f t="shared" si="21"/>
        <v>66.964547381169879</v>
      </c>
      <c r="S118" s="125">
        <f t="shared" si="22"/>
        <v>-1.0354526188301207</v>
      </c>
      <c r="T118" s="144">
        <f t="shared" si="17"/>
        <v>0</v>
      </c>
      <c r="V118" s="12"/>
    </row>
    <row r="119" spans="1:22" x14ac:dyDescent="0.25">
      <c r="A119" s="49">
        <f>'A) Base RI'!A120</f>
        <v>5589</v>
      </c>
      <c r="B119" s="352" t="str">
        <f>'A) Base RI'!B120</f>
        <v>Prilly</v>
      </c>
      <c r="C119" s="404">
        <v>7109536.4148298251</v>
      </c>
      <c r="D119" s="404">
        <v>-3175776.1032612771</v>
      </c>
      <c r="E119" s="390">
        <v>0</v>
      </c>
      <c r="F119" s="390">
        <v>0</v>
      </c>
      <c r="G119" s="390">
        <v>0</v>
      </c>
      <c r="H119" s="404">
        <f t="shared" si="16"/>
        <v>3933760.311568548</v>
      </c>
      <c r="I119" s="405">
        <v>381105.28464677284</v>
      </c>
      <c r="J119" s="356">
        <f>'B) D RI'!U120</f>
        <v>406505.26778654603</v>
      </c>
      <c r="K119" s="62">
        <f t="shared" si="23"/>
        <v>10.321977862927172</v>
      </c>
      <c r="L119" s="33">
        <f>'B) D RI'!S120</f>
        <v>73.5</v>
      </c>
      <c r="M119" s="33">
        <f t="shared" si="18"/>
        <v>63.17802213707283</v>
      </c>
      <c r="N119" s="33">
        <f>'J) Plafonnement effort'!G118+'J) Plafonnement effort'!I118-'K) Plafonnement aide'!I118</f>
        <v>4.315821027312591</v>
      </c>
      <c r="O119" s="125">
        <f t="shared" si="19"/>
        <v>67.493843164385424</v>
      </c>
      <c r="P119" s="47">
        <f t="shared" si="20"/>
        <v>0</v>
      </c>
      <c r="Q119" s="55">
        <f t="shared" si="24"/>
        <v>0</v>
      </c>
      <c r="R119" s="145">
        <f t="shared" si="21"/>
        <v>67.493843164385424</v>
      </c>
      <c r="S119" s="125">
        <f t="shared" si="22"/>
        <v>-6.0061568356145756</v>
      </c>
      <c r="T119" s="144">
        <f t="shared" si="17"/>
        <v>0</v>
      </c>
      <c r="V119" s="12"/>
    </row>
    <row r="120" spans="1:22" x14ac:dyDescent="0.25">
      <c r="A120" s="49">
        <f>'A) Base RI'!A121</f>
        <v>5590</v>
      </c>
      <c r="B120" s="352" t="str">
        <f>'A) Base RI'!B121</f>
        <v>Pully</v>
      </c>
      <c r="C120" s="404">
        <v>39138923.956659891</v>
      </c>
      <c r="D120" s="404">
        <v>15146214.679203341</v>
      </c>
      <c r="E120" s="390">
        <v>0</v>
      </c>
      <c r="F120" s="390">
        <v>0</v>
      </c>
      <c r="G120" s="390">
        <v>0</v>
      </c>
      <c r="H120" s="404">
        <f t="shared" si="16"/>
        <v>54285138.63586323</v>
      </c>
      <c r="I120" s="405">
        <v>1400746.467371441</v>
      </c>
      <c r="J120" s="356">
        <f>'B) D RI'!U121</f>
        <v>1525137.1517209217</v>
      </c>
      <c r="K120" s="62">
        <f t="shared" si="23"/>
        <v>38.754435510183043</v>
      </c>
      <c r="L120" s="33">
        <f>'B) D RI'!S121</f>
        <v>61</v>
      </c>
      <c r="M120" s="33">
        <f t="shared" si="18"/>
        <v>22.245564489816957</v>
      </c>
      <c r="N120" s="33">
        <f>'J) Plafonnement effort'!G119+'J) Plafonnement effort'!I119-'K) Plafonnement aide'!I119</f>
        <v>36.456479569519395</v>
      </c>
      <c r="O120" s="125">
        <f t="shared" si="19"/>
        <v>58.702044059336352</v>
      </c>
      <c r="P120" s="47">
        <f t="shared" si="20"/>
        <v>0</v>
      </c>
      <c r="Q120" s="55">
        <f t="shared" si="24"/>
        <v>0</v>
      </c>
      <c r="R120" s="145">
        <f t="shared" si="21"/>
        <v>58.702044059336352</v>
      </c>
      <c r="S120" s="125">
        <f t="shared" si="22"/>
        <v>-2.2979559406636483</v>
      </c>
      <c r="T120" s="144">
        <f t="shared" si="17"/>
        <v>0</v>
      </c>
      <c r="V120" s="12"/>
    </row>
    <row r="121" spans="1:22" x14ac:dyDescent="0.25">
      <c r="A121" s="49">
        <f>'A) Base RI'!A122</f>
        <v>5591</v>
      </c>
      <c r="B121" s="352" t="str">
        <f>'A) Base RI'!B122</f>
        <v>Renens</v>
      </c>
      <c r="C121" s="404">
        <v>11350086.974473739</v>
      </c>
      <c r="D121" s="404">
        <v>-14743339.262691248</v>
      </c>
      <c r="E121" s="390">
        <v>0</v>
      </c>
      <c r="F121" s="390">
        <v>0</v>
      </c>
      <c r="G121" s="390">
        <v>0</v>
      </c>
      <c r="H121" s="404">
        <f t="shared" si="16"/>
        <v>-3393252.2882175092</v>
      </c>
      <c r="I121" s="405">
        <v>542865.69746271567</v>
      </c>
      <c r="J121" s="356">
        <f>'B) D RI'!U122</f>
        <v>560894.98850347521</v>
      </c>
      <c r="K121" s="62">
        <f t="shared" si="23"/>
        <v>-6.2506293989049837</v>
      </c>
      <c r="L121" s="33">
        <f>'B) D RI'!S122</f>
        <v>78.5</v>
      </c>
      <c r="M121" s="33">
        <f t="shared" si="18"/>
        <v>84.750629398904977</v>
      </c>
      <c r="N121" s="33">
        <f>'J) Plafonnement effort'!G120+'J) Plafonnement effort'!I120-'K) Plafonnement aide'!I120</f>
        <v>-18.342491205329782</v>
      </c>
      <c r="O121" s="125">
        <f t="shared" si="19"/>
        <v>66.408138193575198</v>
      </c>
      <c r="P121" s="47">
        <f t="shared" si="20"/>
        <v>0</v>
      </c>
      <c r="Q121" s="55">
        <f t="shared" si="24"/>
        <v>0</v>
      </c>
      <c r="R121" s="145">
        <f t="shared" si="21"/>
        <v>66.408138193575198</v>
      </c>
      <c r="S121" s="125">
        <f t="shared" si="22"/>
        <v>-12.091861806424802</v>
      </c>
      <c r="T121" s="144">
        <f t="shared" si="17"/>
        <v>0</v>
      </c>
      <c r="V121" s="12"/>
    </row>
    <row r="122" spans="1:22" x14ac:dyDescent="0.25">
      <c r="A122" s="49">
        <f>'A) Base RI'!A123</f>
        <v>5592</v>
      </c>
      <c r="B122" s="352" t="str">
        <f>'A) Base RI'!B123</f>
        <v>Romanel-sur-Lausanne</v>
      </c>
      <c r="C122" s="404">
        <v>2005976.8376847163</v>
      </c>
      <c r="D122" s="404">
        <v>648806.24873828469</v>
      </c>
      <c r="E122" s="390">
        <v>0</v>
      </c>
      <c r="F122" s="390">
        <v>0</v>
      </c>
      <c r="G122" s="390">
        <v>0</v>
      </c>
      <c r="H122" s="404">
        <f t="shared" si="16"/>
        <v>2654783.0864230013</v>
      </c>
      <c r="I122" s="405">
        <v>113665.67141569764</v>
      </c>
      <c r="J122" s="356">
        <f>'B) D RI'!U123</f>
        <v>112590.71279371857</v>
      </c>
      <c r="K122" s="62">
        <f t="shared" si="23"/>
        <v>23.356067433182524</v>
      </c>
      <c r="L122" s="33">
        <f>'B) D RI'!S123</f>
        <v>72</v>
      </c>
      <c r="M122" s="33">
        <f t="shared" si="18"/>
        <v>48.643932566817476</v>
      </c>
      <c r="N122" s="33">
        <f>'J) Plafonnement effort'!G121+'J) Plafonnement effort'!I121-'K) Plafonnement aide'!I121</f>
        <v>19.992954879483801</v>
      </c>
      <c r="O122" s="125">
        <f t="shared" si="19"/>
        <v>68.636887446301273</v>
      </c>
      <c r="P122" s="47">
        <f t="shared" si="20"/>
        <v>0</v>
      </c>
      <c r="Q122" s="55">
        <f t="shared" si="24"/>
        <v>0</v>
      </c>
      <c r="R122" s="145">
        <f t="shared" si="21"/>
        <v>68.636887446301273</v>
      </c>
      <c r="S122" s="125">
        <f t="shared" si="22"/>
        <v>-3.363112553698727</v>
      </c>
      <c r="T122" s="144">
        <f t="shared" si="17"/>
        <v>0</v>
      </c>
      <c r="V122" s="12"/>
    </row>
    <row r="123" spans="1:22" x14ac:dyDescent="0.25">
      <c r="A123" s="49">
        <f>'A) Base RI'!A124</f>
        <v>5601</v>
      </c>
      <c r="B123" s="352" t="str">
        <f>'A) Base RI'!B124</f>
        <v>Chexbres</v>
      </c>
      <c r="C123" s="404">
        <v>1974085.6185889894</v>
      </c>
      <c r="D123" s="404">
        <v>1519713.4553330392</v>
      </c>
      <c r="E123" s="390">
        <v>0</v>
      </c>
      <c r="F123" s="390">
        <v>0</v>
      </c>
      <c r="G123" s="390">
        <v>0</v>
      </c>
      <c r="H123" s="404">
        <f t="shared" si="16"/>
        <v>3493799.0739220288</v>
      </c>
      <c r="I123" s="405">
        <v>102425.76498358055</v>
      </c>
      <c r="J123" s="356">
        <f>'B) D RI'!U124</f>
        <v>103283.91611303072</v>
      </c>
      <c r="K123" s="62">
        <f t="shared" si="23"/>
        <v>34.110548986205814</v>
      </c>
      <c r="L123" s="33">
        <f>'B) D RI'!S124</f>
        <v>69</v>
      </c>
      <c r="M123" s="33">
        <f t="shared" si="18"/>
        <v>34.889451013794186</v>
      </c>
      <c r="N123" s="33">
        <f>'J) Plafonnement effort'!G122+'J) Plafonnement effort'!I122-'K) Plafonnement aide'!I122</f>
        <v>30.891939528091179</v>
      </c>
      <c r="O123" s="125">
        <f t="shared" si="19"/>
        <v>65.781390541885372</v>
      </c>
      <c r="P123" s="47">
        <f t="shared" si="20"/>
        <v>0</v>
      </c>
      <c r="Q123" s="55">
        <f t="shared" si="24"/>
        <v>0</v>
      </c>
      <c r="R123" s="145">
        <f t="shared" si="21"/>
        <v>65.781390541885372</v>
      </c>
      <c r="S123" s="125">
        <f t="shared" si="22"/>
        <v>-3.2186094581146278</v>
      </c>
      <c r="T123" s="144">
        <f t="shared" si="17"/>
        <v>0</v>
      </c>
      <c r="V123" s="12"/>
    </row>
    <row r="124" spans="1:22" x14ac:dyDescent="0.25">
      <c r="A124" s="49">
        <f>'A) Base RI'!A125</f>
        <v>5604</v>
      </c>
      <c r="B124" s="352" t="str">
        <f>'A) Base RI'!B125</f>
        <v>Forel (Lavaux)</v>
      </c>
      <c r="C124" s="404">
        <v>1326682.3243002489</v>
      </c>
      <c r="D124" s="404">
        <v>587571.24776272778</v>
      </c>
      <c r="E124" s="390">
        <v>0</v>
      </c>
      <c r="F124" s="390">
        <v>0</v>
      </c>
      <c r="G124" s="390">
        <v>0</v>
      </c>
      <c r="H124" s="404">
        <f t="shared" si="16"/>
        <v>1914253.5720629767</v>
      </c>
      <c r="I124" s="405">
        <v>73155.644895461912</v>
      </c>
      <c r="J124" s="356">
        <f>'B) D RI'!U125</f>
        <v>73662.582961552936</v>
      </c>
      <c r="K124" s="62">
        <f t="shared" si="23"/>
        <v>26.166860736425882</v>
      </c>
      <c r="L124" s="33">
        <f>'B) D RI'!S125</f>
        <v>70</v>
      </c>
      <c r="M124" s="33">
        <f t="shared" si="18"/>
        <v>43.833139263574118</v>
      </c>
      <c r="N124" s="33">
        <f>'J) Plafonnement effort'!G123+'J) Plafonnement effort'!I123-'K) Plafonnement aide'!I123</f>
        <v>20.683557390732371</v>
      </c>
      <c r="O124" s="125">
        <f t="shared" si="19"/>
        <v>64.516696654306486</v>
      </c>
      <c r="P124" s="47">
        <f t="shared" si="20"/>
        <v>0</v>
      </c>
      <c r="Q124" s="55">
        <f t="shared" si="24"/>
        <v>0</v>
      </c>
      <c r="R124" s="145">
        <f t="shared" si="21"/>
        <v>64.516696654306486</v>
      </c>
      <c r="S124" s="125">
        <f t="shared" si="22"/>
        <v>-5.4833033456935141</v>
      </c>
      <c r="T124" s="144">
        <f t="shared" si="17"/>
        <v>0</v>
      </c>
      <c r="V124" s="12"/>
    </row>
    <row r="125" spans="1:22" x14ac:dyDescent="0.25">
      <c r="A125" s="49">
        <f>'A) Base RI'!A126</f>
        <v>5606</v>
      </c>
      <c r="B125" s="352" t="str">
        <f>'A) Base RI'!B126</f>
        <v>Lutry</v>
      </c>
      <c r="C125" s="404">
        <v>22269933.152881712</v>
      </c>
      <c r="D125" s="404">
        <v>11146176.400391873</v>
      </c>
      <c r="E125" s="390">
        <v>0</v>
      </c>
      <c r="F125" s="390">
        <v>0</v>
      </c>
      <c r="G125" s="390">
        <v>0</v>
      </c>
      <c r="H125" s="404">
        <f t="shared" si="16"/>
        <v>33416109.553273585</v>
      </c>
      <c r="I125" s="405">
        <v>811441.75973886927</v>
      </c>
      <c r="J125" s="356">
        <f>'B) D RI'!U126</f>
        <v>807933.92151435383</v>
      </c>
      <c r="K125" s="62">
        <f t="shared" si="23"/>
        <v>41.181155828148711</v>
      </c>
      <c r="L125" s="33">
        <f>'B) D RI'!S126</f>
        <v>55.5</v>
      </c>
      <c r="M125" s="33">
        <f t="shared" si="18"/>
        <v>14.318844171851289</v>
      </c>
      <c r="N125" s="33">
        <f>'J) Plafonnement effort'!G124+'J) Plafonnement effort'!I124-'K) Plafonnement aide'!I124</f>
        <v>36.600180914232624</v>
      </c>
      <c r="O125" s="125">
        <f t="shared" si="19"/>
        <v>50.919025086083913</v>
      </c>
      <c r="P125" s="47">
        <f t="shared" si="20"/>
        <v>0</v>
      </c>
      <c r="Q125" s="55">
        <f t="shared" si="24"/>
        <v>0</v>
      </c>
      <c r="R125" s="145">
        <f t="shared" si="21"/>
        <v>50.919025086083913</v>
      </c>
      <c r="S125" s="125">
        <f t="shared" si="22"/>
        <v>-4.5809749139160871</v>
      </c>
      <c r="T125" s="144">
        <f t="shared" si="17"/>
        <v>0</v>
      </c>
      <c r="V125" s="12"/>
    </row>
    <row r="126" spans="1:22" x14ac:dyDescent="0.25">
      <c r="A126" s="49">
        <f>'A) Base RI'!A127</f>
        <v>5607</v>
      </c>
      <c r="B126" s="352" t="str">
        <f>'A) Base RI'!B127</f>
        <v>Puidoux</v>
      </c>
      <c r="C126" s="404">
        <v>2068218.6772442833</v>
      </c>
      <c r="D126" s="404">
        <v>944818.84430837911</v>
      </c>
      <c r="E126" s="390">
        <v>0</v>
      </c>
      <c r="F126" s="390">
        <v>0</v>
      </c>
      <c r="G126" s="390">
        <v>0</v>
      </c>
      <c r="H126" s="404">
        <f t="shared" si="16"/>
        <v>3013037.5215526624</v>
      </c>
      <c r="I126" s="405">
        <v>106681.90706629901</v>
      </c>
      <c r="J126" s="356">
        <f>'B) D RI'!U127</f>
        <v>99930.249355206179</v>
      </c>
      <c r="K126" s="62">
        <f t="shared" si="23"/>
        <v>28.243191412768489</v>
      </c>
      <c r="L126" s="33">
        <f>'B) D RI'!S127</f>
        <v>70</v>
      </c>
      <c r="M126" s="33">
        <f t="shared" si="18"/>
        <v>41.756808587231511</v>
      </c>
      <c r="N126" s="33">
        <f>'J) Plafonnement effort'!G125+'J) Plafonnement effort'!I125-'K) Plafonnement aide'!I125</f>
        <v>14.698761599183783</v>
      </c>
      <c r="O126" s="125">
        <f t="shared" si="19"/>
        <v>56.455570186415294</v>
      </c>
      <c r="P126" s="47">
        <f t="shared" si="20"/>
        <v>0</v>
      </c>
      <c r="Q126" s="55">
        <f t="shared" si="24"/>
        <v>0</v>
      </c>
      <c r="R126" s="145">
        <f t="shared" si="21"/>
        <v>56.455570186415294</v>
      </c>
      <c r="S126" s="125">
        <f t="shared" si="22"/>
        <v>-13.544429813584706</v>
      </c>
      <c r="T126" s="144">
        <f t="shared" si="17"/>
        <v>0</v>
      </c>
      <c r="V126" s="12"/>
    </row>
    <row r="127" spans="1:22" x14ac:dyDescent="0.25">
      <c r="A127" s="49">
        <f>'A) Base RI'!A128</f>
        <v>5609</v>
      </c>
      <c r="B127" s="352" t="str">
        <f>'A) Base RI'!B128</f>
        <v>Rivaz</v>
      </c>
      <c r="C127" s="404">
        <v>217334.49714702842</v>
      </c>
      <c r="D127" s="404">
        <v>187310.11630199055</v>
      </c>
      <c r="E127" s="390">
        <v>0</v>
      </c>
      <c r="F127" s="390">
        <v>0</v>
      </c>
      <c r="G127" s="390">
        <v>0</v>
      </c>
      <c r="H127" s="404">
        <f t="shared" si="16"/>
        <v>404644.61344901897</v>
      </c>
      <c r="I127" s="405">
        <v>13473.763444719882</v>
      </c>
      <c r="J127" s="356">
        <f>'B) D RI'!U128</f>
        <v>13671.143301269074</v>
      </c>
      <c r="K127" s="62">
        <f t="shared" si="23"/>
        <v>30.032040796114149</v>
      </c>
      <c r="L127" s="33">
        <f>'B) D RI'!S128</f>
        <v>63.5</v>
      </c>
      <c r="M127" s="33">
        <f t="shared" si="18"/>
        <v>33.467959203885854</v>
      </c>
      <c r="N127" s="33">
        <f>'J) Plafonnement effort'!G126+'J) Plafonnement effort'!I126-'K) Plafonnement aide'!I126</f>
        <v>27.179739533202582</v>
      </c>
      <c r="O127" s="125">
        <f t="shared" si="19"/>
        <v>60.647698737088433</v>
      </c>
      <c r="P127" s="47">
        <f t="shared" si="20"/>
        <v>0</v>
      </c>
      <c r="Q127" s="55">
        <f t="shared" si="24"/>
        <v>0</v>
      </c>
      <c r="R127" s="145">
        <f t="shared" si="21"/>
        <v>60.647698737088433</v>
      </c>
      <c r="S127" s="125">
        <f t="shared" si="22"/>
        <v>-2.8523012629115669</v>
      </c>
      <c r="T127" s="144">
        <f t="shared" si="17"/>
        <v>0</v>
      </c>
      <c r="V127" s="12"/>
    </row>
    <row r="128" spans="1:22" x14ac:dyDescent="0.25">
      <c r="A128" s="49">
        <f>'A) Base RI'!A129</f>
        <v>5610</v>
      </c>
      <c r="B128" s="352" t="str">
        <f>'A) Base RI'!B129</f>
        <v>St-Saphorin (Lavaux)</v>
      </c>
      <c r="C128" s="404">
        <v>410425.99691273214</v>
      </c>
      <c r="D128" s="404">
        <v>388020.11784470233</v>
      </c>
      <c r="E128" s="390">
        <v>0</v>
      </c>
      <c r="F128" s="390">
        <v>0</v>
      </c>
      <c r="G128" s="390">
        <v>0</v>
      </c>
      <c r="H128" s="404">
        <f t="shared" si="16"/>
        <v>798446.11475743446</v>
      </c>
      <c r="I128" s="405">
        <v>21538.059608526812</v>
      </c>
      <c r="J128" s="356">
        <f>'B) D RI'!U129</f>
        <v>22273.105318410097</v>
      </c>
      <c r="K128" s="62">
        <f t="shared" si="23"/>
        <v>37.071404261567444</v>
      </c>
      <c r="L128" s="33">
        <f>'B) D RI'!S129</f>
        <v>70</v>
      </c>
      <c r="M128" s="33">
        <f t="shared" si="18"/>
        <v>32.928595738432556</v>
      </c>
      <c r="N128" s="33">
        <f>'J) Plafonnement effort'!G127+'J) Plafonnement effort'!I127-'K) Plafonnement aide'!I127</f>
        <v>35.836202658447583</v>
      </c>
      <c r="O128" s="125">
        <f t="shared" si="19"/>
        <v>68.764798396880138</v>
      </c>
      <c r="P128" s="47">
        <f t="shared" si="20"/>
        <v>0</v>
      </c>
      <c r="Q128" s="55">
        <f t="shared" si="24"/>
        <v>0</v>
      </c>
      <c r="R128" s="145">
        <f t="shared" si="21"/>
        <v>68.764798396880138</v>
      </c>
      <c r="S128" s="125">
        <f t="shared" si="22"/>
        <v>-1.2352016031198616</v>
      </c>
      <c r="T128" s="144">
        <f t="shared" si="17"/>
        <v>0</v>
      </c>
      <c r="V128" s="12"/>
    </row>
    <row r="129" spans="1:22" x14ac:dyDescent="0.25">
      <c r="A129" s="49">
        <f>'A) Base RI'!A130</f>
        <v>5611</v>
      </c>
      <c r="B129" s="352" t="str">
        <f>'A) Base RI'!B130</f>
        <v>Savigny</v>
      </c>
      <c r="C129" s="404">
        <v>2921687.7195289372</v>
      </c>
      <c r="D129" s="404">
        <v>1450264.3559499106</v>
      </c>
      <c r="E129" s="390">
        <v>0</v>
      </c>
      <c r="F129" s="390">
        <v>0</v>
      </c>
      <c r="G129" s="390">
        <v>0</v>
      </c>
      <c r="H129" s="404">
        <f t="shared" si="16"/>
        <v>4371952.0754788481</v>
      </c>
      <c r="I129" s="405">
        <v>135057.67308998347</v>
      </c>
      <c r="J129" s="356">
        <f>'B) D RI'!U130</f>
        <v>134511.88344270343</v>
      </c>
      <c r="K129" s="62">
        <f t="shared" si="23"/>
        <v>32.371001035727851</v>
      </c>
      <c r="L129" s="33">
        <f>'B) D RI'!S130</f>
        <v>69</v>
      </c>
      <c r="M129" s="33">
        <f t="shared" si="18"/>
        <v>36.628998964272149</v>
      </c>
      <c r="N129" s="33">
        <f>'J) Plafonnement effort'!G128+'J) Plafonnement effort'!I128-'K) Plafonnement aide'!I128</f>
        <v>25.987151825266729</v>
      </c>
      <c r="O129" s="125">
        <f t="shared" si="19"/>
        <v>62.616150789538878</v>
      </c>
      <c r="P129" s="47">
        <f t="shared" si="20"/>
        <v>0</v>
      </c>
      <c r="Q129" s="55">
        <f t="shared" si="24"/>
        <v>0</v>
      </c>
      <c r="R129" s="145">
        <f t="shared" si="21"/>
        <v>62.616150789538878</v>
      </c>
      <c r="S129" s="125">
        <f t="shared" si="22"/>
        <v>-6.383849210461122</v>
      </c>
      <c r="T129" s="144">
        <f t="shared" si="17"/>
        <v>0</v>
      </c>
      <c r="V129" s="12"/>
    </row>
    <row r="130" spans="1:22" x14ac:dyDescent="0.25">
      <c r="A130" s="49">
        <f>'A) Base RI'!A131</f>
        <v>5613</v>
      </c>
      <c r="B130" s="352" t="str">
        <f>'A) Base RI'!B131</f>
        <v>Bourg-en-Lavaux</v>
      </c>
      <c r="C130" s="404">
        <v>6270603.6776411925</v>
      </c>
      <c r="D130" s="404">
        <v>3899898.3578978265</v>
      </c>
      <c r="E130" s="390">
        <v>0</v>
      </c>
      <c r="F130" s="390">
        <v>0</v>
      </c>
      <c r="G130" s="390">
        <v>0</v>
      </c>
      <c r="H130" s="404">
        <f t="shared" si="16"/>
        <v>10170502.03553902</v>
      </c>
      <c r="I130" s="405">
        <v>293013.05852938921</v>
      </c>
      <c r="J130" s="356">
        <f>'B) D RI'!U131</f>
        <v>332932.37553055235</v>
      </c>
      <c r="K130" s="62">
        <f t="shared" si="23"/>
        <v>34.710064072174852</v>
      </c>
      <c r="L130" s="33">
        <f>'B) D RI'!S131</f>
        <v>64</v>
      </c>
      <c r="M130" s="33">
        <f t="shared" si="18"/>
        <v>29.289935927825148</v>
      </c>
      <c r="N130" s="33">
        <f>'J) Plafonnement effort'!G129+'J) Plafonnement effort'!I129-'K) Plafonnement aide'!I129</f>
        <v>35.906975267008903</v>
      </c>
      <c r="O130" s="125">
        <f t="shared" si="19"/>
        <v>65.196911194834058</v>
      </c>
      <c r="P130" s="47">
        <f t="shared" si="20"/>
        <v>0</v>
      </c>
      <c r="Q130" s="55">
        <f t="shared" si="24"/>
        <v>0</v>
      </c>
      <c r="R130" s="145">
        <f t="shared" si="21"/>
        <v>65.196911194834058</v>
      </c>
      <c r="S130" s="125">
        <f t="shared" si="22"/>
        <v>1.1969111948340583</v>
      </c>
      <c r="T130" s="144">
        <f t="shared" si="17"/>
        <v>0</v>
      </c>
      <c r="V130" s="12"/>
    </row>
    <row r="131" spans="1:22" x14ac:dyDescent="0.25">
      <c r="A131" s="49">
        <f>'A) Base RI'!A132</f>
        <v>5621</v>
      </c>
      <c r="B131" s="352" t="str">
        <f>'A) Base RI'!B132</f>
        <v>Aclens</v>
      </c>
      <c r="C131" s="404">
        <v>921111.17347536446</v>
      </c>
      <c r="D131" s="404">
        <v>616971.0023802527</v>
      </c>
      <c r="E131" s="390">
        <v>0</v>
      </c>
      <c r="F131" s="390">
        <v>0</v>
      </c>
      <c r="G131" s="390">
        <v>0</v>
      </c>
      <c r="H131" s="404">
        <f t="shared" si="16"/>
        <v>1538082.175855617</v>
      </c>
      <c r="I131" s="405">
        <v>33712.724093262899</v>
      </c>
      <c r="J131" s="356">
        <f>'B) D RI'!U132</f>
        <v>27011.410978345568</v>
      </c>
      <c r="K131" s="62">
        <f t="shared" si="23"/>
        <v>45.623194720209071</v>
      </c>
      <c r="L131" s="33">
        <f>'B) D RI'!S132</f>
        <v>62</v>
      </c>
      <c r="M131" s="33">
        <f t="shared" si="18"/>
        <v>16.376805279790929</v>
      </c>
      <c r="N131" s="33">
        <f>'J) Plafonnement effort'!G130+'J) Plafonnement effort'!I130-'K) Plafonnement aide'!I130</f>
        <v>38.642561747231021</v>
      </c>
      <c r="O131" s="125">
        <f t="shared" si="19"/>
        <v>55.01936702702195</v>
      </c>
      <c r="P131" s="47">
        <f t="shared" si="20"/>
        <v>0</v>
      </c>
      <c r="Q131" s="55">
        <f t="shared" si="24"/>
        <v>0</v>
      </c>
      <c r="R131" s="145">
        <f t="shared" si="21"/>
        <v>55.01936702702195</v>
      </c>
      <c r="S131" s="125">
        <f t="shared" si="22"/>
        <v>-6.9806329729780501</v>
      </c>
      <c r="T131" s="144">
        <f t="shared" si="17"/>
        <v>0</v>
      </c>
      <c r="V131" s="12"/>
    </row>
    <row r="132" spans="1:22" x14ac:dyDescent="0.25">
      <c r="A132" s="49">
        <f>'A) Base RI'!A133</f>
        <v>5622</v>
      </c>
      <c r="B132" s="352" t="str">
        <f>'A) Base RI'!B133</f>
        <v>Bremblens</v>
      </c>
      <c r="C132" s="404">
        <v>545181.5583436474</v>
      </c>
      <c r="D132" s="404">
        <v>454054.41013702482</v>
      </c>
      <c r="E132" s="390">
        <v>0</v>
      </c>
      <c r="F132" s="390">
        <v>0</v>
      </c>
      <c r="G132" s="390">
        <v>0</v>
      </c>
      <c r="H132" s="404">
        <f t="shared" si="16"/>
        <v>999235.96848067222</v>
      </c>
      <c r="I132" s="405">
        <v>25760.394087687673</v>
      </c>
      <c r="J132" s="356">
        <f>'B) D RI'!U133</f>
        <v>26937.345606060608</v>
      </c>
      <c r="K132" s="62">
        <f t="shared" si="23"/>
        <v>38.789622747202564</v>
      </c>
      <c r="L132" s="33">
        <f>'B) D RI'!S133</f>
        <v>66</v>
      </c>
      <c r="M132" s="33">
        <f t="shared" si="18"/>
        <v>27.210377252797436</v>
      </c>
      <c r="N132" s="33">
        <f>'J) Plafonnement effort'!G131+'J) Plafonnement effort'!I131-'K) Plafonnement aide'!I131</f>
        <v>36.982104581246467</v>
      </c>
      <c r="O132" s="125">
        <f t="shared" si="19"/>
        <v>64.192481834043903</v>
      </c>
      <c r="P132" s="47">
        <f t="shared" si="20"/>
        <v>0</v>
      </c>
      <c r="Q132" s="55">
        <f t="shared" si="24"/>
        <v>0</v>
      </c>
      <c r="R132" s="145">
        <f t="shared" si="21"/>
        <v>64.192481834043903</v>
      </c>
      <c r="S132" s="125">
        <f t="shared" si="22"/>
        <v>-1.8075181659560968</v>
      </c>
      <c r="T132" s="144">
        <f t="shared" si="17"/>
        <v>0</v>
      </c>
      <c r="V132" s="12"/>
    </row>
    <row r="133" spans="1:22" x14ac:dyDescent="0.25">
      <c r="A133" s="49">
        <f>'A) Base RI'!A134</f>
        <v>5623</v>
      </c>
      <c r="B133" s="352" t="str">
        <f>'A) Base RI'!B134</f>
        <v>Buchillon</v>
      </c>
      <c r="C133" s="404">
        <v>4257494.0701486804</v>
      </c>
      <c r="D133" s="404">
        <v>2333426.9121328038</v>
      </c>
      <c r="E133" s="390">
        <v>0</v>
      </c>
      <c r="F133" s="390">
        <v>-740711.18677970162</v>
      </c>
      <c r="G133" s="390">
        <v>0</v>
      </c>
      <c r="H133" s="404">
        <f t="shared" si="16"/>
        <v>5850209.7955017816</v>
      </c>
      <c r="I133" s="405">
        <v>119048.13355212047</v>
      </c>
      <c r="J133" s="356">
        <f>'B) D RI'!U134</f>
        <v>89461.877418085525</v>
      </c>
      <c r="K133" s="62">
        <f t="shared" si="23"/>
        <v>49.141549900406467</v>
      </c>
      <c r="L133" s="33">
        <f>'B) D RI'!S134</f>
        <v>53</v>
      </c>
      <c r="M133" s="33">
        <f t="shared" si="18"/>
        <v>3.8584500995935329</v>
      </c>
      <c r="N133" s="33">
        <f>'J) Plafonnement effort'!G132+'J) Plafonnement effort'!I132-'K) Plafonnement aide'!I132</f>
        <v>50.601847055094446</v>
      </c>
      <c r="O133" s="125">
        <f t="shared" si="19"/>
        <v>54.460297154687979</v>
      </c>
      <c r="P133" s="47">
        <f t="shared" si="20"/>
        <v>0</v>
      </c>
      <c r="Q133" s="55">
        <f t="shared" si="24"/>
        <v>0</v>
      </c>
      <c r="R133" s="145">
        <f t="shared" si="21"/>
        <v>54.460297154687979</v>
      </c>
      <c r="S133" s="125">
        <f t="shared" si="22"/>
        <v>1.4602971546879786</v>
      </c>
      <c r="T133" s="144">
        <f t="shared" si="17"/>
        <v>0</v>
      </c>
      <c r="V133" s="12"/>
    </row>
    <row r="134" spans="1:22" x14ac:dyDescent="0.25">
      <c r="A134" s="49">
        <f>'A) Base RI'!A135</f>
        <v>5624</v>
      </c>
      <c r="B134" s="352" t="str">
        <f>'A) Base RI'!B135</f>
        <v>Bussigny</v>
      </c>
      <c r="C134" s="404">
        <v>7128532.5904031461</v>
      </c>
      <c r="D134" s="404">
        <v>2583636.4830011623</v>
      </c>
      <c r="E134" s="390">
        <v>0</v>
      </c>
      <c r="F134" s="390">
        <v>0</v>
      </c>
      <c r="G134" s="390">
        <v>0</v>
      </c>
      <c r="H134" s="404">
        <f t="shared" ref="H134:H197" si="25">SUM(C134:G134)</f>
        <v>9712169.0734043084</v>
      </c>
      <c r="I134" s="405">
        <v>356482.21982509014</v>
      </c>
      <c r="J134" s="356">
        <f>'B) D RI'!U135</f>
        <v>400390.10765672859</v>
      </c>
      <c r="K134" s="62">
        <f t="shared" si="23"/>
        <v>27.24446980320543</v>
      </c>
      <c r="L134" s="33">
        <f>'B) D RI'!S135</f>
        <v>64</v>
      </c>
      <c r="M134" s="33">
        <f t="shared" si="18"/>
        <v>36.755530196794567</v>
      </c>
      <c r="N134" s="33">
        <f>'J) Plafonnement effort'!G133+'J) Plafonnement effort'!I133-'K) Plafonnement aide'!I133</f>
        <v>26.279884279918498</v>
      </c>
      <c r="O134" s="125">
        <f t="shared" si="19"/>
        <v>63.035414476713065</v>
      </c>
      <c r="P134" s="47">
        <f t="shared" si="20"/>
        <v>0</v>
      </c>
      <c r="Q134" s="55">
        <f t="shared" si="24"/>
        <v>0</v>
      </c>
      <c r="R134" s="145">
        <f t="shared" si="21"/>
        <v>63.035414476713065</v>
      </c>
      <c r="S134" s="125">
        <f t="shared" si="22"/>
        <v>-0.96458552328693514</v>
      </c>
      <c r="T134" s="144">
        <f t="shared" ref="T134:T197" si="26">+C134+D134+E134+F134+G134-H134</f>
        <v>0</v>
      </c>
      <c r="V134" s="12"/>
    </row>
    <row r="135" spans="1:22" x14ac:dyDescent="0.25">
      <c r="A135" s="49">
        <f>'A) Base RI'!A136</f>
        <v>5625</v>
      </c>
      <c r="B135" s="352" t="str">
        <f>'A) Base RI'!B136</f>
        <v>Bussy-Chardonney</v>
      </c>
      <c r="C135" s="404">
        <v>271766.40286096832</v>
      </c>
      <c r="D135" s="404">
        <v>139943.55220968032</v>
      </c>
      <c r="E135" s="390">
        <v>0</v>
      </c>
      <c r="F135" s="390">
        <v>0</v>
      </c>
      <c r="G135" s="390">
        <v>0</v>
      </c>
      <c r="H135" s="404">
        <f t="shared" si="25"/>
        <v>411709.95507064863</v>
      </c>
      <c r="I135" s="405">
        <v>13370.312366998642</v>
      </c>
      <c r="J135" s="356">
        <f>'B) D RI'!U136</f>
        <v>16815.127999439792</v>
      </c>
      <c r="K135" s="62">
        <f t="shared" si="23"/>
        <v>30.792844906664584</v>
      </c>
      <c r="L135" s="33">
        <f>'B) D RI'!S136</f>
        <v>77</v>
      </c>
      <c r="M135" s="33">
        <f t="shared" si="18"/>
        <v>46.207155093335416</v>
      </c>
      <c r="N135" s="33">
        <f>'J) Plafonnement effort'!G134+'J) Plafonnement effort'!I134-'K) Plafonnement aide'!I134</f>
        <v>31.535202069790607</v>
      </c>
      <c r="O135" s="125">
        <f t="shared" si="19"/>
        <v>77.74235716312603</v>
      </c>
      <c r="P135" s="47">
        <f t="shared" si="20"/>
        <v>0</v>
      </c>
      <c r="Q135" s="55">
        <f t="shared" si="24"/>
        <v>0</v>
      </c>
      <c r="R135" s="145">
        <f t="shared" si="21"/>
        <v>77.74235716312603</v>
      </c>
      <c r="S135" s="125">
        <f t="shared" si="22"/>
        <v>0.74235716312603017</v>
      </c>
      <c r="T135" s="144">
        <f t="shared" si="26"/>
        <v>0</v>
      </c>
      <c r="V135" s="12"/>
    </row>
    <row r="136" spans="1:22" x14ac:dyDescent="0.25">
      <c r="A136" s="49">
        <f>'A) Base RI'!A137</f>
        <v>5627</v>
      </c>
      <c r="B136" s="352" t="str">
        <f>'A) Base RI'!B137</f>
        <v>Chavannes-près-Renens</v>
      </c>
      <c r="C136" s="404">
        <v>3316067.4023920922</v>
      </c>
      <c r="D136" s="404">
        <v>-4257577.268406542</v>
      </c>
      <c r="E136" s="390">
        <v>0</v>
      </c>
      <c r="F136" s="390">
        <v>0</v>
      </c>
      <c r="G136" s="390">
        <v>0</v>
      </c>
      <c r="H136" s="404">
        <f t="shared" si="25"/>
        <v>-941509.86601444986</v>
      </c>
      <c r="I136" s="405">
        <v>173390.58290122479</v>
      </c>
      <c r="J136" s="356">
        <f>'B) D RI'!U137</f>
        <v>214338.77376035714</v>
      </c>
      <c r="K136" s="62">
        <f t="shared" si="23"/>
        <v>-5.4299942376386072</v>
      </c>
      <c r="L136" s="33">
        <f>'B) D RI'!S137</f>
        <v>79</v>
      </c>
      <c r="M136" s="33">
        <f t="shared" si="18"/>
        <v>84.42999423763861</v>
      </c>
      <c r="N136" s="33">
        <f>'J) Plafonnement effort'!G135+'J) Plafonnement effort'!I135-'K) Plafonnement aide'!I135</f>
        <v>1.9831316423579404</v>
      </c>
      <c r="O136" s="125">
        <f t="shared" si="19"/>
        <v>86.413125879996556</v>
      </c>
      <c r="P136" s="47">
        <f t="shared" si="20"/>
        <v>0</v>
      </c>
      <c r="Q136" s="55">
        <f t="shared" si="24"/>
        <v>0</v>
      </c>
      <c r="R136" s="145">
        <f t="shared" si="21"/>
        <v>86.413125879996556</v>
      </c>
      <c r="S136" s="125">
        <f t="shared" si="22"/>
        <v>7.4131258799965565</v>
      </c>
      <c r="T136" s="144">
        <f t="shared" si="26"/>
        <v>0</v>
      </c>
      <c r="V136" s="12"/>
    </row>
    <row r="137" spans="1:22" x14ac:dyDescent="0.25">
      <c r="A137" s="49">
        <f>'A) Base RI'!A138</f>
        <v>5628</v>
      </c>
      <c r="B137" s="352" t="str">
        <f>'A) Base RI'!B138</f>
        <v>Chigny</v>
      </c>
      <c r="C137" s="404">
        <v>464632.67111887527</v>
      </c>
      <c r="D137" s="404">
        <v>399367.5932823898</v>
      </c>
      <c r="E137" s="390">
        <v>0</v>
      </c>
      <c r="F137" s="390">
        <v>0</v>
      </c>
      <c r="G137" s="390">
        <v>0</v>
      </c>
      <c r="H137" s="404">
        <f t="shared" si="25"/>
        <v>864000.26440126507</v>
      </c>
      <c r="I137" s="405">
        <v>21894.357951349266</v>
      </c>
      <c r="J137" s="356">
        <f>'B) D RI'!U138</f>
        <v>22372.02129032258</v>
      </c>
      <c r="K137" s="62">
        <f t="shared" si="23"/>
        <v>39.462233435715802</v>
      </c>
      <c r="L137" s="33">
        <f>'B) D RI'!S138</f>
        <v>62</v>
      </c>
      <c r="M137" s="33">
        <f t="shared" si="18"/>
        <v>22.537766564284198</v>
      </c>
      <c r="N137" s="33">
        <f>'J) Plafonnement effort'!G136+'J) Plafonnement effort'!I136-'K) Plafonnement aide'!I136</f>
        <v>39.408722351183741</v>
      </c>
      <c r="O137" s="125">
        <f t="shared" si="19"/>
        <v>61.946488915467938</v>
      </c>
      <c r="P137" s="47">
        <f t="shared" si="20"/>
        <v>0</v>
      </c>
      <c r="Q137" s="55">
        <f t="shared" si="24"/>
        <v>0</v>
      </c>
      <c r="R137" s="145">
        <f t="shared" si="21"/>
        <v>61.946488915467938</v>
      </c>
      <c r="S137" s="125">
        <f t="shared" si="22"/>
        <v>-5.3511084532061659E-2</v>
      </c>
      <c r="T137" s="144">
        <f t="shared" si="26"/>
        <v>0</v>
      </c>
      <c r="V137" s="12"/>
    </row>
    <row r="138" spans="1:22" x14ac:dyDescent="0.25">
      <c r="A138" s="49">
        <f>'A) Base RI'!A139</f>
        <v>5629</v>
      </c>
      <c r="B138" s="352" t="str">
        <f>'A) Base RI'!B139</f>
        <v>Clarmont</v>
      </c>
      <c r="C138" s="404">
        <v>136516.82546011946</v>
      </c>
      <c r="D138" s="404">
        <v>80751.571275198192</v>
      </c>
      <c r="E138" s="390">
        <v>0</v>
      </c>
      <c r="F138" s="390">
        <v>0</v>
      </c>
      <c r="G138" s="390">
        <v>0</v>
      </c>
      <c r="H138" s="404">
        <f t="shared" si="25"/>
        <v>217268.39673531766</v>
      </c>
      <c r="I138" s="405">
        <v>6916.2311229358211</v>
      </c>
      <c r="J138" s="356">
        <f>'B) D RI'!U139</f>
        <v>6749.9170666666651</v>
      </c>
      <c r="K138" s="62">
        <f t="shared" si="23"/>
        <v>31.414276485759046</v>
      </c>
      <c r="L138" s="33">
        <f>'B) D RI'!S139</f>
        <v>75</v>
      </c>
      <c r="M138" s="33">
        <f t="shared" si="18"/>
        <v>43.585723514240954</v>
      </c>
      <c r="N138" s="33">
        <f>'J) Plafonnement effort'!G137+'J) Plafonnement effort'!I137-'K) Plafonnement aide'!I137</f>
        <v>25.596278200712472</v>
      </c>
      <c r="O138" s="125">
        <f t="shared" si="19"/>
        <v>69.182001714953429</v>
      </c>
      <c r="P138" s="47">
        <f t="shared" si="20"/>
        <v>0</v>
      </c>
      <c r="Q138" s="55">
        <f t="shared" si="24"/>
        <v>0</v>
      </c>
      <c r="R138" s="145">
        <f t="shared" si="21"/>
        <v>69.182001714953429</v>
      </c>
      <c r="S138" s="125">
        <f t="shared" si="22"/>
        <v>-5.8179982850465706</v>
      </c>
      <c r="T138" s="144">
        <f t="shared" si="26"/>
        <v>0</v>
      </c>
      <c r="V138" s="12"/>
    </row>
    <row r="139" spans="1:22" x14ac:dyDescent="0.25">
      <c r="A139" s="49">
        <f>'A) Base RI'!A140</f>
        <v>5631</v>
      </c>
      <c r="B139" s="352" t="str">
        <f>'A) Base RI'!B140</f>
        <v>Denens</v>
      </c>
      <c r="C139" s="404">
        <v>955185.09814901021</v>
      </c>
      <c r="D139" s="404">
        <v>795417.00636214821</v>
      </c>
      <c r="E139" s="390">
        <v>0</v>
      </c>
      <c r="F139" s="390">
        <v>0</v>
      </c>
      <c r="G139" s="390">
        <v>0</v>
      </c>
      <c r="H139" s="404">
        <f t="shared" si="25"/>
        <v>1750602.1045111585</v>
      </c>
      <c r="I139" s="405">
        <v>43815.97689546422</v>
      </c>
      <c r="J139" s="356">
        <f>'B) D RI'!U140</f>
        <v>51374.095571428574</v>
      </c>
      <c r="K139" s="62">
        <f t="shared" si="23"/>
        <v>39.953510763613238</v>
      </c>
      <c r="L139" s="33">
        <f>'B) D RI'!S140</f>
        <v>70</v>
      </c>
      <c r="M139" s="33">
        <f t="shared" si="18"/>
        <v>30.046489236386762</v>
      </c>
      <c r="N139" s="33">
        <f>'J) Plafonnement effort'!G138+'J) Plafonnement effort'!I138-'K) Plafonnement aide'!I138</f>
        <v>40.32114970002965</v>
      </c>
      <c r="O139" s="125">
        <f t="shared" si="19"/>
        <v>70.367638936416412</v>
      </c>
      <c r="P139" s="47">
        <f t="shared" si="20"/>
        <v>0</v>
      </c>
      <c r="Q139" s="55">
        <f t="shared" si="24"/>
        <v>0</v>
      </c>
      <c r="R139" s="145">
        <f t="shared" si="21"/>
        <v>70.367638936416412</v>
      </c>
      <c r="S139" s="125">
        <f t="shared" si="22"/>
        <v>0.36763893641641232</v>
      </c>
      <c r="T139" s="144">
        <f t="shared" si="26"/>
        <v>0</v>
      </c>
      <c r="V139" s="12"/>
    </row>
    <row r="140" spans="1:22" x14ac:dyDescent="0.25">
      <c r="A140" s="49">
        <f>'A) Base RI'!A141</f>
        <v>5632</v>
      </c>
      <c r="B140" s="352" t="str">
        <f>'A) Base RI'!B141</f>
        <v>Denges</v>
      </c>
      <c r="C140" s="404">
        <v>1299188.740080622</v>
      </c>
      <c r="D140" s="404">
        <v>966211.01247312874</v>
      </c>
      <c r="E140" s="390">
        <v>0</v>
      </c>
      <c r="F140" s="390">
        <v>0</v>
      </c>
      <c r="G140" s="390">
        <v>0</v>
      </c>
      <c r="H140" s="404">
        <f t="shared" si="25"/>
        <v>2265399.7525537508</v>
      </c>
      <c r="I140" s="405">
        <v>67687.396226466764</v>
      </c>
      <c r="J140" s="356">
        <f>'B) D RI'!U141</f>
        <v>73160.20406689003</v>
      </c>
      <c r="K140" s="62">
        <f t="shared" si="23"/>
        <v>33.468561044573704</v>
      </c>
      <c r="L140" s="33">
        <f>'B) D RI'!S141</f>
        <v>62</v>
      </c>
      <c r="M140" s="33">
        <f t="shared" si="18"/>
        <v>28.531438955426296</v>
      </c>
      <c r="N140" s="33">
        <f>'J) Plafonnement effort'!G139+'J) Plafonnement effort'!I139-'K) Plafonnement aide'!I139</f>
        <v>30.42315872730471</v>
      </c>
      <c r="O140" s="125">
        <f t="shared" si="19"/>
        <v>58.954597682731006</v>
      </c>
      <c r="P140" s="47">
        <f t="shared" si="20"/>
        <v>0</v>
      </c>
      <c r="Q140" s="55">
        <f t="shared" si="24"/>
        <v>0</v>
      </c>
      <c r="R140" s="145">
        <f t="shared" si="21"/>
        <v>58.954597682731006</v>
      </c>
      <c r="S140" s="125">
        <f t="shared" si="22"/>
        <v>-3.0454023172689944</v>
      </c>
      <c r="T140" s="144">
        <f t="shared" si="26"/>
        <v>0</v>
      </c>
      <c r="V140" s="12"/>
    </row>
    <row r="141" spans="1:22" x14ac:dyDescent="0.25">
      <c r="A141" s="49">
        <f>'A) Base RI'!A142</f>
        <v>5633</v>
      </c>
      <c r="B141" s="352" t="str">
        <f>'A) Base RI'!B142</f>
        <v>Echandens</v>
      </c>
      <c r="C141" s="404">
        <v>2471363.9349582908</v>
      </c>
      <c r="D141" s="404">
        <v>2037212.2184102535</v>
      </c>
      <c r="E141" s="390">
        <v>0</v>
      </c>
      <c r="F141" s="390">
        <v>0</v>
      </c>
      <c r="G141" s="390">
        <v>0</v>
      </c>
      <c r="H141" s="404">
        <f t="shared" si="25"/>
        <v>4508576.1533685438</v>
      </c>
      <c r="I141" s="405">
        <v>137438.92097427152</v>
      </c>
      <c r="J141" s="356">
        <f>'B) D RI'!U142</f>
        <v>160114.83181506293</v>
      </c>
      <c r="K141" s="62">
        <f t="shared" si="23"/>
        <v>32.804216748853456</v>
      </c>
      <c r="L141" s="33">
        <f>'B) D RI'!S142</f>
        <v>62</v>
      </c>
      <c r="M141" s="33">
        <f t="shared" si="18"/>
        <v>29.195783251146544</v>
      </c>
      <c r="N141" s="33">
        <f>'J) Plafonnement effort'!G140+'J) Plafonnement effort'!I140-'K) Plafonnement aide'!I140</f>
        <v>31.90486177386261</v>
      </c>
      <c r="O141" s="125">
        <f t="shared" si="19"/>
        <v>61.100645025009158</v>
      </c>
      <c r="P141" s="47">
        <f t="shared" si="20"/>
        <v>0</v>
      </c>
      <c r="Q141" s="55">
        <f t="shared" si="24"/>
        <v>0</v>
      </c>
      <c r="R141" s="145">
        <f t="shared" si="21"/>
        <v>61.100645025009158</v>
      </c>
      <c r="S141" s="125">
        <f t="shared" si="22"/>
        <v>-0.89935497499084249</v>
      </c>
      <c r="T141" s="144">
        <f t="shared" si="26"/>
        <v>0</v>
      </c>
      <c r="V141" s="12"/>
    </row>
    <row r="142" spans="1:22" x14ac:dyDescent="0.25">
      <c r="A142" s="49">
        <f>'A) Base RI'!A143</f>
        <v>5634</v>
      </c>
      <c r="B142" s="352" t="str">
        <f>'A) Base RI'!B143</f>
        <v>Echichens</v>
      </c>
      <c r="C142" s="404">
        <v>3708959.8704315969</v>
      </c>
      <c r="D142" s="404">
        <v>2653795.227617221</v>
      </c>
      <c r="E142" s="390">
        <v>0</v>
      </c>
      <c r="F142" s="390">
        <v>0</v>
      </c>
      <c r="G142" s="390">
        <v>0</v>
      </c>
      <c r="H142" s="404">
        <f t="shared" si="25"/>
        <v>6362755.0980488174</v>
      </c>
      <c r="I142" s="405">
        <v>172707.41089939879</v>
      </c>
      <c r="J142" s="356">
        <f>'B) D RI'!U143</f>
        <v>173888.96393435504</v>
      </c>
      <c r="K142" s="62">
        <f t="shared" si="23"/>
        <v>36.841239556043661</v>
      </c>
      <c r="L142" s="33">
        <f>'B) D RI'!S143</f>
        <v>68</v>
      </c>
      <c r="M142" s="33">
        <f t="shared" si="18"/>
        <v>31.158760443956339</v>
      </c>
      <c r="N142" s="33">
        <f>'J) Plafonnement effort'!G141+'J) Plafonnement effort'!I141-'K) Plafonnement aide'!I141</f>
        <v>36.448197857093241</v>
      </c>
      <c r="O142" s="125">
        <f t="shared" si="19"/>
        <v>67.606958301049588</v>
      </c>
      <c r="P142" s="47">
        <f t="shared" si="20"/>
        <v>0</v>
      </c>
      <c r="Q142" s="55">
        <f t="shared" si="24"/>
        <v>0</v>
      </c>
      <c r="R142" s="145">
        <f t="shared" si="21"/>
        <v>67.606958301049588</v>
      </c>
      <c r="S142" s="125">
        <f t="shared" si="22"/>
        <v>-0.39304169895041241</v>
      </c>
      <c r="T142" s="144">
        <f t="shared" si="26"/>
        <v>0</v>
      </c>
      <c r="V142" s="12"/>
    </row>
    <row r="143" spans="1:22" x14ac:dyDescent="0.25">
      <c r="A143" s="49">
        <f>'A) Base RI'!A144</f>
        <v>5635</v>
      </c>
      <c r="B143" s="352" t="str">
        <f>'A) Base RI'!B144</f>
        <v>Ecublens</v>
      </c>
      <c r="C143" s="404">
        <v>7932836.9168787543</v>
      </c>
      <c r="D143" s="404">
        <v>-1581227.6243433002</v>
      </c>
      <c r="E143" s="390">
        <v>0</v>
      </c>
      <c r="F143" s="390">
        <v>0</v>
      </c>
      <c r="G143" s="390">
        <v>0</v>
      </c>
      <c r="H143" s="404">
        <f t="shared" si="25"/>
        <v>6351609.292535454</v>
      </c>
      <c r="I143" s="405">
        <v>425804.36099449953</v>
      </c>
      <c r="J143" s="356">
        <f>'B) D RI'!U144</f>
        <v>488507.72683115519</v>
      </c>
      <c r="K143" s="62">
        <f t="shared" si="23"/>
        <v>14.916731424968903</v>
      </c>
      <c r="L143" s="33">
        <f>'B) D RI'!S144</f>
        <v>64</v>
      </c>
      <c r="M143" s="33">
        <f t="shared" si="18"/>
        <v>49.083268575031099</v>
      </c>
      <c r="N143" s="33">
        <f>'J) Plafonnement effort'!G142+'J) Plafonnement effort'!I142-'K) Plafonnement aide'!I142</f>
        <v>13.240479079000817</v>
      </c>
      <c r="O143" s="125">
        <f t="shared" si="19"/>
        <v>62.323747654031919</v>
      </c>
      <c r="P143" s="47">
        <f t="shared" si="20"/>
        <v>0</v>
      </c>
      <c r="Q143" s="55">
        <f t="shared" si="24"/>
        <v>0</v>
      </c>
      <c r="R143" s="145">
        <f t="shared" si="21"/>
        <v>62.323747654031919</v>
      </c>
      <c r="S143" s="125">
        <f t="shared" si="22"/>
        <v>-1.6762523459680807</v>
      </c>
      <c r="T143" s="144">
        <f t="shared" si="26"/>
        <v>0</v>
      </c>
      <c r="V143" s="12"/>
    </row>
    <row r="144" spans="1:22" x14ac:dyDescent="0.25">
      <c r="A144" s="49">
        <f>'A) Base RI'!A145</f>
        <v>5636</v>
      </c>
      <c r="B144" s="352" t="str">
        <f>'A) Base RI'!B145</f>
        <v>Etoy</v>
      </c>
      <c r="C144" s="404">
        <v>4020954.7993508605</v>
      </c>
      <c r="D144" s="404">
        <v>2525400.9854429429</v>
      </c>
      <c r="E144" s="390">
        <v>0</v>
      </c>
      <c r="F144" s="390">
        <v>0</v>
      </c>
      <c r="G144" s="390">
        <v>0</v>
      </c>
      <c r="H144" s="404">
        <f t="shared" si="25"/>
        <v>6546355.7847938035</v>
      </c>
      <c r="I144" s="405">
        <v>163508.07491244882</v>
      </c>
      <c r="J144" s="356">
        <f>'B) D RI'!U145</f>
        <v>176831.6240274295</v>
      </c>
      <c r="K144" s="62">
        <f t="shared" si="23"/>
        <v>40.036895965530029</v>
      </c>
      <c r="L144" s="33">
        <f>'B) D RI'!S145</f>
        <v>61</v>
      </c>
      <c r="M144" s="33">
        <f t="shared" si="18"/>
        <v>20.963104034469971</v>
      </c>
      <c r="N144" s="33">
        <f>'J) Plafonnement effort'!G143+'J) Plafonnement effort'!I143-'K) Plafonnement aide'!I143</f>
        <v>36.488497952500083</v>
      </c>
      <c r="O144" s="125">
        <f t="shared" si="19"/>
        <v>57.451601986970054</v>
      </c>
      <c r="P144" s="47">
        <f t="shared" si="20"/>
        <v>0</v>
      </c>
      <c r="Q144" s="55">
        <f t="shared" si="24"/>
        <v>0</v>
      </c>
      <c r="R144" s="145">
        <f t="shared" si="21"/>
        <v>57.451601986970054</v>
      </c>
      <c r="S144" s="125">
        <f t="shared" si="22"/>
        <v>-3.5483980130299457</v>
      </c>
      <c r="T144" s="144">
        <f t="shared" si="26"/>
        <v>0</v>
      </c>
      <c r="V144" s="12"/>
    </row>
    <row r="145" spans="1:22" x14ac:dyDescent="0.25">
      <c r="A145" s="49">
        <f>'A) Base RI'!A146</f>
        <v>5637</v>
      </c>
      <c r="B145" s="352" t="str">
        <f>'A) Base RI'!B146</f>
        <v>Lavigny</v>
      </c>
      <c r="C145" s="404">
        <v>683348.97952851024</v>
      </c>
      <c r="D145" s="404">
        <v>391629.43884701922</v>
      </c>
      <c r="E145" s="390">
        <v>0</v>
      </c>
      <c r="F145" s="390">
        <v>0</v>
      </c>
      <c r="G145" s="390">
        <v>0</v>
      </c>
      <c r="H145" s="404">
        <f t="shared" si="25"/>
        <v>1074978.4183755293</v>
      </c>
      <c r="I145" s="405">
        <v>35527.670702114687</v>
      </c>
      <c r="J145" s="356">
        <f>'B) D RI'!U146</f>
        <v>37137.682399987621</v>
      </c>
      <c r="K145" s="62">
        <f t="shared" si="23"/>
        <v>30.257497807520046</v>
      </c>
      <c r="L145" s="33">
        <f>'B) D RI'!S146</f>
        <v>74.5</v>
      </c>
      <c r="M145" s="33">
        <f t="shared" si="18"/>
        <v>44.242502192479954</v>
      </c>
      <c r="N145" s="33">
        <f>'J) Plafonnement effort'!G144+'J) Plafonnement effort'!I144-'K) Plafonnement aide'!I144</f>
        <v>25.065292165901543</v>
      </c>
      <c r="O145" s="125">
        <f t="shared" si="19"/>
        <v>69.3077943583815</v>
      </c>
      <c r="P145" s="47">
        <f t="shared" si="20"/>
        <v>0</v>
      </c>
      <c r="Q145" s="55">
        <f t="shared" si="24"/>
        <v>0</v>
      </c>
      <c r="R145" s="145">
        <f t="shared" si="21"/>
        <v>69.3077943583815</v>
      </c>
      <c r="S145" s="125">
        <f t="shared" si="22"/>
        <v>-5.1922056416185001</v>
      </c>
      <c r="T145" s="144">
        <f t="shared" si="26"/>
        <v>0</v>
      </c>
      <c r="V145" s="12"/>
    </row>
    <row r="146" spans="1:22" x14ac:dyDescent="0.25">
      <c r="A146" s="49">
        <f>'A) Base RI'!A147</f>
        <v>5638</v>
      </c>
      <c r="B146" s="352" t="str">
        <f>'A) Base RI'!B147</f>
        <v>Lonay</v>
      </c>
      <c r="C146" s="404">
        <v>4202342.1010028943</v>
      </c>
      <c r="D146" s="404">
        <v>2498457.3399751205</v>
      </c>
      <c r="E146" s="390">
        <v>0</v>
      </c>
      <c r="F146" s="390">
        <v>0</v>
      </c>
      <c r="G146" s="390">
        <v>0</v>
      </c>
      <c r="H146" s="404">
        <f t="shared" si="25"/>
        <v>6700799.4409780148</v>
      </c>
      <c r="I146" s="405">
        <v>156801.12521319877</v>
      </c>
      <c r="J146" s="356">
        <f>'B) D RI'!U147</f>
        <v>154797.39129324263</v>
      </c>
      <c r="K146" s="62">
        <f t="shared" si="23"/>
        <v>42.734383645953415</v>
      </c>
      <c r="L146" s="33">
        <f>'B) D RI'!S147</f>
        <v>55</v>
      </c>
      <c r="M146" s="33">
        <f t="shared" si="18"/>
        <v>12.265616354046585</v>
      </c>
      <c r="N146" s="33">
        <f>'J) Plafonnement effort'!G145+'J) Plafonnement effort'!I145-'K) Plafonnement aide'!I145</f>
        <v>40.95498134249226</v>
      </c>
      <c r="O146" s="125">
        <f t="shared" si="19"/>
        <v>53.220597696538846</v>
      </c>
      <c r="P146" s="47">
        <f t="shared" si="20"/>
        <v>0</v>
      </c>
      <c r="Q146" s="55">
        <f t="shared" si="24"/>
        <v>0</v>
      </c>
      <c r="R146" s="145">
        <f t="shared" si="21"/>
        <v>53.220597696538846</v>
      </c>
      <c r="S146" s="125">
        <f t="shared" si="22"/>
        <v>-1.7794023034611541</v>
      </c>
      <c r="T146" s="144">
        <f t="shared" si="26"/>
        <v>0</v>
      </c>
      <c r="V146" s="12"/>
    </row>
    <row r="147" spans="1:22" x14ac:dyDescent="0.25">
      <c r="A147" s="49">
        <f>'A) Base RI'!A148</f>
        <v>5639</v>
      </c>
      <c r="B147" s="352" t="str">
        <f>'A) Base RI'!B148</f>
        <v>Lully</v>
      </c>
      <c r="C147" s="404">
        <v>919673.89108547242</v>
      </c>
      <c r="D147" s="404">
        <v>808660.13541051687</v>
      </c>
      <c r="E147" s="390">
        <v>0</v>
      </c>
      <c r="F147" s="390">
        <v>0</v>
      </c>
      <c r="G147" s="390">
        <v>0</v>
      </c>
      <c r="H147" s="404">
        <f t="shared" si="25"/>
        <v>1728334.0264959894</v>
      </c>
      <c r="I147" s="405">
        <v>44733.650298121938</v>
      </c>
      <c r="J147" s="356">
        <f>'B) D RI'!U148</f>
        <v>46990.489786222082</v>
      </c>
      <c r="K147" s="62">
        <f t="shared" si="23"/>
        <v>38.636105369843925</v>
      </c>
      <c r="L147" s="33">
        <f>'B) D RI'!S148</f>
        <v>61</v>
      </c>
      <c r="M147" s="33">
        <f t="shared" si="18"/>
        <v>22.363894630156075</v>
      </c>
      <c r="N147" s="33">
        <f>'J) Plafonnement effort'!G146+'J) Plafonnement effort'!I146-'K) Plafonnement aide'!I146</f>
        <v>36.850168442279781</v>
      </c>
      <c r="O147" s="125">
        <f t="shared" si="19"/>
        <v>59.214063072435856</v>
      </c>
      <c r="P147" s="47">
        <f t="shared" si="20"/>
        <v>0</v>
      </c>
      <c r="Q147" s="55">
        <f t="shared" si="24"/>
        <v>0</v>
      </c>
      <c r="R147" s="145">
        <f t="shared" si="21"/>
        <v>59.214063072435856</v>
      </c>
      <c r="S147" s="125">
        <f t="shared" si="22"/>
        <v>-1.7859369275641441</v>
      </c>
      <c r="T147" s="144">
        <f t="shared" si="26"/>
        <v>0</v>
      </c>
      <c r="V147" s="12"/>
    </row>
    <row r="148" spans="1:22" x14ac:dyDescent="0.25">
      <c r="A148" s="49">
        <f>'A) Base RI'!A149</f>
        <v>5640</v>
      </c>
      <c r="B148" s="352" t="str">
        <f>'A) Base RI'!B149</f>
        <v>Lussy-sur-Morges</v>
      </c>
      <c r="C148" s="404">
        <v>1437475.5599930577</v>
      </c>
      <c r="D148" s="404">
        <v>993528.82671797858</v>
      </c>
      <c r="E148" s="390">
        <v>0</v>
      </c>
      <c r="F148" s="390">
        <v>0</v>
      </c>
      <c r="G148" s="390">
        <v>0</v>
      </c>
      <c r="H148" s="404">
        <f t="shared" si="25"/>
        <v>2431004.3867110363</v>
      </c>
      <c r="I148" s="405">
        <v>53214.189880771395</v>
      </c>
      <c r="J148" s="356">
        <f>'B) D RI'!U149</f>
        <v>60932.654829076157</v>
      </c>
      <c r="K148" s="62">
        <f t="shared" si="23"/>
        <v>45.68338618247882</v>
      </c>
      <c r="L148" s="33">
        <f>'B) D RI'!S149</f>
        <v>66</v>
      </c>
      <c r="M148" s="33">
        <f t="shared" si="18"/>
        <v>20.31661381752118</v>
      </c>
      <c r="N148" s="33">
        <f>'J) Plafonnement effort'!G147+'J) Plafonnement effort'!I147-'K) Plafonnement aide'!I147</f>
        <v>47.439221963035195</v>
      </c>
      <c r="O148" s="125">
        <f t="shared" si="19"/>
        <v>67.755835780556367</v>
      </c>
      <c r="P148" s="47">
        <f t="shared" si="20"/>
        <v>0</v>
      </c>
      <c r="Q148" s="55">
        <f t="shared" si="24"/>
        <v>0</v>
      </c>
      <c r="R148" s="145">
        <f t="shared" si="21"/>
        <v>67.755835780556367</v>
      </c>
      <c r="S148" s="125">
        <f t="shared" si="22"/>
        <v>1.7558357805563674</v>
      </c>
      <c r="T148" s="144">
        <f t="shared" si="26"/>
        <v>0</v>
      </c>
      <c r="V148" s="12"/>
    </row>
    <row r="149" spans="1:22" x14ac:dyDescent="0.25">
      <c r="A149" s="49">
        <f>'A) Base RI'!A150</f>
        <v>5642</v>
      </c>
      <c r="B149" s="352" t="str">
        <f>'A) Base RI'!B150</f>
        <v>Morges</v>
      </c>
      <c r="C149" s="404">
        <v>15274369.391250851</v>
      </c>
      <c r="D149" s="404">
        <v>4266202.2489447985</v>
      </c>
      <c r="E149" s="390">
        <v>0</v>
      </c>
      <c r="F149" s="390">
        <v>0</v>
      </c>
      <c r="G149" s="390">
        <v>0</v>
      </c>
      <c r="H149" s="404">
        <f t="shared" si="25"/>
        <v>19540571.640195649</v>
      </c>
      <c r="I149" s="405">
        <v>729290.95553024486</v>
      </c>
      <c r="J149" s="356">
        <f>'B) D RI'!U150</f>
        <v>860073.47085290938</v>
      </c>
      <c r="K149" s="62">
        <f t="shared" si="23"/>
        <v>26.793931135466099</v>
      </c>
      <c r="L149" s="33">
        <f>'B) D RI'!S150</f>
        <v>68.5</v>
      </c>
      <c r="M149" s="33">
        <f t="shared" si="18"/>
        <v>41.706068864533904</v>
      </c>
      <c r="N149" s="33">
        <f>'J) Plafonnement effort'!G148+'J) Plafonnement effort'!I148-'K) Plafonnement aide'!I148</f>
        <v>27.534262566633728</v>
      </c>
      <c r="O149" s="125">
        <f t="shared" si="19"/>
        <v>69.240331431167633</v>
      </c>
      <c r="P149" s="47">
        <f t="shared" si="20"/>
        <v>0</v>
      </c>
      <c r="Q149" s="55">
        <f t="shared" si="24"/>
        <v>0</v>
      </c>
      <c r="R149" s="145">
        <f t="shared" si="21"/>
        <v>69.240331431167633</v>
      </c>
      <c r="S149" s="125">
        <f t="shared" si="22"/>
        <v>0.74033143116763256</v>
      </c>
      <c r="T149" s="144">
        <f t="shared" si="26"/>
        <v>0</v>
      </c>
      <c r="V149" s="12"/>
    </row>
    <row r="150" spans="1:22" x14ac:dyDescent="0.25">
      <c r="A150" s="49">
        <f>'A) Base RI'!A151</f>
        <v>5643</v>
      </c>
      <c r="B150" s="352" t="str">
        <f>'A) Base RI'!B151</f>
        <v>Préverenges</v>
      </c>
      <c r="C150" s="404">
        <v>4469239.1626944421</v>
      </c>
      <c r="D150" s="404">
        <v>3205072.2066733767</v>
      </c>
      <c r="E150" s="390">
        <v>0</v>
      </c>
      <c r="F150" s="390">
        <v>0</v>
      </c>
      <c r="G150" s="390">
        <v>0</v>
      </c>
      <c r="H150" s="404">
        <f t="shared" si="25"/>
        <v>7674311.3693678193</v>
      </c>
      <c r="I150" s="405">
        <v>256716.54312991558</v>
      </c>
      <c r="J150" s="356">
        <f>'B) D RI'!U151</f>
        <v>258751.58879529274</v>
      </c>
      <c r="K150" s="62">
        <f t="shared" si="23"/>
        <v>29.894105287496448</v>
      </c>
      <c r="L150" s="33">
        <f>'B) D RI'!S151</f>
        <v>64</v>
      </c>
      <c r="M150" s="33">
        <f t="shared" si="18"/>
        <v>34.105894712503556</v>
      </c>
      <c r="N150" s="33">
        <f>'J) Plafonnement effort'!G149+'J) Plafonnement effort'!I149-'K) Plafonnement aide'!I149</f>
        <v>31.780639800343337</v>
      </c>
      <c r="O150" s="125">
        <f t="shared" si="19"/>
        <v>65.886534512846893</v>
      </c>
      <c r="P150" s="47">
        <f t="shared" si="20"/>
        <v>0</v>
      </c>
      <c r="Q150" s="55">
        <f t="shared" si="24"/>
        <v>0</v>
      </c>
      <c r="R150" s="145">
        <f t="shared" si="21"/>
        <v>65.886534512846893</v>
      </c>
      <c r="S150" s="125">
        <f t="shared" si="22"/>
        <v>1.8865345128468931</v>
      </c>
      <c r="T150" s="144">
        <f t="shared" si="26"/>
        <v>0</v>
      </c>
      <c r="V150" s="12"/>
    </row>
    <row r="151" spans="1:22" x14ac:dyDescent="0.25">
      <c r="A151" s="49">
        <f>'A) Base RI'!A152</f>
        <v>5644</v>
      </c>
      <c r="B151" s="352" t="str">
        <f>'A) Base RI'!B152</f>
        <v>Reverolle</v>
      </c>
      <c r="C151" s="404">
        <v>249968.21732384383</v>
      </c>
      <c r="D151" s="404">
        <v>120034.34886503452</v>
      </c>
      <c r="E151" s="390">
        <v>0</v>
      </c>
      <c r="F151" s="390">
        <v>0</v>
      </c>
      <c r="G151" s="390">
        <v>0</v>
      </c>
      <c r="H151" s="404">
        <f t="shared" si="25"/>
        <v>370002.56618887838</v>
      </c>
      <c r="I151" s="405">
        <v>13425.23260136249</v>
      </c>
      <c r="J151" s="356">
        <f>'B) D RI'!U152</f>
        <v>16806.032344441897</v>
      </c>
      <c r="K151" s="62">
        <f t="shared" si="23"/>
        <v>27.560235057031925</v>
      </c>
      <c r="L151" s="33">
        <f>'B) D RI'!S152</f>
        <v>76</v>
      </c>
      <c r="M151" s="33">
        <f t="shared" si="18"/>
        <v>48.439764942968075</v>
      </c>
      <c r="N151" s="33">
        <f>'J) Plafonnement effort'!G150+'J) Plafonnement effort'!I150-'K) Plafonnement aide'!I150</f>
        <v>28.444508912595271</v>
      </c>
      <c r="O151" s="125">
        <f t="shared" si="19"/>
        <v>76.88427385556335</v>
      </c>
      <c r="P151" s="47">
        <f t="shared" si="20"/>
        <v>0</v>
      </c>
      <c r="Q151" s="55">
        <f t="shared" si="24"/>
        <v>0</v>
      </c>
      <c r="R151" s="145">
        <f t="shared" si="21"/>
        <v>76.88427385556335</v>
      </c>
      <c r="S151" s="125">
        <f t="shared" si="22"/>
        <v>0.88427385556335025</v>
      </c>
      <c r="T151" s="144">
        <f t="shared" si="26"/>
        <v>0</v>
      </c>
      <c r="V151" s="12"/>
    </row>
    <row r="152" spans="1:22" x14ac:dyDescent="0.25">
      <c r="A152" s="49">
        <f>'A) Base RI'!A153</f>
        <v>5645</v>
      </c>
      <c r="B152" s="352" t="str">
        <f>'A) Base RI'!B153</f>
        <v>Romanel-sur-Morges</v>
      </c>
      <c r="C152" s="404">
        <v>488615.67268868425</v>
      </c>
      <c r="D152" s="404">
        <v>434249.86789129552</v>
      </c>
      <c r="E152" s="390">
        <v>0</v>
      </c>
      <c r="F152" s="390">
        <v>0</v>
      </c>
      <c r="G152" s="390">
        <v>0</v>
      </c>
      <c r="H152" s="404">
        <f t="shared" si="25"/>
        <v>922865.54057997977</v>
      </c>
      <c r="I152" s="405">
        <v>24229.852670127519</v>
      </c>
      <c r="J152" s="356">
        <f>'B) D RI'!U153</f>
        <v>30104.624556076433</v>
      </c>
      <c r="K152" s="62">
        <f t="shared" si="23"/>
        <v>38.087955100022604</v>
      </c>
      <c r="L152" s="33">
        <f>'B) D RI'!S153</f>
        <v>56</v>
      </c>
      <c r="M152" s="33">
        <f t="shared" si="18"/>
        <v>17.912044899977396</v>
      </c>
      <c r="N152" s="33">
        <f>'J) Plafonnement effort'!G151+'J) Plafonnement effort'!I151-'K) Plafonnement aide'!I151</f>
        <v>39.941162399739227</v>
      </c>
      <c r="O152" s="125">
        <f t="shared" si="19"/>
        <v>57.853207299716622</v>
      </c>
      <c r="P152" s="47">
        <f t="shared" si="20"/>
        <v>0</v>
      </c>
      <c r="Q152" s="55">
        <f t="shared" si="24"/>
        <v>0</v>
      </c>
      <c r="R152" s="145">
        <f t="shared" si="21"/>
        <v>57.853207299716622</v>
      </c>
      <c r="S152" s="125">
        <f t="shared" si="22"/>
        <v>1.8532072997166225</v>
      </c>
      <c r="T152" s="144">
        <f t="shared" si="26"/>
        <v>0</v>
      </c>
      <c r="V152" s="12"/>
    </row>
    <row r="153" spans="1:22" x14ac:dyDescent="0.25">
      <c r="A153" s="49">
        <f>'A) Base RI'!A154</f>
        <v>5646</v>
      </c>
      <c r="B153" s="352" t="str">
        <f>'A) Base RI'!B154</f>
        <v>Saint-Prex</v>
      </c>
      <c r="C153" s="404">
        <v>11539181.732813671</v>
      </c>
      <c r="D153" s="404">
        <v>7130966.0201632278</v>
      </c>
      <c r="E153" s="390">
        <v>0</v>
      </c>
      <c r="F153" s="390">
        <v>0</v>
      </c>
      <c r="G153" s="390">
        <v>0</v>
      </c>
      <c r="H153" s="404">
        <f t="shared" si="25"/>
        <v>18670147.752976898</v>
      </c>
      <c r="I153" s="405">
        <v>461684.29365699238</v>
      </c>
      <c r="J153" s="356">
        <f>'B) D RI'!U154</f>
        <v>410896.75287158613</v>
      </c>
      <c r="K153" s="62">
        <f t="shared" si="23"/>
        <v>40.439209237747768</v>
      </c>
      <c r="L153" s="33">
        <f>'B) D RI'!S154</f>
        <v>55</v>
      </c>
      <c r="M153" s="33">
        <f t="shared" si="18"/>
        <v>14.560790762252232</v>
      </c>
      <c r="N153" s="33">
        <f>'J) Plafonnement effort'!G152+'J) Plafonnement effort'!I152-'K) Plafonnement aide'!I152</f>
        <v>36.950565014626434</v>
      </c>
      <c r="O153" s="125">
        <f t="shared" si="19"/>
        <v>51.511355776878666</v>
      </c>
      <c r="P153" s="47">
        <f t="shared" si="20"/>
        <v>0</v>
      </c>
      <c r="Q153" s="55">
        <f t="shared" si="24"/>
        <v>0</v>
      </c>
      <c r="R153" s="145">
        <f t="shared" si="21"/>
        <v>51.511355776878666</v>
      </c>
      <c r="S153" s="125">
        <f t="shared" si="22"/>
        <v>-3.4886442231213337</v>
      </c>
      <c r="T153" s="144">
        <f t="shared" si="26"/>
        <v>0</v>
      </c>
      <c r="V153" s="12"/>
    </row>
    <row r="154" spans="1:22" x14ac:dyDescent="0.25">
      <c r="A154" s="49">
        <f>'A) Base RI'!A155</f>
        <v>5648</v>
      </c>
      <c r="B154" s="352" t="str">
        <f>'A) Base RI'!B155</f>
        <v>Saint-Sulpice</v>
      </c>
      <c r="C154" s="404">
        <v>9322564.7148221787</v>
      </c>
      <c r="D154" s="404">
        <v>5643549.5595280668</v>
      </c>
      <c r="E154" s="390">
        <v>0</v>
      </c>
      <c r="F154" s="390">
        <v>0</v>
      </c>
      <c r="G154" s="390">
        <v>0</v>
      </c>
      <c r="H154" s="404">
        <f t="shared" si="25"/>
        <v>14966114.274350245</v>
      </c>
      <c r="I154" s="405">
        <v>359984.01578722027</v>
      </c>
      <c r="J154" s="356">
        <f>'B) D RI'!U155</f>
        <v>382700.93610668415</v>
      </c>
      <c r="K154" s="62">
        <f t="shared" si="23"/>
        <v>41.574385578265314</v>
      </c>
      <c r="L154" s="33">
        <f>'B) D RI'!S155</f>
        <v>55</v>
      </c>
      <c r="M154" s="33">
        <f t="shared" si="18"/>
        <v>13.425614421734686</v>
      </c>
      <c r="N154" s="33">
        <f>'J) Plafonnement effort'!G153+'J) Plafonnement effort'!I153-'K) Plafonnement aide'!I153</f>
        <v>41.009412553345861</v>
      </c>
      <c r="O154" s="125">
        <f t="shared" si="19"/>
        <v>54.435026975080547</v>
      </c>
      <c r="P154" s="47">
        <f t="shared" si="20"/>
        <v>0</v>
      </c>
      <c r="Q154" s="55">
        <f t="shared" si="24"/>
        <v>0</v>
      </c>
      <c r="R154" s="145">
        <f t="shared" si="21"/>
        <v>54.435026975080547</v>
      </c>
      <c r="S154" s="125">
        <f t="shared" si="22"/>
        <v>-0.56497302491945334</v>
      </c>
      <c r="T154" s="144">
        <f t="shared" si="26"/>
        <v>0</v>
      </c>
      <c r="V154" s="12"/>
    </row>
    <row r="155" spans="1:22" x14ac:dyDescent="0.25">
      <c r="A155" s="49">
        <f>'A) Base RI'!A156</f>
        <v>5649</v>
      </c>
      <c r="B155" s="352" t="str">
        <f>'A) Base RI'!B156</f>
        <v>Tolochenaz</v>
      </c>
      <c r="C155" s="404">
        <v>2334052.0018999754</v>
      </c>
      <c r="D155" s="404">
        <v>1861083.4105983486</v>
      </c>
      <c r="E155" s="390">
        <v>0</v>
      </c>
      <c r="F155" s="390">
        <v>0</v>
      </c>
      <c r="G155" s="390">
        <v>0</v>
      </c>
      <c r="H155" s="404">
        <f t="shared" si="25"/>
        <v>4195135.4124983242</v>
      </c>
      <c r="I155" s="405">
        <v>113998.65852486389</v>
      </c>
      <c r="J155" s="356">
        <f>'B) D RI'!U156</f>
        <v>102752.22096213103</v>
      </c>
      <c r="K155" s="62">
        <f t="shared" si="23"/>
        <v>36.79986647898437</v>
      </c>
      <c r="L155" s="33">
        <f>'B) D RI'!S156</f>
        <v>65</v>
      </c>
      <c r="M155" s="33">
        <f t="shared" si="18"/>
        <v>28.20013352101563</v>
      </c>
      <c r="N155" s="33">
        <f>'J) Plafonnement effort'!G154+'J) Plafonnement effort'!I154-'K) Plafonnement aide'!I154</f>
        <v>29.463484245787527</v>
      </c>
      <c r="O155" s="125">
        <f t="shared" si="19"/>
        <v>57.663617766803156</v>
      </c>
      <c r="P155" s="47">
        <f t="shared" si="20"/>
        <v>0</v>
      </c>
      <c r="Q155" s="55">
        <f t="shared" si="24"/>
        <v>0</v>
      </c>
      <c r="R155" s="145">
        <f t="shared" si="21"/>
        <v>57.663617766803156</v>
      </c>
      <c r="S155" s="125">
        <f t="shared" si="22"/>
        <v>-7.3363822331968436</v>
      </c>
      <c r="T155" s="144">
        <f t="shared" si="26"/>
        <v>0</v>
      </c>
      <c r="V155" s="12"/>
    </row>
    <row r="156" spans="1:22" x14ac:dyDescent="0.25">
      <c r="A156" s="49">
        <f>'A) Base RI'!A157</f>
        <v>5650</v>
      </c>
      <c r="B156" s="352" t="str">
        <f>'A) Base RI'!B157</f>
        <v>Vaux-sur-Morges</v>
      </c>
      <c r="C156" s="404">
        <v>8622754.8746545333</v>
      </c>
      <c r="D156" s="404">
        <v>3731403.804612054</v>
      </c>
      <c r="E156" s="390">
        <v>0</v>
      </c>
      <c r="F156" s="390">
        <v>-3469151.0494240671</v>
      </c>
      <c r="G156" s="390">
        <v>0</v>
      </c>
      <c r="H156" s="404">
        <f t="shared" si="25"/>
        <v>8885007.6298425198</v>
      </c>
      <c r="I156" s="405">
        <v>185104.32562171915</v>
      </c>
      <c r="J156" s="356">
        <f>'B) D RI'!U157</f>
        <v>91360.78017857144</v>
      </c>
      <c r="K156" s="62">
        <f t="shared" si="23"/>
        <v>48</v>
      </c>
      <c r="L156" s="33">
        <f>'B) D RI'!S157</f>
        <v>56</v>
      </c>
      <c r="M156" s="33">
        <f t="shared" si="18"/>
        <v>8</v>
      </c>
      <c r="N156" s="33">
        <f>'J) Plafonnement effort'!G155+'J) Plafonnement effort'!I155-'K) Plafonnement aide'!I155</f>
        <v>48.075792916681159</v>
      </c>
      <c r="O156" s="125">
        <f t="shared" si="19"/>
        <v>56.075792916681159</v>
      </c>
      <c r="P156" s="47">
        <f t="shared" si="20"/>
        <v>0</v>
      </c>
      <c r="Q156" s="55">
        <f t="shared" si="24"/>
        <v>0</v>
      </c>
      <c r="R156" s="145">
        <f t="shared" si="21"/>
        <v>56.075792916681159</v>
      </c>
      <c r="S156" s="125">
        <f t="shared" si="22"/>
        <v>7.5792916681159284E-2</v>
      </c>
      <c r="T156" s="144">
        <f t="shared" si="26"/>
        <v>0</v>
      </c>
      <c r="V156" s="12"/>
    </row>
    <row r="157" spans="1:22" x14ac:dyDescent="0.25">
      <c r="A157" s="49">
        <f>'A) Base RI'!A158</f>
        <v>5651</v>
      </c>
      <c r="B157" s="352" t="str">
        <f>'A) Base RI'!B158</f>
        <v>Villars-Sainte-Croix</v>
      </c>
      <c r="C157" s="404">
        <v>989468.35427143727</v>
      </c>
      <c r="D157" s="404">
        <v>900504.33566534787</v>
      </c>
      <c r="E157" s="390">
        <v>0</v>
      </c>
      <c r="F157" s="390">
        <v>0</v>
      </c>
      <c r="G157" s="390">
        <v>0</v>
      </c>
      <c r="H157" s="404">
        <f t="shared" si="25"/>
        <v>1889972.689936785</v>
      </c>
      <c r="I157" s="405">
        <v>50327.012990433635</v>
      </c>
      <c r="J157" s="356">
        <f>'B) D RI'!U158</f>
        <v>58663.104123472025</v>
      </c>
      <c r="K157" s="62">
        <f t="shared" si="23"/>
        <v>37.553841915792596</v>
      </c>
      <c r="L157" s="33">
        <f>'B) D RI'!S158</f>
        <v>62</v>
      </c>
      <c r="M157" s="33">
        <f t="shared" si="18"/>
        <v>24.446158084207404</v>
      </c>
      <c r="N157" s="33">
        <f>'J) Plafonnement effort'!G156+'J) Plafonnement effort'!I156-'K) Plafonnement aide'!I156</f>
        <v>38.760828808350276</v>
      </c>
      <c r="O157" s="125">
        <f t="shared" si="19"/>
        <v>63.20698689255768</v>
      </c>
      <c r="P157" s="47">
        <f t="shared" si="20"/>
        <v>0</v>
      </c>
      <c r="Q157" s="55">
        <f t="shared" si="24"/>
        <v>0</v>
      </c>
      <c r="R157" s="145">
        <f t="shared" si="21"/>
        <v>63.20698689255768</v>
      </c>
      <c r="S157" s="125">
        <f t="shared" si="22"/>
        <v>1.2069868925576799</v>
      </c>
      <c r="T157" s="144">
        <f t="shared" si="26"/>
        <v>0</v>
      </c>
      <c r="V157" s="12"/>
    </row>
    <row r="158" spans="1:22" x14ac:dyDescent="0.25">
      <c r="A158" s="49">
        <f>'A) Base RI'!A159</f>
        <v>5652</v>
      </c>
      <c r="B158" s="352" t="str">
        <f>'A) Base RI'!B159</f>
        <v>Villars-sous-Yens</v>
      </c>
      <c r="C158" s="404">
        <v>525349.52115889383</v>
      </c>
      <c r="D158" s="404">
        <v>525764.2173453205</v>
      </c>
      <c r="E158" s="390">
        <v>0</v>
      </c>
      <c r="F158" s="390">
        <v>0</v>
      </c>
      <c r="G158" s="390">
        <v>0</v>
      </c>
      <c r="H158" s="404">
        <f t="shared" si="25"/>
        <v>1051113.7385042142</v>
      </c>
      <c r="I158" s="405">
        <v>29665.347417842095</v>
      </c>
      <c r="J158" s="356">
        <f>'B) D RI'!U159</f>
        <v>32914.720873332524</v>
      </c>
      <c r="K158" s="62">
        <f t="shared" si="23"/>
        <v>35.432375818798818</v>
      </c>
      <c r="L158" s="33">
        <f>'B) D RI'!S159</f>
        <v>76</v>
      </c>
      <c r="M158" s="33">
        <f t="shared" si="18"/>
        <v>40.567624181201182</v>
      </c>
      <c r="N158" s="33">
        <f>'J) Plafonnement effort'!G157+'J) Plafonnement effort'!I157-'K) Plafonnement aide'!I157</f>
        <v>36.095108591681964</v>
      </c>
      <c r="O158" s="125">
        <f t="shared" si="19"/>
        <v>76.662732772883146</v>
      </c>
      <c r="P158" s="47">
        <f t="shared" si="20"/>
        <v>0</v>
      </c>
      <c r="Q158" s="55">
        <f t="shared" si="24"/>
        <v>0</v>
      </c>
      <c r="R158" s="145">
        <f t="shared" si="21"/>
        <v>76.662732772883146</v>
      </c>
      <c r="S158" s="125">
        <f t="shared" si="22"/>
        <v>0.66273277288314603</v>
      </c>
      <c r="T158" s="144">
        <f t="shared" si="26"/>
        <v>0</v>
      </c>
      <c r="V158" s="12"/>
    </row>
    <row r="159" spans="1:22" x14ac:dyDescent="0.25">
      <c r="A159" s="49">
        <f>'A) Base RI'!A160</f>
        <v>5653</v>
      </c>
      <c r="B159" s="352" t="str">
        <f>'A) Base RI'!B160</f>
        <v>Vufflens-le-Château</v>
      </c>
      <c r="C159" s="404">
        <v>1412242.1400244189</v>
      </c>
      <c r="D159" s="404">
        <v>1139346.9615264318</v>
      </c>
      <c r="E159" s="390">
        <v>0</v>
      </c>
      <c r="F159" s="390">
        <v>0</v>
      </c>
      <c r="G159" s="390">
        <v>0</v>
      </c>
      <c r="H159" s="404">
        <f t="shared" si="25"/>
        <v>2551589.101550851</v>
      </c>
      <c r="I159" s="405">
        <v>61628.734956407359</v>
      </c>
      <c r="J159" s="356">
        <f>'B) D RI'!U160</f>
        <v>71945.00670599271</v>
      </c>
      <c r="K159" s="62">
        <f t="shared" si="23"/>
        <v>41.40258766232504</v>
      </c>
      <c r="L159" s="33">
        <f>'B) D RI'!S160</f>
        <v>60</v>
      </c>
      <c r="M159" s="33">
        <f t="shared" si="18"/>
        <v>18.59741233767496</v>
      </c>
      <c r="N159" s="33">
        <f>'J) Plafonnement effort'!G158+'J) Plafonnement effort'!I158-'K) Plafonnement aide'!I158</f>
        <v>54.215512624102985</v>
      </c>
      <c r="O159" s="125">
        <f t="shared" si="19"/>
        <v>72.812924961777952</v>
      </c>
      <c r="P159" s="47">
        <f t="shared" si="20"/>
        <v>0</v>
      </c>
      <c r="Q159" s="55">
        <f t="shared" si="24"/>
        <v>0</v>
      </c>
      <c r="R159" s="145">
        <f t="shared" si="21"/>
        <v>72.812924961777952</v>
      </c>
      <c r="S159" s="125">
        <f t="shared" si="22"/>
        <v>12.812924961777952</v>
      </c>
      <c r="T159" s="144">
        <f t="shared" si="26"/>
        <v>0</v>
      </c>
      <c r="V159" s="12"/>
    </row>
    <row r="160" spans="1:22" x14ac:dyDescent="0.25">
      <c r="A160" s="49">
        <f>'A) Base RI'!A161</f>
        <v>5654</v>
      </c>
      <c r="B160" s="352" t="str">
        <f>'A) Base RI'!B161</f>
        <v>Vullierens</v>
      </c>
      <c r="C160" s="404">
        <v>351828.03986292146</v>
      </c>
      <c r="D160" s="404">
        <v>242850.77685960883</v>
      </c>
      <c r="E160" s="390">
        <v>0</v>
      </c>
      <c r="F160" s="390">
        <v>0</v>
      </c>
      <c r="G160" s="390">
        <v>0</v>
      </c>
      <c r="H160" s="404">
        <f t="shared" si="25"/>
        <v>594678.81672253029</v>
      </c>
      <c r="I160" s="405">
        <v>19147.575291748301</v>
      </c>
      <c r="J160" s="356">
        <f>'B) D RI'!U161</f>
        <v>18024.22731423103</v>
      </c>
      <c r="K160" s="62">
        <f t="shared" si="23"/>
        <v>31.057656526297027</v>
      </c>
      <c r="L160" s="33">
        <f>'B) D RI'!S161</f>
        <v>76</v>
      </c>
      <c r="M160" s="33">
        <f t="shared" si="18"/>
        <v>44.942343473702977</v>
      </c>
      <c r="N160" s="33">
        <f>'J) Plafonnement effort'!G159+'J) Plafonnement effort'!I159-'K) Plafonnement aide'!I159</f>
        <v>24.752907822447042</v>
      </c>
      <c r="O160" s="125">
        <f t="shared" si="19"/>
        <v>69.695251296150019</v>
      </c>
      <c r="P160" s="47">
        <f t="shared" si="20"/>
        <v>0</v>
      </c>
      <c r="Q160" s="55">
        <f t="shared" si="24"/>
        <v>0</v>
      </c>
      <c r="R160" s="145">
        <f t="shared" si="21"/>
        <v>69.695251296150019</v>
      </c>
      <c r="S160" s="125">
        <f t="shared" si="22"/>
        <v>-6.304748703849981</v>
      </c>
      <c r="T160" s="144">
        <f t="shared" si="26"/>
        <v>0</v>
      </c>
      <c r="V160" s="12"/>
    </row>
    <row r="161" spans="1:22" x14ac:dyDescent="0.25">
      <c r="A161" s="49">
        <f>'A) Base RI'!A162</f>
        <v>5655</v>
      </c>
      <c r="B161" s="352" t="str">
        <f>'A) Base RI'!B162</f>
        <v>Yens</v>
      </c>
      <c r="C161" s="404">
        <v>1862282.6326480231</v>
      </c>
      <c r="D161" s="404">
        <v>1471399.519067945</v>
      </c>
      <c r="E161" s="390">
        <v>0</v>
      </c>
      <c r="F161" s="390">
        <v>0</v>
      </c>
      <c r="G161" s="390">
        <v>0</v>
      </c>
      <c r="H161" s="404">
        <f t="shared" si="25"/>
        <v>3333682.1517159678</v>
      </c>
      <c r="I161" s="405">
        <v>86097.458084051032</v>
      </c>
      <c r="J161" s="356">
        <f>'B) D RI'!U162</f>
        <v>77001.825217451595</v>
      </c>
      <c r="K161" s="62">
        <f t="shared" si="23"/>
        <v>38.71986729807427</v>
      </c>
      <c r="L161" s="33">
        <f>'B) D RI'!S162</f>
        <v>73</v>
      </c>
      <c r="M161" s="33">
        <f t="shared" si="18"/>
        <v>34.28013270192573</v>
      </c>
      <c r="N161" s="33">
        <f>'J) Plafonnement effort'!G160+'J) Plafonnement effort'!I160-'K) Plafonnement aide'!I160</f>
        <v>36.320951482430985</v>
      </c>
      <c r="O161" s="125">
        <f t="shared" si="19"/>
        <v>70.601084184356722</v>
      </c>
      <c r="P161" s="47">
        <f t="shared" si="20"/>
        <v>0</v>
      </c>
      <c r="Q161" s="55">
        <f t="shared" si="24"/>
        <v>0</v>
      </c>
      <c r="R161" s="145">
        <f t="shared" si="21"/>
        <v>70.601084184356722</v>
      </c>
      <c r="S161" s="125">
        <f t="shared" si="22"/>
        <v>-2.3989158156432779</v>
      </c>
      <c r="T161" s="144">
        <f t="shared" si="26"/>
        <v>0</v>
      </c>
      <c r="V161" s="12"/>
    </row>
    <row r="162" spans="1:22" x14ac:dyDescent="0.25">
      <c r="A162" s="49">
        <f>'A) Base RI'!A163</f>
        <v>5661</v>
      </c>
      <c r="B162" s="352" t="str">
        <f>'A) Base RI'!B163</f>
        <v>Boulens</v>
      </c>
      <c r="C162" s="404">
        <v>172529.7539144317</v>
      </c>
      <c r="D162" s="404">
        <v>-13210.399038765492</v>
      </c>
      <c r="E162" s="390">
        <v>0</v>
      </c>
      <c r="F162" s="390">
        <v>0</v>
      </c>
      <c r="G162" s="390">
        <v>0</v>
      </c>
      <c r="H162" s="404">
        <f t="shared" si="25"/>
        <v>159319.35487566621</v>
      </c>
      <c r="I162" s="405">
        <v>10242.097149449037</v>
      </c>
      <c r="J162" s="356">
        <f>'B) D RI'!U163</f>
        <v>10064.101124681909</v>
      </c>
      <c r="K162" s="62">
        <f t="shared" si="23"/>
        <v>15.555345018792037</v>
      </c>
      <c r="L162" s="33">
        <f>'B) D RI'!S163</f>
        <v>73</v>
      </c>
      <c r="M162" s="33">
        <f t="shared" si="18"/>
        <v>57.444654981207961</v>
      </c>
      <c r="N162" s="33">
        <f>'J) Plafonnement effort'!G161+'J) Plafonnement effort'!I161-'K) Plafonnement aide'!I161</f>
        <v>10.073241015392753</v>
      </c>
      <c r="O162" s="125">
        <f t="shared" si="19"/>
        <v>67.517895996600714</v>
      </c>
      <c r="P162" s="47">
        <f t="shared" si="20"/>
        <v>0</v>
      </c>
      <c r="Q162" s="55">
        <f t="shared" si="24"/>
        <v>0</v>
      </c>
      <c r="R162" s="145">
        <f t="shared" si="21"/>
        <v>67.517895996600714</v>
      </c>
      <c r="S162" s="125">
        <f t="shared" si="22"/>
        <v>-5.4821040033992858</v>
      </c>
      <c r="T162" s="144">
        <f t="shared" si="26"/>
        <v>0</v>
      </c>
      <c r="V162" s="12"/>
    </row>
    <row r="163" spans="1:22" x14ac:dyDescent="0.25">
      <c r="A163" s="49">
        <f>'A) Base RI'!A164</f>
        <v>5663</v>
      </c>
      <c r="B163" s="352" t="str">
        <f>'A) Base RI'!B164</f>
        <v>Bussy-sur-Moudon</v>
      </c>
      <c r="C163" s="404">
        <v>88517.365356569033</v>
      </c>
      <c r="D163" s="404">
        <v>-29584.671836882713</v>
      </c>
      <c r="E163" s="390">
        <v>0</v>
      </c>
      <c r="F163" s="390">
        <v>0</v>
      </c>
      <c r="G163" s="390">
        <v>0</v>
      </c>
      <c r="H163" s="404">
        <f t="shared" si="25"/>
        <v>58932.69351968632</v>
      </c>
      <c r="I163" s="405">
        <v>5275.6077688756623</v>
      </c>
      <c r="J163" s="356">
        <f>'B) D RI'!U164</f>
        <v>6370.1104534474161</v>
      </c>
      <c r="K163" s="62">
        <f t="shared" si="23"/>
        <v>11.170787537953387</v>
      </c>
      <c r="L163" s="33">
        <f>'B) D RI'!S164</f>
        <v>80</v>
      </c>
      <c r="M163" s="33">
        <f t="shared" si="18"/>
        <v>68.829212462046613</v>
      </c>
      <c r="N163" s="33">
        <f>'J) Plafonnement effort'!G162+'J) Plafonnement effort'!I162-'K) Plafonnement aide'!I162</f>
        <v>15.216236951921033</v>
      </c>
      <c r="O163" s="125">
        <f t="shared" si="19"/>
        <v>84.045449413967646</v>
      </c>
      <c r="P163" s="47">
        <f t="shared" si="20"/>
        <v>0</v>
      </c>
      <c r="Q163" s="55">
        <f t="shared" si="24"/>
        <v>0</v>
      </c>
      <c r="R163" s="145">
        <f t="shared" si="21"/>
        <v>84.045449413967646</v>
      </c>
      <c r="S163" s="125">
        <f t="shared" si="22"/>
        <v>4.0454494139676456</v>
      </c>
      <c r="T163" s="144">
        <f t="shared" si="26"/>
        <v>0</v>
      </c>
      <c r="V163" s="12"/>
    </row>
    <row r="164" spans="1:22" x14ac:dyDescent="0.25">
      <c r="A164" s="49">
        <f>'A) Base RI'!A165</f>
        <v>5665</v>
      </c>
      <c r="B164" s="352" t="str">
        <f>'A) Base RI'!B165</f>
        <v>Chavannes-sur-Moudon</v>
      </c>
      <c r="C164" s="404">
        <v>80580.348754171515</v>
      </c>
      <c r="D164" s="404">
        <v>-41067.507845401691</v>
      </c>
      <c r="E164" s="390">
        <v>0</v>
      </c>
      <c r="F164" s="390">
        <v>0</v>
      </c>
      <c r="G164" s="390">
        <v>0</v>
      </c>
      <c r="H164" s="404">
        <f t="shared" si="25"/>
        <v>39512.840908769824</v>
      </c>
      <c r="I164" s="405">
        <v>4607.2565465259731</v>
      </c>
      <c r="J164" s="356">
        <f>'B) D RI'!U165</f>
        <v>4725.8157534246584</v>
      </c>
      <c r="K164" s="62">
        <f t="shared" si="23"/>
        <v>8.5762189515068012</v>
      </c>
      <c r="L164" s="33">
        <f>'B) D RI'!S165</f>
        <v>73</v>
      </c>
      <c r="M164" s="33">
        <f t="shared" si="18"/>
        <v>64.423781048493197</v>
      </c>
      <c r="N164" s="33">
        <f>'J) Plafonnement effort'!G163+'J) Plafonnement effort'!I163-'K) Plafonnement aide'!I163</f>
        <v>6.2813618713995272</v>
      </c>
      <c r="O164" s="125">
        <f t="shared" si="19"/>
        <v>70.705142919892722</v>
      </c>
      <c r="P164" s="47">
        <f t="shared" si="20"/>
        <v>0</v>
      </c>
      <c r="Q164" s="55">
        <f t="shared" si="24"/>
        <v>0</v>
      </c>
      <c r="R164" s="145">
        <f t="shared" si="21"/>
        <v>70.705142919892722</v>
      </c>
      <c r="S164" s="125">
        <f t="shared" si="22"/>
        <v>-2.2948570801072776</v>
      </c>
      <c r="T164" s="144">
        <f t="shared" si="26"/>
        <v>0</v>
      </c>
      <c r="V164" s="12"/>
    </row>
    <row r="165" spans="1:22" x14ac:dyDescent="0.25">
      <c r="A165" s="49">
        <f>'A) Base RI'!A166</f>
        <v>5669</v>
      </c>
      <c r="B165" s="352" t="str">
        <f>'A) Base RI'!B166</f>
        <v>Curtilles</v>
      </c>
      <c r="C165" s="404">
        <v>130193.63956479335</v>
      </c>
      <c r="D165" s="404">
        <v>-23202.475862588588</v>
      </c>
      <c r="E165" s="390">
        <v>0</v>
      </c>
      <c r="F165" s="390">
        <v>0</v>
      </c>
      <c r="G165" s="390">
        <v>0</v>
      </c>
      <c r="H165" s="404">
        <f t="shared" si="25"/>
        <v>106991.16370220477</v>
      </c>
      <c r="I165" s="405">
        <v>7730.4977240355793</v>
      </c>
      <c r="J165" s="356">
        <f>'B) D RI'!U166</f>
        <v>9981.2313977454014</v>
      </c>
      <c r="K165" s="62">
        <f t="shared" si="23"/>
        <v>13.840139085682543</v>
      </c>
      <c r="L165" s="33">
        <f>'B) D RI'!S166</f>
        <v>75</v>
      </c>
      <c r="M165" s="33">
        <f t="shared" si="18"/>
        <v>61.159860914317456</v>
      </c>
      <c r="N165" s="33">
        <f>'J) Plafonnement effort'!G164+'J) Plafonnement effort'!I164-'K) Plafonnement aide'!I164</f>
        <v>22.321810994490992</v>
      </c>
      <c r="O165" s="125">
        <f t="shared" si="19"/>
        <v>83.481671908808451</v>
      </c>
      <c r="P165" s="47">
        <f t="shared" si="20"/>
        <v>0</v>
      </c>
      <c r="Q165" s="55">
        <f t="shared" si="24"/>
        <v>0</v>
      </c>
      <c r="R165" s="145">
        <f t="shared" si="21"/>
        <v>83.481671908808451</v>
      </c>
      <c r="S165" s="125">
        <f t="shared" si="22"/>
        <v>8.4816719088084511</v>
      </c>
      <c r="T165" s="144">
        <f t="shared" si="26"/>
        <v>0</v>
      </c>
      <c r="V165" s="12"/>
    </row>
    <row r="166" spans="1:22" x14ac:dyDescent="0.25">
      <c r="A166" s="49">
        <f>'A) Base RI'!A167</f>
        <v>5671</v>
      </c>
      <c r="B166" s="352" t="str">
        <f>'A) Base RI'!B167</f>
        <v>Dompierre</v>
      </c>
      <c r="C166" s="404">
        <v>111320.32264062784</v>
      </c>
      <c r="D166" s="404">
        <v>-23185.003584715523</v>
      </c>
      <c r="E166" s="390">
        <v>0</v>
      </c>
      <c r="F166" s="390">
        <v>0</v>
      </c>
      <c r="G166" s="390">
        <v>0</v>
      </c>
      <c r="H166" s="404">
        <f t="shared" si="25"/>
        <v>88135.319055912318</v>
      </c>
      <c r="I166" s="405">
        <v>6107.4315082005251</v>
      </c>
      <c r="J166" s="356">
        <f>'B) D RI'!U167</f>
        <v>6546.2666570185083</v>
      </c>
      <c r="K166" s="62">
        <f t="shared" si="23"/>
        <v>14.430832165300899</v>
      </c>
      <c r="L166" s="33">
        <f>'B) D RI'!S167</f>
        <v>80</v>
      </c>
      <c r="M166" s="33">
        <f t="shared" ref="M166:M217" si="27">L166-K166</f>
        <v>65.569167834699101</v>
      </c>
      <c r="N166" s="33">
        <f>'J) Plafonnement effort'!G165+'J) Plafonnement effort'!I165-'K) Plafonnement aide'!I165</f>
        <v>12.37091913558127</v>
      </c>
      <c r="O166" s="125">
        <f t="shared" ref="O166:O217" si="28">M166+N166</f>
        <v>77.940086970280376</v>
      </c>
      <c r="P166" s="47">
        <f t="shared" ref="P166:P217" si="29">IF(O166&gt;$P$5,$P$5-O166,0)</f>
        <v>0</v>
      </c>
      <c r="Q166" s="55">
        <f t="shared" si="24"/>
        <v>0</v>
      </c>
      <c r="R166" s="145">
        <f t="shared" ref="R166:R217" si="30">O166+P166</f>
        <v>77.940086970280376</v>
      </c>
      <c r="S166" s="125">
        <f t="shared" ref="S166:S217" si="31">R166-L166</f>
        <v>-2.059913029719624</v>
      </c>
      <c r="T166" s="144">
        <f t="shared" si="26"/>
        <v>0</v>
      </c>
      <c r="V166" s="12"/>
    </row>
    <row r="167" spans="1:22" x14ac:dyDescent="0.25">
      <c r="A167" s="49">
        <f>'A) Base RI'!A168</f>
        <v>5673</v>
      </c>
      <c r="B167" s="352" t="str">
        <f>'A) Base RI'!B168</f>
        <v>Hermenches</v>
      </c>
      <c r="C167" s="404">
        <v>155769.09022446431</v>
      </c>
      <c r="D167" s="404">
        <v>-14808.784140612639</v>
      </c>
      <c r="E167" s="390">
        <v>0</v>
      </c>
      <c r="F167" s="390">
        <v>0</v>
      </c>
      <c r="G167" s="390">
        <v>0</v>
      </c>
      <c r="H167" s="404">
        <f t="shared" si="25"/>
        <v>140960.30608385167</v>
      </c>
      <c r="I167" s="405">
        <v>9275.5467189326828</v>
      </c>
      <c r="J167" s="356">
        <f>'B) D RI'!U168</f>
        <v>9911.4858119507371</v>
      </c>
      <c r="K167" s="62">
        <f t="shared" ref="K167:K219" si="32">H167/I167</f>
        <v>15.196980874036464</v>
      </c>
      <c r="L167" s="33">
        <f>'B) D RI'!S168</f>
        <v>75</v>
      </c>
      <c r="M167" s="33">
        <f t="shared" si="27"/>
        <v>59.803019125963537</v>
      </c>
      <c r="N167" s="33">
        <f>'J) Plafonnement effort'!G166+'J) Plafonnement effort'!I166-'K) Plafonnement aide'!I166</f>
        <v>8.0649497174158498</v>
      </c>
      <c r="O167" s="125">
        <f t="shared" si="28"/>
        <v>67.867968843379387</v>
      </c>
      <c r="P167" s="47">
        <f t="shared" si="29"/>
        <v>0</v>
      </c>
      <c r="Q167" s="55">
        <f t="shared" ref="Q167:Q220" si="33">P167*J167</f>
        <v>0</v>
      </c>
      <c r="R167" s="145">
        <f t="shared" si="30"/>
        <v>67.867968843379387</v>
      </c>
      <c r="S167" s="125">
        <f t="shared" si="31"/>
        <v>-7.1320311566206129</v>
      </c>
      <c r="T167" s="144">
        <f t="shared" si="26"/>
        <v>0</v>
      </c>
      <c r="V167" s="12"/>
    </row>
    <row r="168" spans="1:22" x14ac:dyDescent="0.25">
      <c r="A168" s="49">
        <f>'A) Base RI'!A169</f>
        <v>5674</v>
      </c>
      <c r="B168" s="352" t="str">
        <f>'A) Base RI'!B169</f>
        <v>Lovatens</v>
      </c>
      <c r="C168" s="404">
        <v>63962.829548243259</v>
      </c>
      <c r="D168" s="404">
        <v>-25064.788557423948</v>
      </c>
      <c r="E168" s="390">
        <v>0</v>
      </c>
      <c r="F168" s="390">
        <v>0</v>
      </c>
      <c r="G168" s="390">
        <v>0</v>
      </c>
      <c r="H168" s="404">
        <f t="shared" si="25"/>
        <v>38898.040990819311</v>
      </c>
      <c r="I168" s="405">
        <v>3271.992985930126</v>
      </c>
      <c r="J168" s="356">
        <f>'B) D RI'!U169</f>
        <v>3212.7201333333333</v>
      </c>
      <c r="K168" s="62">
        <f t="shared" si="32"/>
        <v>11.888179821315175</v>
      </c>
      <c r="L168" s="33">
        <f>'B) D RI'!S169</f>
        <v>75</v>
      </c>
      <c r="M168" s="33">
        <f t="shared" si="27"/>
        <v>63.111820178684823</v>
      </c>
      <c r="N168" s="33">
        <f>'J) Plafonnement effort'!G167+'J) Plafonnement effort'!I167-'K) Plafonnement aide'!I167</f>
        <v>4.9048950884687779</v>
      </c>
      <c r="O168" s="125">
        <f t="shared" si="28"/>
        <v>68.0167152671536</v>
      </c>
      <c r="P168" s="47">
        <f t="shared" si="29"/>
        <v>0</v>
      </c>
      <c r="Q168" s="55">
        <f t="shared" si="33"/>
        <v>0</v>
      </c>
      <c r="R168" s="145">
        <f t="shared" si="30"/>
        <v>68.0167152671536</v>
      </c>
      <c r="S168" s="125">
        <f t="shared" si="31"/>
        <v>-6.9832847328463998</v>
      </c>
      <c r="T168" s="144">
        <f t="shared" si="26"/>
        <v>0</v>
      </c>
      <c r="V168" s="12"/>
    </row>
    <row r="169" spans="1:22" x14ac:dyDescent="0.25">
      <c r="A169" s="49">
        <f>'A) Base RI'!A170</f>
        <v>5675</v>
      </c>
      <c r="B169" s="352" t="str">
        <f>'A) Base RI'!B170</f>
        <v>Lucens</v>
      </c>
      <c r="C169" s="404">
        <v>1733695.0063004743</v>
      </c>
      <c r="D169" s="404">
        <v>-1451538.0374590531</v>
      </c>
      <c r="E169" s="390">
        <v>0</v>
      </c>
      <c r="F169" s="390">
        <v>0</v>
      </c>
      <c r="G169" s="390">
        <v>0</v>
      </c>
      <c r="H169" s="404">
        <f t="shared" si="25"/>
        <v>282156.96884142119</v>
      </c>
      <c r="I169" s="405">
        <v>90143.04189619486</v>
      </c>
      <c r="J169" s="356">
        <f>'B) D RI'!U170</f>
        <v>97171.957057014763</v>
      </c>
      <c r="K169" s="62">
        <f t="shared" ref="K169" si="34">H169/I169</f>
        <v>3.1301025892419063</v>
      </c>
      <c r="L169" s="33">
        <f>'B) D RI'!S170</f>
        <v>69</v>
      </c>
      <c r="M169" s="33">
        <f t="shared" ref="M169" si="35">L169-K169</f>
        <v>65.869897410758099</v>
      </c>
      <c r="N169" s="33">
        <f>'J) Plafonnement effort'!G168+'J) Plafonnement effort'!I168-'K) Plafonnement aide'!I168</f>
        <v>1.3241222815079778</v>
      </c>
      <c r="O169" s="125">
        <f t="shared" ref="O169" si="36">M169+N169</f>
        <v>67.194019692266082</v>
      </c>
      <c r="P169" s="47">
        <f t="shared" ref="P169" si="37">IF(O169&gt;$P$5,$P$5-O169,0)</f>
        <v>0</v>
      </c>
      <c r="Q169" s="55">
        <f t="shared" ref="Q169" si="38">P169*J169</f>
        <v>0</v>
      </c>
      <c r="R169" s="145">
        <f t="shared" ref="R169" si="39">O169+P169</f>
        <v>67.194019692266082</v>
      </c>
      <c r="S169" s="125">
        <f t="shared" ref="S169" si="40">R169-L169</f>
        <v>-1.8059803077339183</v>
      </c>
      <c r="T169" s="144">
        <f t="shared" si="26"/>
        <v>0</v>
      </c>
      <c r="V169" s="12"/>
    </row>
    <row r="170" spans="1:22" x14ac:dyDescent="0.25">
      <c r="A170" s="49">
        <f>'A) Base RI'!A171</f>
        <v>5678</v>
      </c>
      <c r="B170" s="352" t="str">
        <f>'A) Base RI'!B171</f>
        <v>Moudon</v>
      </c>
      <c r="C170" s="404">
        <v>2198491.0695902724</v>
      </c>
      <c r="D170" s="404">
        <v>-3717763.4918992333</v>
      </c>
      <c r="E170" s="390">
        <v>593254.31860651355</v>
      </c>
      <c r="F170" s="390">
        <v>0</v>
      </c>
      <c r="G170" s="390">
        <v>0</v>
      </c>
      <c r="H170" s="404">
        <f t="shared" si="25"/>
        <v>-926018.10370244738</v>
      </c>
      <c r="I170" s="405">
        <v>115752.26296280598</v>
      </c>
      <c r="J170" s="356">
        <f>'B) D RI'!U171</f>
        <v>124990.90700543707</v>
      </c>
      <c r="K170" s="62">
        <f t="shared" si="32"/>
        <v>-7.9999999999999956</v>
      </c>
      <c r="L170" s="33">
        <f>'B) D RI'!S171</f>
        <v>75</v>
      </c>
      <c r="M170" s="33">
        <f t="shared" si="27"/>
        <v>83</v>
      </c>
      <c r="N170" s="33">
        <f>'J) Plafonnement effort'!G169+'J) Plafonnement effort'!I169-'K) Plafonnement aide'!I169</f>
        <v>-14.996602956314039</v>
      </c>
      <c r="O170" s="125">
        <f t="shared" si="28"/>
        <v>68.003397043685965</v>
      </c>
      <c r="P170" s="47">
        <f t="shared" si="29"/>
        <v>0</v>
      </c>
      <c r="Q170" s="55">
        <f t="shared" si="33"/>
        <v>0</v>
      </c>
      <c r="R170" s="145">
        <f t="shared" si="30"/>
        <v>68.003397043685965</v>
      </c>
      <c r="S170" s="125">
        <f t="shared" si="31"/>
        <v>-6.9966029563140353</v>
      </c>
      <c r="T170" s="144">
        <f t="shared" si="26"/>
        <v>0</v>
      </c>
      <c r="V170" s="12"/>
    </row>
    <row r="171" spans="1:22" x14ac:dyDescent="0.25">
      <c r="A171" s="49">
        <f>'A) Base RI'!A172</f>
        <v>5680</v>
      </c>
      <c r="B171" s="352" t="str">
        <f>'A) Base RI'!B172</f>
        <v>Ogens</v>
      </c>
      <c r="C171" s="404">
        <v>127893.09698395421</v>
      </c>
      <c r="D171" s="404">
        <v>-75828.16135954186</v>
      </c>
      <c r="E171" s="390">
        <v>0</v>
      </c>
      <c r="F171" s="390">
        <v>0</v>
      </c>
      <c r="G171" s="390">
        <v>0</v>
      </c>
      <c r="H171" s="404">
        <f t="shared" si="25"/>
        <v>52064.935624412348</v>
      </c>
      <c r="I171" s="405">
        <v>6425.0974128432881</v>
      </c>
      <c r="J171" s="356">
        <f>'B) D RI'!U172</f>
        <v>6319.984442335237</v>
      </c>
      <c r="K171" s="62">
        <f t="shared" si="32"/>
        <v>8.1033690664889289</v>
      </c>
      <c r="L171" s="33">
        <f>'B) D RI'!S172</f>
        <v>78</v>
      </c>
      <c r="M171" s="33">
        <f t="shared" si="27"/>
        <v>69.896630933511076</v>
      </c>
      <c r="N171" s="33">
        <f>'J) Plafonnement effort'!G170+'J) Plafonnement effort'!I170-'K) Plafonnement aide'!I170</f>
        <v>2.8379546144651506</v>
      </c>
      <c r="O171" s="125">
        <f t="shared" si="28"/>
        <v>72.734585547976224</v>
      </c>
      <c r="P171" s="47">
        <f t="shared" si="29"/>
        <v>0</v>
      </c>
      <c r="Q171" s="55">
        <f t="shared" si="33"/>
        <v>0</v>
      </c>
      <c r="R171" s="145">
        <f t="shared" si="30"/>
        <v>72.734585547976224</v>
      </c>
      <c r="S171" s="125">
        <f t="shared" si="31"/>
        <v>-5.2654144520237764</v>
      </c>
      <c r="T171" s="144">
        <f t="shared" si="26"/>
        <v>0</v>
      </c>
      <c r="V171" s="12"/>
    </row>
    <row r="172" spans="1:22" x14ac:dyDescent="0.25">
      <c r="A172" s="49">
        <f>'A) Base RI'!A173</f>
        <v>5683</v>
      </c>
      <c r="B172" s="352" t="str">
        <f>'A) Base RI'!B173</f>
        <v>Prévonloup</v>
      </c>
      <c r="C172" s="404">
        <v>71811.515724973113</v>
      </c>
      <c r="D172" s="404">
        <v>-45288.594298680473</v>
      </c>
      <c r="E172" s="390">
        <v>0</v>
      </c>
      <c r="F172" s="390">
        <v>0</v>
      </c>
      <c r="G172" s="390">
        <v>0</v>
      </c>
      <c r="H172" s="404">
        <f t="shared" si="25"/>
        <v>26522.92142629264</v>
      </c>
      <c r="I172" s="405">
        <v>3739.7592858383009</v>
      </c>
      <c r="J172" s="356">
        <f>'B) D RI'!U173</f>
        <v>4554.1237837837825</v>
      </c>
      <c r="K172" s="62">
        <f t="shared" si="32"/>
        <v>7.0921466862130638</v>
      </c>
      <c r="L172" s="33">
        <f>'B) D RI'!S173</f>
        <v>74</v>
      </c>
      <c r="M172" s="33">
        <f t="shared" si="27"/>
        <v>66.90785331378693</v>
      </c>
      <c r="N172" s="33">
        <f>'J) Plafonnement effort'!G171+'J) Plafonnement effort'!I171-'K) Plafonnement aide'!I171</f>
        <v>5.0942147594906828</v>
      </c>
      <c r="O172" s="125">
        <f t="shared" si="28"/>
        <v>72.002068073277613</v>
      </c>
      <c r="P172" s="47">
        <f t="shared" si="29"/>
        <v>0</v>
      </c>
      <c r="Q172" s="55">
        <f t="shared" si="33"/>
        <v>0</v>
      </c>
      <c r="R172" s="145">
        <f t="shared" si="30"/>
        <v>72.002068073277613</v>
      </c>
      <c r="S172" s="125">
        <f t="shared" si="31"/>
        <v>-1.9979319267223872</v>
      </c>
      <c r="T172" s="144">
        <f t="shared" si="26"/>
        <v>0</v>
      </c>
      <c r="V172" s="12"/>
    </row>
    <row r="173" spans="1:22" x14ac:dyDescent="0.25">
      <c r="A173" s="49">
        <f>'A) Base RI'!A174</f>
        <v>5684</v>
      </c>
      <c r="B173" s="352" t="str">
        <f>'A) Base RI'!B174</f>
        <v>Rossenges</v>
      </c>
      <c r="C173" s="404">
        <v>36152.044962176049</v>
      </c>
      <c r="D173" s="404">
        <v>10306.544960470579</v>
      </c>
      <c r="E173" s="390">
        <v>0</v>
      </c>
      <c r="F173" s="390">
        <v>0</v>
      </c>
      <c r="G173" s="390">
        <v>0</v>
      </c>
      <c r="H173" s="404">
        <f t="shared" si="25"/>
        <v>46458.589922646628</v>
      </c>
      <c r="I173" s="405">
        <v>1960.0054491323369</v>
      </c>
      <c r="J173" s="356">
        <f>'B) D RI'!U174</f>
        <v>3099.5946967890927</v>
      </c>
      <c r="K173" s="62">
        <f t="shared" si="32"/>
        <v>23.703296306249097</v>
      </c>
      <c r="L173" s="33">
        <f>'B) D RI'!S174</f>
        <v>75</v>
      </c>
      <c r="M173" s="33">
        <f t="shared" si="27"/>
        <v>51.296703693750899</v>
      </c>
      <c r="N173" s="33">
        <f>'J) Plafonnement effort'!G172+'J) Plafonnement effort'!I172-'K) Plafonnement aide'!I172</f>
        <v>22.434532913925516</v>
      </c>
      <c r="O173" s="125">
        <f t="shared" si="28"/>
        <v>73.731236607676408</v>
      </c>
      <c r="P173" s="47">
        <f t="shared" si="29"/>
        <v>0</v>
      </c>
      <c r="Q173" s="55">
        <f t="shared" si="33"/>
        <v>0</v>
      </c>
      <c r="R173" s="145">
        <f t="shared" si="30"/>
        <v>73.731236607676408</v>
      </c>
      <c r="S173" s="125">
        <f t="shared" si="31"/>
        <v>-1.2687633923235921</v>
      </c>
      <c r="T173" s="144">
        <f t="shared" si="26"/>
        <v>0</v>
      </c>
      <c r="V173" s="12"/>
    </row>
    <row r="174" spans="1:22" x14ac:dyDescent="0.25">
      <c r="A174" s="49">
        <f>'A) Base RI'!A175</f>
        <v>5688</v>
      </c>
      <c r="B174" s="352" t="str">
        <f>'A) Base RI'!B175</f>
        <v>Syens</v>
      </c>
      <c r="C174" s="404">
        <v>75715.126077520807</v>
      </c>
      <c r="D174" s="404">
        <v>-19836.134624405517</v>
      </c>
      <c r="E174" s="390">
        <v>0</v>
      </c>
      <c r="F174" s="390">
        <v>0</v>
      </c>
      <c r="G174" s="390">
        <v>0</v>
      </c>
      <c r="H174" s="404">
        <f t="shared" si="25"/>
        <v>55878.99145311529</v>
      </c>
      <c r="I174" s="405">
        <v>3766.5702445621059</v>
      </c>
      <c r="J174" s="356">
        <f>'B) D RI'!U175</f>
        <v>2722.3146828511958</v>
      </c>
      <c r="K174" s="62">
        <f t="shared" si="32"/>
        <v>14.835510245372225</v>
      </c>
      <c r="L174" s="33">
        <f>'B) D RI'!S175</f>
        <v>75.599999999999994</v>
      </c>
      <c r="M174" s="33">
        <f t="shared" si="27"/>
        <v>60.764489754627768</v>
      </c>
      <c r="N174" s="33">
        <f>'J) Plafonnement effort'!G173+'J) Plafonnement effort'!I173-'K) Plafonnement aide'!I173</f>
        <v>-22.955513272178486</v>
      </c>
      <c r="O174" s="125">
        <f t="shared" si="28"/>
        <v>37.808976482449282</v>
      </c>
      <c r="P174" s="47">
        <f t="shared" si="29"/>
        <v>0</v>
      </c>
      <c r="Q174" s="55">
        <f t="shared" si="33"/>
        <v>0</v>
      </c>
      <c r="R174" s="145">
        <f t="shared" si="30"/>
        <v>37.808976482449282</v>
      </c>
      <c r="S174" s="125">
        <f t="shared" si="31"/>
        <v>-37.791023517550713</v>
      </c>
      <c r="T174" s="144">
        <f t="shared" si="26"/>
        <v>0</v>
      </c>
      <c r="V174" s="12"/>
    </row>
    <row r="175" spans="1:22" x14ac:dyDescent="0.25">
      <c r="A175" s="49">
        <f>'A) Base RI'!A176</f>
        <v>5690</v>
      </c>
      <c r="B175" s="352" t="str">
        <f>'A) Base RI'!B176</f>
        <v>Villars-le-Comte</v>
      </c>
      <c r="C175" s="404">
        <v>67757.919052899626</v>
      </c>
      <c r="D175" s="404">
        <v>29955.323473566561</v>
      </c>
      <c r="E175" s="390">
        <v>0</v>
      </c>
      <c r="F175" s="390">
        <v>0</v>
      </c>
      <c r="G175" s="390">
        <v>0</v>
      </c>
      <c r="H175" s="404">
        <f t="shared" si="25"/>
        <v>97713.242526466187</v>
      </c>
      <c r="I175" s="405">
        <v>4066.8729144140357</v>
      </c>
      <c r="J175" s="356">
        <f>'B) D RI'!U176</f>
        <v>3015.9771931576993</v>
      </c>
      <c r="K175" s="62">
        <f t="shared" si="32"/>
        <v>24.026627972599172</v>
      </c>
      <c r="L175" s="33">
        <f>'B) D RI'!S176</f>
        <v>70</v>
      </c>
      <c r="M175" s="33">
        <f t="shared" si="27"/>
        <v>45.973372027400828</v>
      </c>
      <c r="N175" s="33">
        <f>'J) Plafonnement effort'!G174+'J) Plafonnement effort'!I174-'K) Plafonnement aide'!I174</f>
        <v>17.158055618039207</v>
      </c>
      <c r="O175" s="125">
        <f t="shared" si="28"/>
        <v>63.131427645440034</v>
      </c>
      <c r="P175" s="47">
        <f t="shared" si="29"/>
        <v>0</v>
      </c>
      <c r="Q175" s="55">
        <f t="shared" si="33"/>
        <v>0</v>
      </c>
      <c r="R175" s="145">
        <f t="shared" si="30"/>
        <v>63.131427645440034</v>
      </c>
      <c r="S175" s="125">
        <f t="shared" si="31"/>
        <v>-6.8685723545599657</v>
      </c>
      <c r="T175" s="144">
        <f t="shared" si="26"/>
        <v>0</v>
      </c>
      <c r="V175" s="12"/>
    </row>
    <row r="176" spans="1:22" x14ac:dyDescent="0.25">
      <c r="A176" s="49">
        <f>'A) Base RI'!A177</f>
        <v>5692</v>
      </c>
      <c r="B176" s="352" t="str">
        <f>'A) Base RI'!B177</f>
        <v>Vucherens</v>
      </c>
      <c r="C176" s="404">
        <v>328128.6166088896</v>
      </c>
      <c r="D176" s="404">
        <v>15875.208281032683</v>
      </c>
      <c r="E176" s="390">
        <v>0</v>
      </c>
      <c r="F176" s="390">
        <v>0</v>
      </c>
      <c r="G176" s="390">
        <v>0</v>
      </c>
      <c r="H176" s="404">
        <f t="shared" si="25"/>
        <v>344003.82488992228</v>
      </c>
      <c r="I176" s="405">
        <v>16181.962340912567</v>
      </c>
      <c r="J176" s="356">
        <f>'B) D RI'!U177</f>
        <v>15976.51835443038</v>
      </c>
      <c r="K176" s="62">
        <f t="shared" si="32"/>
        <v>21.258473950355423</v>
      </c>
      <c r="L176" s="33">
        <f>'B) D RI'!S177</f>
        <v>79</v>
      </c>
      <c r="M176" s="33">
        <f t="shared" si="27"/>
        <v>57.741526049644577</v>
      </c>
      <c r="N176" s="33">
        <f>'J) Plafonnement effort'!G175+'J) Plafonnement effort'!I175-'K) Plafonnement aide'!I175</f>
        <v>12.971706764712287</v>
      </c>
      <c r="O176" s="125">
        <f t="shared" si="28"/>
        <v>70.713232814356871</v>
      </c>
      <c r="P176" s="47">
        <f t="shared" si="29"/>
        <v>0</v>
      </c>
      <c r="Q176" s="55">
        <f t="shared" si="33"/>
        <v>0</v>
      </c>
      <c r="R176" s="145">
        <f t="shared" si="30"/>
        <v>70.713232814356871</v>
      </c>
      <c r="S176" s="125">
        <f t="shared" si="31"/>
        <v>-8.2867671856431286</v>
      </c>
      <c r="T176" s="144">
        <f t="shared" si="26"/>
        <v>0</v>
      </c>
      <c r="V176" s="12"/>
    </row>
    <row r="177" spans="1:22" x14ac:dyDescent="0.25">
      <c r="A177" s="49">
        <f>'A) Base RI'!A178</f>
        <v>5693</v>
      </c>
      <c r="B177" s="352" t="str">
        <f>'A) Base RI'!B178</f>
        <v>Montanaire</v>
      </c>
      <c r="C177" s="404">
        <v>1235604.3279965213</v>
      </c>
      <c r="D177" s="404">
        <v>-365416.01620154758</v>
      </c>
      <c r="E177" s="390">
        <v>0</v>
      </c>
      <c r="F177" s="390">
        <v>0</v>
      </c>
      <c r="G177" s="390">
        <v>0</v>
      </c>
      <c r="H177" s="404">
        <f t="shared" si="25"/>
        <v>870188.31179497368</v>
      </c>
      <c r="I177" s="405">
        <v>69189.830336889005</v>
      </c>
      <c r="J177" s="356">
        <f>'B) D RI'!U178</f>
        <v>70480.928098220116</v>
      </c>
      <c r="K177" s="62">
        <f>H177/I177</f>
        <v>12.576823899668202</v>
      </c>
      <c r="L177" s="33">
        <f>'B) D RI'!S178</f>
        <v>72</v>
      </c>
      <c r="M177" s="33">
        <f>L177-K177</f>
        <v>59.423176100331801</v>
      </c>
      <c r="N177" s="33">
        <f>'J) Plafonnement effort'!G176+'J) Plafonnement effort'!I176-'K) Plafonnement aide'!I176</f>
        <v>3.273386259940656</v>
      </c>
      <c r="O177" s="125">
        <f>M177+N177</f>
        <v>62.696562360272459</v>
      </c>
      <c r="P177" s="47">
        <f t="shared" si="29"/>
        <v>0</v>
      </c>
      <c r="Q177" s="55">
        <f>P177*J177</f>
        <v>0</v>
      </c>
      <c r="R177" s="145">
        <f>O177+P177</f>
        <v>62.696562360272459</v>
      </c>
      <c r="S177" s="125">
        <f>R177-L177</f>
        <v>-9.3034376397275409</v>
      </c>
      <c r="T177" s="144">
        <f t="shared" si="26"/>
        <v>0</v>
      </c>
      <c r="V177" s="12"/>
    </row>
    <row r="178" spans="1:22" x14ac:dyDescent="0.25">
      <c r="A178" s="49">
        <f>'A) Base RI'!A179</f>
        <v>5701</v>
      </c>
      <c r="B178" s="352" t="str">
        <f>'A) Base RI'!B179</f>
        <v>Arnex-sur-Nyon</v>
      </c>
      <c r="C178" s="404">
        <v>330111.07368018973</v>
      </c>
      <c r="D178" s="404">
        <v>244349.84173070182</v>
      </c>
      <c r="E178" s="390">
        <v>0</v>
      </c>
      <c r="F178" s="390">
        <v>0</v>
      </c>
      <c r="G178" s="390">
        <v>0</v>
      </c>
      <c r="H178" s="404">
        <f t="shared" si="25"/>
        <v>574460.91541089152</v>
      </c>
      <c r="I178" s="405">
        <v>13494.151628023246</v>
      </c>
      <c r="J178" s="356">
        <f>'B) D RI'!U179</f>
        <v>12114.196611371119</v>
      </c>
      <c r="K178" s="62">
        <f>H178/I178</f>
        <v>42.571102744829915</v>
      </c>
      <c r="L178" s="33">
        <f>'B) D RI'!S179</f>
        <v>70</v>
      </c>
      <c r="M178" s="33">
        <f>L178-K178</f>
        <v>27.428897255170085</v>
      </c>
      <c r="N178" s="33">
        <f>'J) Plafonnement effort'!G177+'J) Plafonnement effort'!I177-'K) Plafonnement aide'!I177</f>
        <v>22.416949088789487</v>
      </c>
      <c r="O178" s="125">
        <f>M178+N178</f>
        <v>49.845846343959572</v>
      </c>
      <c r="P178" s="47">
        <f t="shared" si="29"/>
        <v>0</v>
      </c>
      <c r="Q178" s="55">
        <f>P178*J178</f>
        <v>0</v>
      </c>
      <c r="R178" s="145">
        <f>O178+P178</f>
        <v>49.845846343959572</v>
      </c>
      <c r="S178" s="125">
        <f>R178-L178</f>
        <v>-20.154153656040428</v>
      </c>
      <c r="T178" s="144">
        <f t="shared" si="26"/>
        <v>0</v>
      </c>
      <c r="V178" s="12"/>
    </row>
    <row r="179" spans="1:22" x14ac:dyDescent="0.25">
      <c r="A179" s="49">
        <f>'A) Base RI'!A180</f>
        <v>5702</v>
      </c>
      <c r="B179" s="352" t="str">
        <f>'A) Base RI'!B180</f>
        <v>Arzier-Le Muids</v>
      </c>
      <c r="C179" s="404">
        <v>4295653.5206382824</v>
      </c>
      <c r="D179" s="404">
        <v>2855295.2744334806</v>
      </c>
      <c r="E179" s="390">
        <v>0</v>
      </c>
      <c r="F179" s="390">
        <v>0</v>
      </c>
      <c r="G179" s="390">
        <v>0</v>
      </c>
      <c r="H179" s="404">
        <f t="shared" si="25"/>
        <v>7150948.795071763</v>
      </c>
      <c r="I179" s="405">
        <v>176187.34911477199</v>
      </c>
      <c r="J179" s="356">
        <f>'B) D RI'!U180</f>
        <v>174460.56839607147</v>
      </c>
      <c r="K179" s="62">
        <f t="shared" si="32"/>
        <v>40.587186486434341</v>
      </c>
      <c r="L179" s="33">
        <f>'B) D RI'!S180</f>
        <v>64</v>
      </c>
      <c r="M179" s="33">
        <f t="shared" si="27"/>
        <v>23.412813513565659</v>
      </c>
      <c r="N179" s="33">
        <f>'J) Plafonnement effort'!G178+'J) Plafonnement effort'!I178-'K) Plafonnement aide'!I178</f>
        <v>37.029701440007933</v>
      </c>
      <c r="O179" s="125">
        <f t="shared" si="28"/>
        <v>60.442514953573593</v>
      </c>
      <c r="P179" s="47">
        <f t="shared" si="29"/>
        <v>0</v>
      </c>
      <c r="Q179" s="55">
        <f t="shared" si="33"/>
        <v>0</v>
      </c>
      <c r="R179" s="145">
        <f t="shared" si="30"/>
        <v>60.442514953573593</v>
      </c>
      <c r="S179" s="125">
        <f t="shared" si="31"/>
        <v>-3.5574850464264074</v>
      </c>
      <c r="T179" s="144">
        <f t="shared" si="26"/>
        <v>0</v>
      </c>
      <c r="V179" s="12"/>
    </row>
    <row r="180" spans="1:22" x14ac:dyDescent="0.25">
      <c r="A180" s="49">
        <f>'A) Base RI'!A181</f>
        <v>5703</v>
      </c>
      <c r="B180" s="352" t="str">
        <f>'A) Base RI'!B181</f>
        <v>Bassins</v>
      </c>
      <c r="C180" s="404">
        <v>1048759.294302532</v>
      </c>
      <c r="D180" s="404">
        <v>764836.99005729542</v>
      </c>
      <c r="E180" s="390">
        <v>0</v>
      </c>
      <c r="F180" s="390">
        <v>0</v>
      </c>
      <c r="G180" s="390">
        <v>0</v>
      </c>
      <c r="H180" s="404">
        <f t="shared" si="25"/>
        <v>1813596.2843598274</v>
      </c>
      <c r="I180" s="405">
        <v>55300.638649310058</v>
      </c>
      <c r="J180" s="356">
        <f>'B) D RI'!U181</f>
        <v>58935.560453684549</v>
      </c>
      <c r="K180" s="62">
        <f t="shared" si="32"/>
        <v>32.795214099800532</v>
      </c>
      <c r="L180" s="33">
        <f>'B) D RI'!S181</f>
        <v>74</v>
      </c>
      <c r="M180" s="33">
        <f t="shared" si="27"/>
        <v>41.204785900199468</v>
      </c>
      <c r="N180" s="33">
        <f>'J) Plafonnement effort'!G179+'J) Plafonnement effort'!I179-'K) Plafonnement aide'!I179</f>
        <v>25.772214421663069</v>
      </c>
      <c r="O180" s="125">
        <f t="shared" si="28"/>
        <v>66.977000321862533</v>
      </c>
      <c r="P180" s="47">
        <f t="shared" si="29"/>
        <v>0</v>
      </c>
      <c r="Q180" s="55">
        <f t="shared" si="33"/>
        <v>0</v>
      </c>
      <c r="R180" s="145">
        <f t="shared" si="30"/>
        <v>66.977000321862533</v>
      </c>
      <c r="S180" s="125">
        <f t="shared" si="31"/>
        <v>-7.0229996781374666</v>
      </c>
      <c r="T180" s="144">
        <f t="shared" si="26"/>
        <v>0</v>
      </c>
      <c r="V180" s="12"/>
    </row>
    <row r="181" spans="1:22" x14ac:dyDescent="0.25">
      <c r="A181" s="49">
        <f>'A) Base RI'!A182</f>
        <v>5704</v>
      </c>
      <c r="B181" s="352" t="str">
        <f>'A) Base RI'!B182</f>
        <v>Begnins</v>
      </c>
      <c r="C181" s="404">
        <v>3063555.8849390666</v>
      </c>
      <c r="D181" s="404">
        <v>2025559.1915091174</v>
      </c>
      <c r="E181" s="390">
        <v>0</v>
      </c>
      <c r="F181" s="390">
        <v>0</v>
      </c>
      <c r="G181" s="390">
        <v>0</v>
      </c>
      <c r="H181" s="404">
        <f t="shared" si="25"/>
        <v>5089115.0764481835</v>
      </c>
      <c r="I181" s="405">
        <v>122435.43857401636</v>
      </c>
      <c r="J181" s="356">
        <f>'B) D RI'!U182</f>
        <v>129508.82887740067</v>
      </c>
      <c r="K181" s="62">
        <f t="shared" si="32"/>
        <v>41.565703000047996</v>
      </c>
      <c r="L181" s="33">
        <f>'B) D RI'!S182</f>
        <v>64</v>
      </c>
      <c r="M181" s="33">
        <f t="shared" si="27"/>
        <v>22.434296999952004</v>
      </c>
      <c r="N181" s="33">
        <f>'J) Plafonnement effort'!G180+'J) Plafonnement effort'!I180-'K) Plafonnement aide'!I180</f>
        <v>39.070806703753306</v>
      </c>
      <c r="O181" s="125">
        <f t="shared" si="28"/>
        <v>61.505103703705309</v>
      </c>
      <c r="P181" s="47">
        <f t="shared" si="29"/>
        <v>0</v>
      </c>
      <c r="Q181" s="55">
        <f t="shared" si="33"/>
        <v>0</v>
      </c>
      <c r="R181" s="145">
        <f t="shared" si="30"/>
        <v>61.505103703705309</v>
      </c>
      <c r="S181" s="125">
        <f t="shared" si="31"/>
        <v>-2.4948962962946908</v>
      </c>
      <c r="T181" s="144">
        <f t="shared" si="26"/>
        <v>0</v>
      </c>
      <c r="V181" s="12"/>
    </row>
    <row r="182" spans="1:22" x14ac:dyDescent="0.25">
      <c r="A182" s="49">
        <f>'A) Base RI'!A183</f>
        <v>5705</v>
      </c>
      <c r="B182" s="352" t="str">
        <f>'A) Base RI'!B183</f>
        <v>Bogis-Bossey</v>
      </c>
      <c r="C182" s="404">
        <v>1102075.7806925485</v>
      </c>
      <c r="D182" s="404">
        <v>892819.12413311761</v>
      </c>
      <c r="E182" s="390">
        <v>0</v>
      </c>
      <c r="F182" s="390">
        <v>0</v>
      </c>
      <c r="G182" s="390">
        <v>0</v>
      </c>
      <c r="H182" s="404">
        <f t="shared" si="25"/>
        <v>1994894.904825666</v>
      </c>
      <c r="I182" s="405">
        <v>49357.057232158906</v>
      </c>
      <c r="J182" s="356">
        <f>'B) D RI'!U183</f>
        <v>47399.998914219243</v>
      </c>
      <c r="K182" s="62">
        <f t="shared" si="32"/>
        <v>40.417622457561741</v>
      </c>
      <c r="L182" s="33">
        <f>'B) D RI'!S183</f>
        <v>76</v>
      </c>
      <c r="M182" s="33">
        <f t="shared" si="27"/>
        <v>35.582377542438259</v>
      </c>
      <c r="N182" s="33">
        <f>'J) Plafonnement effort'!G181+'J) Plafonnement effort'!I181-'K) Plafonnement aide'!I181</f>
        <v>39.54587388766187</v>
      </c>
      <c r="O182" s="125">
        <f t="shared" si="28"/>
        <v>75.128251430100136</v>
      </c>
      <c r="P182" s="47">
        <f t="shared" si="29"/>
        <v>0</v>
      </c>
      <c r="Q182" s="55">
        <f t="shared" si="33"/>
        <v>0</v>
      </c>
      <c r="R182" s="145">
        <f t="shared" si="30"/>
        <v>75.128251430100136</v>
      </c>
      <c r="S182" s="125">
        <f t="shared" si="31"/>
        <v>-0.87174856989986438</v>
      </c>
      <c r="T182" s="144">
        <f t="shared" si="26"/>
        <v>0</v>
      </c>
      <c r="V182" s="12"/>
    </row>
    <row r="183" spans="1:22" x14ac:dyDescent="0.25">
      <c r="A183" s="49">
        <f>'A) Base RI'!A184</f>
        <v>5706</v>
      </c>
      <c r="B183" s="352" t="str">
        <f>'A) Base RI'!B184</f>
        <v>Borex</v>
      </c>
      <c r="C183" s="404">
        <v>1512148.2758560157</v>
      </c>
      <c r="D183" s="404">
        <v>1262476.9067244253</v>
      </c>
      <c r="E183" s="390">
        <v>0</v>
      </c>
      <c r="F183" s="390">
        <v>0</v>
      </c>
      <c r="G183" s="390">
        <v>0</v>
      </c>
      <c r="H183" s="404">
        <f t="shared" si="25"/>
        <v>2774625.1825804412</v>
      </c>
      <c r="I183" s="405">
        <v>70814.792156181808</v>
      </c>
      <c r="J183" s="356">
        <f>'B) D RI'!U184</f>
        <v>76732.339331916941</v>
      </c>
      <c r="K183" s="62">
        <f t="shared" si="32"/>
        <v>39.181435094252819</v>
      </c>
      <c r="L183" s="33">
        <f>'B) D RI'!S184</f>
        <v>58</v>
      </c>
      <c r="M183" s="33">
        <f t="shared" si="27"/>
        <v>18.818564905747181</v>
      </c>
      <c r="N183" s="33">
        <f>'J) Plafonnement effort'!G182+'J) Plafonnement effort'!I182-'K) Plafonnement aide'!I182</f>
        <v>39.114978732647913</v>
      </c>
      <c r="O183" s="125">
        <f t="shared" si="28"/>
        <v>57.933543638395093</v>
      </c>
      <c r="P183" s="47">
        <f t="shared" si="29"/>
        <v>0</v>
      </c>
      <c r="Q183" s="55">
        <f t="shared" si="33"/>
        <v>0</v>
      </c>
      <c r="R183" s="145">
        <f t="shared" si="30"/>
        <v>57.933543638395093</v>
      </c>
      <c r="S183" s="125">
        <f t="shared" si="31"/>
        <v>-6.6456361604906533E-2</v>
      </c>
      <c r="T183" s="144">
        <f t="shared" si="26"/>
        <v>0</v>
      </c>
      <c r="V183" s="12"/>
    </row>
    <row r="184" spans="1:22" x14ac:dyDescent="0.25">
      <c r="A184" s="49">
        <f>'A) Base RI'!A185</f>
        <v>5707</v>
      </c>
      <c r="B184" s="352" t="str">
        <f>'A) Base RI'!B185</f>
        <v>Chavannes-de-Bogis</v>
      </c>
      <c r="C184" s="404">
        <v>1838180.6925183372</v>
      </c>
      <c r="D184" s="404">
        <v>1297612.254642514</v>
      </c>
      <c r="E184" s="390">
        <v>0</v>
      </c>
      <c r="F184" s="390">
        <v>0</v>
      </c>
      <c r="G184" s="390">
        <v>0</v>
      </c>
      <c r="H184" s="404">
        <f t="shared" si="25"/>
        <v>3135792.9471608512</v>
      </c>
      <c r="I184" s="405">
        <v>74977.772605941107</v>
      </c>
      <c r="J184" s="356">
        <f>'B) D RI'!U185</f>
        <v>80433.672291066076</v>
      </c>
      <c r="K184" s="62">
        <f t="shared" si="32"/>
        <v>41.822967503203429</v>
      </c>
      <c r="L184" s="33">
        <f>'B) D RI'!S185</f>
        <v>59</v>
      </c>
      <c r="M184" s="33">
        <f t="shared" si="27"/>
        <v>17.177032496796571</v>
      </c>
      <c r="N184" s="33">
        <f>'J) Plafonnement effort'!G183+'J) Plafonnement effort'!I183-'K) Plafonnement aide'!I183</f>
        <v>39.66380241843212</v>
      </c>
      <c r="O184" s="125">
        <f t="shared" si="28"/>
        <v>56.84083491522869</v>
      </c>
      <c r="P184" s="47">
        <f t="shared" si="29"/>
        <v>0</v>
      </c>
      <c r="Q184" s="55">
        <f t="shared" si="33"/>
        <v>0</v>
      </c>
      <c r="R184" s="145">
        <f t="shared" si="30"/>
        <v>56.84083491522869</v>
      </c>
      <c r="S184" s="125">
        <f t="shared" si="31"/>
        <v>-2.1591650847713098</v>
      </c>
      <c r="T184" s="144">
        <f t="shared" si="26"/>
        <v>0</v>
      </c>
      <c r="V184" s="12"/>
    </row>
    <row r="185" spans="1:22" x14ac:dyDescent="0.25">
      <c r="A185" s="49">
        <f>'A) Base RI'!A186</f>
        <v>5708</v>
      </c>
      <c r="B185" s="352" t="str">
        <f>'A) Base RI'!B186</f>
        <v>Chavannes-des-Bois</v>
      </c>
      <c r="C185" s="404">
        <v>1257181.331445985</v>
      </c>
      <c r="D185" s="404">
        <v>1036616.0248376749</v>
      </c>
      <c r="E185" s="390">
        <v>0</v>
      </c>
      <c r="F185" s="390">
        <v>0</v>
      </c>
      <c r="G185" s="390">
        <v>0</v>
      </c>
      <c r="H185" s="404">
        <f t="shared" si="25"/>
        <v>2293797.35628366</v>
      </c>
      <c r="I185" s="405">
        <v>57043.960322475032</v>
      </c>
      <c r="J185" s="356">
        <f>'B) D RI'!U186</f>
        <v>64673.600200081586</v>
      </c>
      <c r="K185" s="62">
        <f t="shared" si="32"/>
        <v>40.211046766679615</v>
      </c>
      <c r="L185" s="33">
        <f>'B) D RI'!S186</f>
        <v>68</v>
      </c>
      <c r="M185" s="33">
        <f t="shared" si="27"/>
        <v>27.788953233320385</v>
      </c>
      <c r="N185" s="33">
        <f>'J) Plafonnement effort'!G184+'J) Plafonnement effort'!I184-'K) Plafonnement aide'!I184</f>
        <v>42.355425151395302</v>
      </c>
      <c r="O185" s="125">
        <f t="shared" si="28"/>
        <v>70.144378384715679</v>
      </c>
      <c r="P185" s="47">
        <f t="shared" si="29"/>
        <v>0</v>
      </c>
      <c r="Q185" s="55">
        <f t="shared" si="33"/>
        <v>0</v>
      </c>
      <c r="R185" s="145">
        <f t="shared" si="30"/>
        <v>70.144378384715679</v>
      </c>
      <c r="S185" s="125">
        <f t="shared" si="31"/>
        <v>2.1443783847156794</v>
      </c>
      <c r="T185" s="144">
        <f t="shared" si="26"/>
        <v>0</v>
      </c>
      <c r="V185" s="12"/>
    </row>
    <row r="186" spans="1:22" x14ac:dyDescent="0.25">
      <c r="A186" s="49">
        <f>'A) Base RI'!A187</f>
        <v>5709</v>
      </c>
      <c r="B186" s="352" t="str">
        <f>'A) Base RI'!B187</f>
        <v>Chéserex</v>
      </c>
      <c r="C186" s="404">
        <v>2772775.5696272999</v>
      </c>
      <c r="D186" s="404">
        <v>1948052.814265006</v>
      </c>
      <c r="E186" s="390">
        <v>0</v>
      </c>
      <c r="F186" s="390">
        <v>0</v>
      </c>
      <c r="G186" s="390">
        <v>0</v>
      </c>
      <c r="H186" s="404">
        <f t="shared" si="25"/>
        <v>4720828.3838923061</v>
      </c>
      <c r="I186" s="405">
        <v>106115.90679849937</v>
      </c>
      <c r="J186" s="356">
        <f>'B) D RI'!U187</f>
        <v>96665.564675304791</v>
      </c>
      <c r="K186" s="62">
        <f t="shared" si="32"/>
        <v>44.487471542382046</v>
      </c>
      <c r="L186" s="33">
        <f>'B) D RI'!S187</f>
        <v>57</v>
      </c>
      <c r="M186" s="33">
        <f t="shared" si="27"/>
        <v>12.512528457617954</v>
      </c>
      <c r="N186" s="33">
        <f>'J) Plafonnement effort'!G185+'J) Plafonnement effort'!I185-'K) Plafonnement aide'!I185</f>
        <v>43.095069481662776</v>
      </c>
      <c r="O186" s="125">
        <f t="shared" si="28"/>
        <v>55.60759793928073</v>
      </c>
      <c r="P186" s="47">
        <f t="shared" si="29"/>
        <v>0</v>
      </c>
      <c r="Q186" s="55">
        <f t="shared" si="33"/>
        <v>0</v>
      </c>
      <c r="R186" s="145">
        <f t="shared" si="30"/>
        <v>55.60759793928073</v>
      </c>
      <c r="S186" s="125">
        <f t="shared" si="31"/>
        <v>-1.3924020607192702</v>
      </c>
      <c r="T186" s="144">
        <f t="shared" si="26"/>
        <v>0</v>
      </c>
      <c r="V186" s="12"/>
    </row>
    <row r="187" spans="1:22" x14ac:dyDescent="0.25">
      <c r="A187" s="49">
        <f>'A) Base RI'!A188</f>
        <v>5710</v>
      </c>
      <c r="B187" s="352" t="str">
        <f>'A) Base RI'!B188</f>
        <v>Coinsins</v>
      </c>
      <c r="C187" s="404">
        <v>5215431.9216773305</v>
      </c>
      <c r="D187" s="404">
        <v>2698350.4421337745</v>
      </c>
      <c r="E187" s="390">
        <v>0</v>
      </c>
      <c r="F187" s="390">
        <v>-1320082.4355553747</v>
      </c>
      <c r="G187" s="390">
        <v>0</v>
      </c>
      <c r="H187" s="404">
        <f t="shared" si="25"/>
        <v>6593699.9282557312</v>
      </c>
      <c r="I187" s="405">
        <v>136110.49360949438</v>
      </c>
      <c r="J187" s="356">
        <f>'B) D RI'!U188</f>
        <v>116722.0098047505</v>
      </c>
      <c r="K187" s="62">
        <f t="shared" si="32"/>
        <v>48.44372945390441</v>
      </c>
      <c r="L187" s="33">
        <f>'B) D RI'!S188</f>
        <v>51</v>
      </c>
      <c r="M187" s="33">
        <f t="shared" si="27"/>
        <v>2.5562705460955897</v>
      </c>
      <c r="N187" s="33">
        <f>'J) Plafonnement effort'!G186+'J) Plafonnement effort'!I186-'K) Plafonnement aide'!I186</f>
        <v>48.647207584296801</v>
      </c>
      <c r="O187" s="125">
        <f t="shared" si="28"/>
        <v>51.203478130392391</v>
      </c>
      <c r="P187" s="47">
        <f t="shared" si="29"/>
        <v>0</v>
      </c>
      <c r="Q187" s="55">
        <f t="shared" si="33"/>
        <v>0</v>
      </c>
      <c r="R187" s="145">
        <f t="shared" si="30"/>
        <v>51.203478130392391</v>
      </c>
      <c r="S187" s="125">
        <f t="shared" si="31"/>
        <v>0.20347813039239071</v>
      </c>
      <c r="T187" s="144">
        <f t="shared" si="26"/>
        <v>0</v>
      </c>
      <c r="V187" s="12"/>
    </row>
    <row r="188" spans="1:22" x14ac:dyDescent="0.25">
      <c r="A188" s="49">
        <f>'A) Base RI'!A189</f>
        <v>5711</v>
      </c>
      <c r="B188" s="352" t="str">
        <f>'A) Base RI'!B189</f>
        <v>Commugny</v>
      </c>
      <c r="C188" s="404">
        <v>7937434.5220791828</v>
      </c>
      <c r="D188" s="404">
        <v>4851471.3230298124</v>
      </c>
      <c r="E188" s="390">
        <v>0</v>
      </c>
      <c r="F188" s="390">
        <v>0</v>
      </c>
      <c r="G188" s="390">
        <v>0</v>
      </c>
      <c r="H188" s="404">
        <f t="shared" si="25"/>
        <v>12788905.845108995</v>
      </c>
      <c r="I188" s="405">
        <v>277708.93037627928</v>
      </c>
      <c r="J188" s="356">
        <f>'B) D RI'!U189</f>
        <v>257446.98641964147</v>
      </c>
      <c r="K188" s="62">
        <f t="shared" si="32"/>
        <v>46.051474930175196</v>
      </c>
      <c r="L188" s="33">
        <f>'B) D RI'!S189</f>
        <v>57</v>
      </c>
      <c r="M188" s="33">
        <f t="shared" si="27"/>
        <v>10.948525069824804</v>
      </c>
      <c r="N188" s="33">
        <f>'J) Plafonnement effort'!G187+'J) Plafonnement effort'!I187-'K) Plafonnement aide'!I187</f>
        <v>43.294734965343423</v>
      </c>
      <c r="O188" s="125">
        <f t="shared" si="28"/>
        <v>54.243260035168227</v>
      </c>
      <c r="P188" s="47">
        <f t="shared" si="29"/>
        <v>0</v>
      </c>
      <c r="Q188" s="55">
        <f t="shared" si="33"/>
        <v>0</v>
      </c>
      <c r="R188" s="145">
        <f t="shared" si="30"/>
        <v>54.243260035168227</v>
      </c>
      <c r="S188" s="125">
        <f t="shared" si="31"/>
        <v>-2.7567399648317732</v>
      </c>
      <c r="T188" s="144">
        <f t="shared" si="26"/>
        <v>0</v>
      </c>
      <c r="V188" s="12"/>
    </row>
    <row r="189" spans="1:22" x14ac:dyDescent="0.25">
      <c r="A189" s="49">
        <f>'A) Base RI'!A190</f>
        <v>5712</v>
      </c>
      <c r="B189" s="352" t="str">
        <f>'A) Base RI'!B190</f>
        <v>Coppet</v>
      </c>
      <c r="C189" s="404">
        <v>11133747.013915241</v>
      </c>
      <c r="D189" s="404">
        <v>5958944.7370666452</v>
      </c>
      <c r="E189" s="390">
        <v>0</v>
      </c>
      <c r="F189" s="390">
        <v>0</v>
      </c>
      <c r="G189" s="390">
        <v>0</v>
      </c>
      <c r="H189" s="404">
        <f t="shared" si="25"/>
        <v>17092691.750981886</v>
      </c>
      <c r="I189" s="405">
        <v>337534.69243130391</v>
      </c>
      <c r="J189" s="356">
        <f>'B) D RI'!U190</f>
        <v>389580.29972433241</v>
      </c>
      <c r="K189" s="62">
        <f t="shared" si="32"/>
        <v>50.639807208737935</v>
      </c>
      <c r="L189" s="33">
        <f>'B) D RI'!S190</f>
        <v>53</v>
      </c>
      <c r="M189" s="33">
        <f t="shared" si="27"/>
        <v>2.3601927912620653</v>
      </c>
      <c r="N189" s="33">
        <f>'J) Plafonnement effort'!G188+'J) Plafonnement effort'!I188-'K) Plafonnement aide'!I188</f>
        <v>48.564798086343536</v>
      </c>
      <c r="O189" s="125">
        <f t="shared" si="28"/>
        <v>50.924990877605602</v>
      </c>
      <c r="P189" s="47">
        <f t="shared" si="29"/>
        <v>0</v>
      </c>
      <c r="Q189" s="55">
        <f t="shared" si="33"/>
        <v>0</v>
      </c>
      <c r="R189" s="145">
        <f t="shared" si="30"/>
        <v>50.924990877605602</v>
      </c>
      <c r="S189" s="125">
        <f t="shared" si="31"/>
        <v>-2.0750091223943983</v>
      </c>
      <c r="T189" s="144">
        <f t="shared" si="26"/>
        <v>0</v>
      </c>
      <c r="V189" s="12"/>
    </row>
    <row r="190" spans="1:22" x14ac:dyDescent="0.25">
      <c r="A190" s="49">
        <f>'A) Base RI'!A191</f>
        <v>5713</v>
      </c>
      <c r="B190" s="352" t="str">
        <f>'A) Base RI'!B191</f>
        <v>Crans-près-Céligny</v>
      </c>
      <c r="C190" s="404">
        <v>8642364.8211535383</v>
      </c>
      <c r="D190" s="404">
        <v>4998341.8421862973</v>
      </c>
      <c r="E190" s="390">
        <v>0</v>
      </c>
      <c r="F190" s="390">
        <v>0</v>
      </c>
      <c r="G190" s="390">
        <v>0</v>
      </c>
      <c r="H190" s="404">
        <f t="shared" si="25"/>
        <v>13640706.663339835</v>
      </c>
      <c r="I190" s="405">
        <v>273158.77225218777</v>
      </c>
      <c r="J190" s="356">
        <f>'B) D RI'!U191</f>
        <v>285688.37252656295</v>
      </c>
      <c r="K190" s="62">
        <f t="shared" si="32"/>
        <v>49.936915995311161</v>
      </c>
      <c r="L190" s="33">
        <f>'B) D RI'!S191</f>
        <v>56</v>
      </c>
      <c r="M190" s="33">
        <f t="shared" si="27"/>
        <v>6.0630840046888395</v>
      </c>
      <c r="N190" s="33">
        <f>'J) Plafonnement effort'!G189+'J) Plafonnement effort'!I189-'K) Plafonnement aide'!I189</f>
        <v>49.028808344704878</v>
      </c>
      <c r="O190" s="125">
        <f t="shared" si="28"/>
        <v>55.091892349393717</v>
      </c>
      <c r="P190" s="47">
        <f t="shared" si="29"/>
        <v>0</v>
      </c>
      <c r="Q190" s="55">
        <f t="shared" si="33"/>
        <v>0</v>
      </c>
      <c r="R190" s="145">
        <f t="shared" si="30"/>
        <v>55.091892349393717</v>
      </c>
      <c r="S190" s="125">
        <f t="shared" si="31"/>
        <v>-0.90810765060628285</v>
      </c>
      <c r="T190" s="144">
        <f t="shared" si="26"/>
        <v>0</v>
      </c>
      <c r="V190" s="12"/>
    </row>
    <row r="191" spans="1:22" x14ac:dyDescent="0.25">
      <c r="A191" s="49">
        <f>'A) Base RI'!A192</f>
        <v>5714</v>
      </c>
      <c r="B191" s="352" t="str">
        <f>'A) Base RI'!B192</f>
        <v>Crassier</v>
      </c>
      <c r="C191" s="404">
        <v>1661543.5901391152</v>
      </c>
      <c r="D191" s="404">
        <v>1324257.3264026793</v>
      </c>
      <c r="E191" s="390">
        <v>0</v>
      </c>
      <c r="F191" s="390">
        <v>0</v>
      </c>
      <c r="G191" s="390">
        <v>0</v>
      </c>
      <c r="H191" s="404">
        <f t="shared" si="25"/>
        <v>2985800.9165417943</v>
      </c>
      <c r="I191" s="405">
        <v>74464.147646326936</v>
      </c>
      <c r="J191" s="356">
        <f>'B) D RI'!U192</f>
        <v>69464.601004636497</v>
      </c>
      <c r="K191" s="62">
        <f t="shared" si="32"/>
        <v>40.097160995155413</v>
      </c>
      <c r="L191" s="33">
        <f>'B) D RI'!S192</f>
        <v>68</v>
      </c>
      <c r="M191" s="33">
        <f t="shared" si="27"/>
        <v>27.902839004844587</v>
      </c>
      <c r="N191" s="33">
        <f>'J) Plafonnement effort'!G190+'J) Plafonnement effort'!I190-'K) Plafonnement aide'!I190</f>
        <v>38.416822743899623</v>
      </c>
      <c r="O191" s="125">
        <f t="shared" si="28"/>
        <v>66.31966174874421</v>
      </c>
      <c r="P191" s="47">
        <f t="shared" si="29"/>
        <v>0</v>
      </c>
      <c r="Q191" s="55">
        <f t="shared" si="33"/>
        <v>0</v>
      </c>
      <c r="R191" s="145">
        <f t="shared" si="30"/>
        <v>66.31966174874421</v>
      </c>
      <c r="S191" s="125">
        <f t="shared" si="31"/>
        <v>-1.6803382512557903</v>
      </c>
      <c r="T191" s="144">
        <f t="shared" si="26"/>
        <v>0</v>
      </c>
      <c r="V191" s="12"/>
    </row>
    <row r="192" spans="1:22" x14ac:dyDescent="0.25">
      <c r="A192" s="49">
        <f>'A) Base RI'!A193</f>
        <v>5715</v>
      </c>
      <c r="B192" s="352" t="str">
        <f>'A) Base RI'!B193</f>
        <v>Duillier</v>
      </c>
      <c r="C192" s="404">
        <v>2029319.2632123353</v>
      </c>
      <c r="D192" s="404">
        <v>1418448.0902158164</v>
      </c>
      <c r="E192" s="390">
        <v>0</v>
      </c>
      <c r="F192" s="390">
        <v>0</v>
      </c>
      <c r="G192" s="390">
        <v>0</v>
      </c>
      <c r="H192" s="404">
        <f t="shared" si="25"/>
        <v>3447767.3534281515</v>
      </c>
      <c r="I192" s="405">
        <v>77556.587804651164</v>
      </c>
      <c r="J192" s="356">
        <f>'B) D RI'!U193</f>
        <v>70057.743908647069</v>
      </c>
      <c r="K192" s="62">
        <f t="shared" si="32"/>
        <v>44.454861295759386</v>
      </c>
      <c r="L192" s="33">
        <f>'B) D RI'!S193</f>
        <v>66</v>
      </c>
      <c r="M192" s="33">
        <f t="shared" si="27"/>
        <v>21.545138704240614</v>
      </c>
      <c r="N192" s="33">
        <f>'J) Plafonnement effort'!G191+'J) Plafonnement effort'!I191-'K) Plafonnement aide'!I191</f>
        <v>39.805874162568713</v>
      </c>
      <c r="O192" s="125">
        <f t="shared" si="28"/>
        <v>61.351012866809327</v>
      </c>
      <c r="P192" s="47">
        <f t="shared" si="29"/>
        <v>0</v>
      </c>
      <c r="Q192" s="55">
        <f t="shared" si="33"/>
        <v>0</v>
      </c>
      <c r="R192" s="145">
        <f t="shared" si="30"/>
        <v>61.351012866809327</v>
      </c>
      <c r="S192" s="125">
        <f t="shared" si="31"/>
        <v>-4.6489871331906727</v>
      </c>
      <c r="T192" s="144">
        <f t="shared" si="26"/>
        <v>0</v>
      </c>
      <c r="V192" s="12"/>
    </row>
    <row r="193" spans="1:22" x14ac:dyDescent="0.25">
      <c r="A193" s="49">
        <f>'A) Base RI'!A194</f>
        <v>5716</v>
      </c>
      <c r="B193" s="352" t="str">
        <f>'A) Base RI'!B194</f>
        <v>Eysins</v>
      </c>
      <c r="C193" s="404">
        <v>5651650.3294260614</v>
      </c>
      <c r="D193" s="404">
        <v>3268962.5995541429</v>
      </c>
      <c r="E193" s="390">
        <v>0</v>
      </c>
      <c r="F193" s="390">
        <v>0</v>
      </c>
      <c r="G193" s="390">
        <v>0</v>
      </c>
      <c r="H193" s="404">
        <f t="shared" si="25"/>
        <v>8920612.9289802052</v>
      </c>
      <c r="I193" s="405">
        <v>177981.86327972834</v>
      </c>
      <c r="J193" s="356">
        <f>'B) D RI'!U194</f>
        <v>215421.00462875623</v>
      </c>
      <c r="K193" s="62">
        <f t="shared" si="32"/>
        <v>50.120909875856093</v>
      </c>
      <c r="L193" s="33">
        <f>'B) D RI'!S194</f>
        <v>61</v>
      </c>
      <c r="M193" s="33">
        <f t="shared" si="27"/>
        <v>10.879090124143907</v>
      </c>
      <c r="N193" s="33">
        <f>'J) Plafonnement effort'!G192+'J) Plafonnement effort'!I192-'K) Plafonnement aide'!I192</f>
        <v>49.889632051904663</v>
      </c>
      <c r="O193" s="125">
        <f t="shared" si="28"/>
        <v>60.76872217604857</v>
      </c>
      <c r="P193" s="47">
        <f t="shared" si="29"/>
        <v>0</v>
      </c>
      <c r="Q193" s="55">
        <f t="shared" si="33"/>
        <v>0</v>
      </c>
      <c r="R193" s="145">
        <f t="shared" si="30"/>
        <v>60.76872217604857</v>
      </c>
      <c r="S193" s="125">
        <f t="shared" si="31"/>
        <v>-0.23127782395143015</v>
      </c>
      <c r="T193" s="144">
        <f t="shared" si="26"/>
        <v>0</v>
      </c>
      <c r="V193" s="12"/>
    </row>
    <row r="194" spans="1:22" x14ac:dyDescent="0.25">
      <c r="A194" s="49">
        <f>'A) Base RI'!A195</f>
        <v>5717</v>
      </c>
      <c r="B194" s="352" t="str">
        <f>'A) Base RI'!B195</f>
        <v>Founex</v>
      </c>
      <c r="C194" s="404">
        <v>10485582.721433911</v>
      </c>
      <c r="D194" s="404">
        <v>6341056.6980560226</v>
      </c>
      <c r="E194" s="390">
        <v>0</v>
      </c>
      <c r="F194" s="390">
        <v>0</v>
      </c>
      <c r="G194" s="390">
        <v>0</v>
      </c>
      <c r="H194" s="404">
        <f t="shared" si="25"/>
        <v>16826639.419489935</v>
      </c>
      <c r="I194" s="405">
        <v>372726.48546710185</v>
      </c>
      <c r="J194" s="356">
        <f>'B) D RI'!U195</f>
        <v>344785.57941848523</v>
      </c>
      <c r="K194" s="62">
        <f t="shared" si="32"/>
        <v>45.144737697946915</v>
      </c>
      <c r="L194" s="33">
        <f>'B) D RI'!S195</f>
        <v>57</v>
      </c>
      <c r="M194" s="33">
        <f t="shared" si="27"/>
        <v>11.855262302053085</v>
      </c>
      <c r="N194" s="33">
        <f>'J) Plafonnement effort'!G193+'J) Plafonnement effort'!I193-'K) Plafonnement aide'!I193</f>
        <v>44.376512335334588</v>
      </c>
      <c r="O194" s="125">
        <f t="shared" si="28"/>
        <v>56.231774637387673</v>
      </c>
      <c r="P194" s="47">
        <f t="shared" si="29"/>
        <v>0</v>
      </c>
      <c r="Q194" s="55">
        <f t="shared" si="33"/>
        <v>0</v>
      </c>
      <c r="R194" s="145">
        <f t="shared" si="30"/>
        <v>56.231774637387673</v>
      </c>
      <c r="S194" s="125">
        <f t="shared" si="31"/>
        <v>-0.76822536261232699</v>
      </c>
      <c r="T194" s="144">
        <f t="shared" si="26"/>
        <v>0</v>
      </c>
      <c r="V194" s="12"/>
    </row>
    <row r="195" spans="1:22" x14ac:dyDescent="0.25">
      <c r="A195" s="49">
        <f>'A) Base RI'!A196</f>
        <v>5718</v>
      </c>
      <c r="B195" s="352" t="str">
        <f>'A) Base RI'!B196</f>
        <v>Genolier</v>
      </c>
      <c r="C195" s="404">
        <v>4854360.8350675534</v>
      </c>
      <c r="D195" s="404">
        <v>3000657.7735125595</v>
      </c>
      <c r="E195" s="390">
        <v>0</v>
      </c>
      <c r="F195" s="390">
        <v>0</v>
      </c>
      <c r="G195" s="390">
        <v>0</v>
      </c>
      <c r="H195" s="404">
        <f t="shared" si="25"/>
        <v>7855018.6085801125</v>
      </c>
      <c r="I195" s="405">
        <v>170666.41821719555</v>
      </c>
      <c r="J195" s="356">
        <f>'B) D RI'!U196</f>
        <v>170276.54994177341</v>
      </c>
      <c r="K195" s="62">
        <f t="shared" si="32"/>
        <v>46.025566661764501</v>
      </c>
      <c r="L195" s="33">
        <f>'B) D RI'!S196</f>
        <v>55</v>
      </c>
      <c r="M195" s="33">
        <f t="shared" si="27"/>
        <v>8.9744333382354995</v>
      </c>
      <c r="N195" s="33">
        <f>'J) Plafonnement effort'!G194+'J) Plafonnement effort'!I194-'K) Plafonnement aide'!I194</f>
        <v>44.901428369200282</v>
      </c>
      <c r="O195" s="125">
        <f t="shared" si="28"/>
        <v>53.875861707435782</v>
      </c>
      <c r="P195" s="47">
        <f t="shared" si="29"/>
        <v>0</v>
      </c>
      <c r="Q195" s="55">
        <f t="shared" si="33"/>
        <v>0</v>
      </c>
      <c r="R195" s="145">
        <f t="shared" si="30"/>
        <v>53.875861707435782</v>
      </c>
      <c r="S195" s="125">
        <f t="shared" si="31"/>
        <v>-1.1241382925642185</v>
      </c>
      <c r="T195" s="144">
        <f t="shared" si="26"/>
        <v>0</v>
      </c>
      <c r="V195" s="12"/>
    </row>
    <row r="196" spans="1:22" x14ac:dyDescent="0.25">
      <c r="A196" s="49">
        <f>'A) Base RI'!A197</f>
        <v>5719</v>
      </c>
      <c r="B196" s="352" t="str">
        <f>'A) Base RI'!B197</f>
        <v>Gingins</v>
      </c>
      <c r="C196" s="404">
        <v>3210032.9964697403</v>
      </c>
      <c r="D196" s="404">
        <v>2037437.5448854787</v>
      </c>
      <c r="E196" s="390">
        <v>0</v>
      </c>
      <c r="F196" s="390">
        <v>0</v>
      </c>
      <c r="G196" s="390">
        <v>0</v>
      </c>
      <c r="H196" s="404">
        <f t="shared" si="25"/>
        <v>5247470.5413552187</v>
      </c>
      <c r="I196" s="405">
        <v>110505.6531809626</v>
      </c>
      <c r="J196" s="356">
        <f>'B) D RI'!U197</f>
        <v>142327.02027947939</v>
      </c>
      <c r="K196" s="62">
        <f t="shared" si="32"/>
        <v>47.4859918049806</v>
      </c>
      <c r="L196" s="33">
        <f>'B) D RI'!S197</f>
        <v>57</v>
      </c>
      <c r="M196" s="33">
        <f t="shared" si="27"/>
        <v>9.5140081950194002</v>
      </c>
      <c r="N196" s="33">
        <f>'J) Plafonnement effort'!G195+'J) Plafonnement effort'!I195-'K) Plafonnement aide'!I195</f>
        <v>48.07715659179982</v>
      </c>
      <c r="O196" s="125">
        <f t="shared" si="28"/>
        <v>57.59116478681922</v>
      </c>
      <c r="P196" s="47">
        <f t="shared" si="29"/>
        <v>0</v>
      </c>
      <c r="Q196" s="55">
        <f t="shared" si="33"/>
        <v>0</v>
      </c>
      <c r="R196" s="145">
        <f t="shared" si="30"/>
        <v>57.59116478681922</v>
      </c>
      <c r="S196" s="125">
        <f t="shared" si="31"/>
        <v>0.59116478681922047</v>
      </c>
      <c r="T196" s="144">
        <f t="shared" si="26"/>
        <v>0</v>
      </c>
      <c r="V196" s="12"/>
    </row>
    <row r="197" spans="1:22" x14ac:dyDescent="0.25">
      <c r="A197" s="49">
        <f>'A) Base RI'!A198</f>
        <v>5720</v>
      </c>
      <c r="B197" s="352" t="str">
        <f>'A) Base RI'!B198</f>
        <v>Givrins</v>
      </c>
      <c r="C197" s="404">
        <v>1548191.6432160537</v>
      </c>
      <c r="D197" s="404">
        <v>1222115.7001559807</v>
      </c>
      <c r="E197" s="390">
        <v>0</v>
      </c>
      <c r="F197" s="390">
        <v>0</v>
      </c>
      <c r="G197" s="390">
        <v>0</v>
      </c>
      <c r="H197" s="404">
        <f t="shared" si="25"/>
        <v>2770307.3433720344</v>
      </c>
      <c r="I197" s="405">
        <v>66980.280368955675</v>
      </c>
      <c r="J197" s="356">
        <f>'B) D RI'!U198</f>
        <v>82417.202201596621</v>
      </c>
      <c r="K197" s="62">
        <f t="shared" si="32"/>
        <v>41.360044002682748</v>
      </c>
      <c r="L197" s="33">
        <f>'B) D RI'!S198</f>
        <v>67</v>
      </c>
      <c r="M197" s="33">
        <f t="shared" si="27"/>
        <v>25.639955997317252</v>
      </c>
      <c r="N197" s="33">
        <f>'J) Plafonnement effort'!G196+'J) Plafonnement effort'!I196-'K) Plafonnement aide'!I196</f>
        <v>45.073113232648602</v>
      </c>
      <c r="O197" s="125">
        <f t="shared" si="28"/>
        <v>70.713069229965853</v>
      </c>
      <c r="P197" s="47">
        <f t="shared" si="29"/>
        <v>0</v>
      </c>
      <c r="Q197" s="55">
        <f t="shared" si="33"/>
        <v>0</v>
      </c>
      <c r="R197" s="145">
        <f t="shared" si="30"/>
        <v>70.713069229965853</v>
      </c>
      <c r="S197" s="125">
        <f t="shared" si="31"/>
        <v>3.7130692299658534</v>
      </c>
      <c r="T197" s="144">
        <f t="shared" si="26"/>
        <v>0</v>
      </c>
      <c r="V197" s="12"/>
    </row>
    <row r="198" spans="1:22" x14ac:dyDescent="0.25">
      <c r="A198" s="49">
        <f>'A) Base RI'!A199</f>
        <v>5721</v>
      </c>
      <c r="B198" s="352" t="str">
        <f>'A) Base RI'!B199</f>
        <v>Gland</v>
      </c>
      <c r="C198" s="404">
        <v>12494548.330151677</v>
      </c>
      <c r="D198" s="404">
        <v>5034043.388465873</v>
      </c>
      <c r="E198" s="390">
        <v>0</v>
      </c>
      <c r="F198" s="390">
        <v>0</v>
      </c>
      <c r="G198" s="390">
        <v>0</v>
      </c>
      <c r="H198" s="404">
        <f t="shared" ref="H198:H261" si="41">SUM(C198:G198)</f>
        <v>17528591.718617551</v>
      </c>
      <c r="I198" s="405">
        <v>636120.41665849148</v>
      </c>
      <c r="J198" s="356">
        <f>'B) D RI'!U199</f>
        <v>657906.43691215932</v>
      </c>
      <c r="K198" s="62">
        <f t="shared" si="32"/>
        <v>27.555461606930272</v>
      </c>
      <c r="L198" s="33">
        <f>'B) D RI'!S199</f>
        <v>62.5</v>
      </c>
      <c r="M198" s="33">
        <f t="shared" si="27"/>
        <v>34.944538393069728</v>
      </c>
      <c r="N198" s="33">
        <f>'J) Plafonnement effort'!G197+'J) Plafonnement effort'!I197-'K) Plafonnement aide'!I197</f>
        <v>27.229573332364033</v>
      </c>
      <c r="O198" s="125">
        <f t="shared" si="28"/>
        <v>62.174111725433761</v>
      </c>
      <c r="P198" s="47">
        <f t="shared" si="29"/>
        <v>0</v>
      </c>
      <c r="Q198" s="55">
        <f t="shared" si="33"/>
        <v>0</v>
      </c>
      <c r="R198" s="145">
        <f t="shared" si="30"/>
        <v>62.174111725433761</v>
      </c>
      <c r="S198" s="125">
        <f t="shared" si="31"/>
        <v>-0.32588827456623903</v>
      </c>
      <c r="T198" s="144">
        <f t="shared" ref="T198:T261" si="42">+C198+D198+E198+F198+G198-H198</f>
        <v>0</v>
      </c>
      <c r="V198" s="12"/>
    </row>
    <row r="199" spans="1:22" x14ac:dyDescent="0.25">
      <c r="A199" s="49">
        <f>'A) Base RI'!A200</f>
        <v>5722</v>
      </c>
      <c r="B199" s="352" t="str">
        <f>'A) Base RI'!B200</f>
        <v>Grens</v>
      </c>
      <c r="C199" s="404">
        <v>417851.2177416177</v>
      </c>
      <c r="D199" s="404">
        <v>398644.59310801059</v>
      </c>
      <c r="E199" s="390">
        <v>0</v>
      </c>
      <c r="F199" s="390">
        <v>0</v>
      </c>
      <c r="G199" s="390">
        <v>0</v>
      </c>
      <c r="H199" s="404">
        <f t="shared" si="41"/>
        <v>816495.81084962829</v>
      </c>
      <c r="I199" s="405">
        <v>22061.884042906917</v>
      </c>
      <c r="J199" s="356">
        <f>'B) D RI'!U200</f>
        <v>20260.981774193551</v>
      </c>
      <c r="K199" s="62">
        <f t="shared" si="32"/>
        <v>37.009341961079642</v>
      </c>
      <c r="L199" s="33">
        <f>'B) D RI'!S200</f>
        <v>62</v>
      </c>
      <c r="M199" s="33">
        <f t="shared" si="27"/>
        <v>24.990658038920358</v>
      </c>
      <c r="N199" s="33">
        <f>'J) Plafonnement effort'!G198+'J) Plafonnement effort'!I198-'K) Plafonnement aide'!I198</f>
        <v>27.70292586712263</v>
      </c>
      <c r="O199" s="125">
        <f t="shared" si="28"/>
        <v>52.693583906042988</v>
      </c>
      <c r="P199" s="47">
        <f t="shared" si="29"/>
        <v>0</v>
      </c>
      <c r="Q199" s="55">
        <f t="shared" si="33"/>
        <v>0</v>
      </c>
      <c r="R199" s="145">
        <f t="shared" si="30"/>
        <v>52.693583906042988</v>
      </c>
      <c r="S199" s="125">
        <f t="shared" si="31"/>
        <v>-9.3064160939570115</v>
      </c>
      <c r="T199" s="144">
        <f t="shared" si="42"/>
        <v>0</v>
      </c>
      <c r="V199" s="12"/>
    </row>
    <row r="200" spans="1:22" x14ac:dyDescent="0.25">
      <c r="A200" s="49">
        <f>'A) Base RI'!A201</f>
        <v>5723</v>
      </c>
      <c r="B200" s="352" t="str">
        <f>'A) Base RI'!B201</f>
        <v>Mies</v>
      </c>
      <c r="C200" s="404">
        <v>19220534.83791947</v>
      </c>
      <c r="D200" s="404">
        <v>9818046.9553693123</v>
      </c>
      <c r="E200" s="390">
        <v>0</v>
      </c>
      <c r="F200" s="390">
        <v>-3770981.2323365016</v>
      </c>
      <c r="G200" s="390">
        <v>0</v>
      </c>
      <c r="H200" s="404">
        <f t="shared" si="41"/>
        <v>25267600.56095228</v>
      </c>
      <c r="I200" s="405">
        <v>508753.19533233909</v>
      </c>
      <c r="J200" s="356">
        <f>'B) D RI'!U201</f>
        <v>196584.50934585766</v>
      </c>
      <c r="K200" s="62">
        <f t="shared" si="32"/>
        <v>49.665733390522327</v>
      </c>
      <c r="L200" s="33">
        <f>'B) D RI'!S201</f>
        <v>53</v>
      </c>
      <c r="M200" s="33">
        <f t="shared" si="27"/>
        <v>3.3342666094776732</v>
      </c>
      <c r="N200" s="33">
        <f>'J) Plafonnement effort'!G199+'J) Plafonnement effort'!I199-'K) Plafonnement aide'!I199</f>
        <v>44.075553974447857</v>
      </c>
      <c r="O200" s="125">
        <f t="shared" si="28"/>
        <v>47.40982058392553</v>
      </c>
      <c r="P200" s="47">
        <f t="shared" si="29"/>
        <v>0</v>
      </c>
      <c r="Q200" s="55">
        <f t="shared" si="33"/>
        <v>0</v>
      </c>
      <c r="R200" s="145">
        <f t="shared" si="30"/>
        <v>47.40982058392553</v>
      </c>
      <c r="S200" s="125">
        <f t="shared" si="31"/>
        <v>-5.59017941607447</v>
      </c>
      <c r="T200" s="144">
        <f t="shared" si="42"/>
        <v>0</v>
      </c>
      <c r="V200" s="12"/>
    </row>
    <row r="201" spans="1:22" x14ac:dyDescent="0.25">
      <c r="A201" s="49">
        <f>'A) Base RI'!A202</f>
        <v>5724</v>
      </c>
      <c r="B201" s="352" t="str">
        <f>'A) Base RI'!B202</f>
        <v>Nyon</v>
      </c>
      <c r="C201" s="404">
        <v>30511517.456958987</v>
      </c>
      <c r="D201" s="404">
        <v>9746381.9353669621</v>
      </c>
      <c r="E201" s="390">
        <v>0</v>
      </c>
      <c r="F201" s="390">
        <v>0</v>
      </c>
      <c r="G201" s="390">
        <v>0</v>
      </c>
      <c r="H201" s="404">
        <f t="shared" si="41"/>
        <v>40257899.392325953</v>
      </c>
      <c r="I201" s="405">
        <v>1284648.9485752215</v>
      </c>
      <c r="J201" s="356">
        <f>'B) D RI'!U202</f>
        <v>1385271.3719392153</v>
      </c>
      <c r="K201" s="62">
        <f t="shared" si="32"/>
        <v>31.3376657778572</v>
      </c>
      <c r="L201" s="33">
        <f>'B) D RI'!S202</f>
        <v>61</v>
      </c>
      <c r="M201" s="33">
        <f t="shared" si="27"/>
        <v>29.6623342221428</v>
      </c>
      <c r="N201" s="33">
        <f>'J) Plafonnement effort'!G200+'J) Plafonnement effort'!I200-'K) Plafonnement aide'!I200</f>
        <v>30.960805237225209</v>
      </c>
      <c r="O201" s="125">
        <f t="shared" si="28"/>
        <v>60.623139459368005</v>
      </c>
      <c r="P201" s="47">
        <f t="shared" si="29"/>
        <v>0</v>
      </c>
      <c r="Q201" s="55">
        <f t="shared" si="33"/>
        <v>0</v>
      </c>
      <c r="R201" s="145">
        <f t="shared" si="30"/>
        <v>60.623139459368005</v>
      </c>
      <c r="S201" s="125">
        <f t="shared" si="31"/>
        <v>-0.37686054063199492</v>
      </c>
      <c r="T201" s="144">
        <f t="shared" si="42"/>
        <v>0</v>
      </c>
      <c r="V201" s="12"/>
    </row>
    <row r="202" spans="1:22" x14ac:dyDescent="0.25">
      <c r="A202" s="49">
        <f>'A) Base RI'!A203</f>
        <v>5725</v>
      </c>
      <c r="B202" s="352" t="str">
        <f>'A) Base RI'!B203</f>
        <v>Prangins</v>
      </c>
      <c r="C202" s="404">
        <v>9197121.0916265324</v>
      </c>
      <c r="D202" s="404">
        <v>5378477.1056851875</v>
      </c>
      <c r="E202" s="390">
        <v>0</v>
      </c>
      <c r="F202" s="390">
        <v>0</v>
      </c>
      <c r="G202" s="390">
        <v>0</v>
      </c>
      <c r="H202" s="404">
        <f t="shared" si="41"/>
        <v>14575598.19731172</v>
      </c>
      <c r="I202" s="405">
        <v>331424.63115044968</v>
      </c>
      <c r="J202" s="356">
        <f>'B) D RI'!U203</f>
        <v>342757.72234116954</v>
      </c>
      <c r="K202" s="62">
        <f t="shared" si="32"/>
        <v>43.978620860847094</v>
      </c>
      <c r="L202" s="33">
        <f>'B) D RI'!S203</f>
        <v>56</v>
      </c>
      <c r="M202" s="33">
        <f t="shared" si="27"/>
        <v>12.021379139152906</v>
      </c>
      <c r="N202" s="33">
        <f>'J) Plafonnement effort'!G201+'J) Plafonnement effort'!I201-'K) Plafonnement aide'!I201</f>
        <v>43.723471691835201</v>
      </c>
      <c r="O202" s="125">
        <f t="shared" si="28"/>
        <v>55.744850830988106</v>
      </c>
      <c r="P202" s="47">
        <f t="shared" si="29"/>
        <v>0</v>
      </c>
      <c r="Q202" s="55">
        <f t="shared" si="33"/>
        <v>0</v>
      </c>
      <c r="R202" s="145">
        <f t="shared" si="30"/>
        <v>55.744850830988106</v>
      </c>
      <c r="S202" s="125">
        <f t="shared" si="31"/>
        <v>-0.25514916901189366</v>
      </c>
      <c r="T202" s="144">
        <f t="shared" si="42"/>
        <v>0</v>
      </c>
      <c r="V202" s="12"/>
    </row>
    <row r="203" spans="1:22" x14ac:dyDescent="0.25">
      <c r="A203" s="49">
        <f>'A) Base RI'!A204</f>
        <v>5726</v>
      </c>
      <c r="B203" s="352" t="str">
        <f>'A) Base RI'!B204</f>
        <v>La Rippe</v>
      </c>
      <c r="C203" s="404">
        <v>1079600.3584288137</v>
      </c>
      <c r="D203" s="404">
        <v>1031232.8523095886</v>
      </c>
      <c r="E203" s="390">
        <v>0</v>
      </c>
      <c r="F203" s="390">
        <v>0</v>
      </c>
      <c r="G203" s="390">
        <v>0</v>
      </c>
      <c r="H203" s="404">
        <f t="shared" si="41"/>
        <v>2110833.2107384023</v>
      </c>
      <c r="I203" s="405">
        <v>59775.654047436234</v>
      </c>
      <c r="J203" s="356">
        <f>'B) D RI'!U204</f>
        <v>61259.007150466066</v>
      </c>
      <c r="K203" s="62">
        <f t="shared" si="32"/>
        <v>35.312590792621123</v>
      </c>
      <c r="L203" s="33">
        <f>'B) D RI'!S204</f>
        <v>65</v>
      </c>
      <c r="M203" s="33">
        <f t="shared" si="27"/>
        <v>29.687409207378877</v>
      </c>
      <c r="N203" s="33">
        <f>'J) Plafonnement effort'!G202+'J) Plafonnement effort'!I202-'K) Plafonnement aide'!I202</f>
        <v>36.218378696258995</v>
      </c>
      <c r="O203" s="125">
        <f t="shared" si="28"/>
        <v>65.905787903637872</v>
      </c>
      <c r="P203" s="47">
        <f t="shared" si="29"/>
        <v>0</v>
      </c>
      <c r="Q203" s="55">
        <f t="shared" si="33"/>
        <v>0</v>
      </c>
      <c r="R203" s="145">
        <f t="shared" si="30"/>
        <v>65.905787903637872</v>
      </c>
      <c r="S203" s="125">
        <f t="shared" si="31"/>
        <v>0.9057879036378722</v>
      </c>
      <c r="T203" s="144">
        <f t="shared" si="42"/>
        <v>0</v>
      </c>
      <c r="V203" s="12"/>
    </row>
    <row r="204" spans="1:22" x14ac:dyDescent="0.25">
      <c r="A204" s="49">
        <f>'A) Base RI'!A205</f>
        <v>5727</v>
      </c>
      <c r="B204" s="352" t="str">
        <f>'A) Base RI'!B205</f>
        <v>Saint-Cergue</v>
      </c>
      <c r="C204" s="404">
        <v>1617738.3226378025</v>
      </c>
      <c r="D204" s="404">
        <v>506324.1298156695</v>
      </c>
      <c r="E204" s="390">
        <v>0</v>
      </c>
      <c r="F204" s="390">
        <v>0</v>
      </c>
      <c r="G204" s="390">
        <v>0</v>
      </c>
      <c r="H204" s="404">
        <f t="shared" si="41"/>
        <v>2124062.4524534717</v>
      </c>
      <c r="I204" s="405">
        <v>84837.616861897855</v>
      </c>
      <c r="J204" s="356">
        <f>'B) D RI'!U205</f>
        <v>96033.059668733855</v>
      </c>
      <c r="K204" s="62">
        <f t="shared" si="32"/>
        <v>25.036800077860597</v>
      </c>
      <c r="L204" s="33">
        <f>'B) D RI'!S205</f>
        <v>66</v>
      </c>
      <c r="M204" s="33">
        <f t="shared" si="27"/>
        <v>40.963199922139403</v>
      </c>
      <c r="N204" s="33">
        <f>'J) Plafonnement effort'!G203+'J) Plafonnement effort'!I203-'K) Plafonnement aide'!I203</f>
        <v>23.862778330813306</v>
      </c>
      <c r="O204" s="125">
        <f t="shared" si="28"/>
        <v>64.825978252952709</v>
      </c>
      <c r="P204" s="47">
        <f t="shared" si="29"/>
        <v>0</v>
      </c>
      <c r="Q204" s="55">
        <f t="shared" si="33"/>
        <v>0</v>
      </c>
      <c r="R204" s="145">
        <f t="shared" si="30"/>
        <v>64.825978252952709</v>
      </c>
      <c r="S204" s="125">
        <f t="shared" si="31"/>
        <v>-1.1740217470472913</v>
      </c>
      <c r="T204" s="144">
        <f t="shared" si="42"/>
        <v>0</v>
      </c>
      <c r="V204" s="12"/>
    </row>
    <row r="205" spans="1:22" x14ac:dyDescent="0.25">
      <c r="A205" s="49">
        <f>'A) Base RI'!A206</f>
        <v>5728</v>
      </c>
      <c r="B205" s="352" t="str">
        <f>'A) Base RI'!B206</f>
        <v>Signy-Avenex</v>
      </c>
      <c r="C205" s="404">
        <v>1127173.9707162634</v>
      </c>
      <c r="D205" s="404">
        <v>811246.45976685162</v>
      </c>
      <c r="E205" s="390">
        <v>0</v>
      </c>
      <c r="F205" s="390">
        <v>0</v>
      </c>
      <c r="G205" s="390">
        <v>0</v>
      </c>
      <c r="H205" s="404">
        <f t="shared" si="41"/>
        <v>1938420.4304831149</v>
      </c>
      <c r="I205" s="405">
        <v>43642.129855163919</v>
      </c>
      <c r="J205" s="356">
        <f>'B) D RI'!U206</f>
        <v>43425.016490818416</v>
      </c>
      <c r="K205" s="62">
        <f t="shared" si="32"/>
        <v>44.416265588233038</v>
      </c>
      <c r="L205" s="33">
        <f>'B) D RI'!S206</f>
        <v>58</v>
      </c>
      <c r="M205" s="33">
        <f t="shared" si="27"/>
        <v>13.583734411766962</v>
      </c>
      <c r="N205" s="33">
        <f>'J) Plafonnement effort'!G204+'J) Plafonnement effort'!I204-'K) Plafonnement aide'!I204</f>
        <v>42.035013663816088</v>
      </c>
      <c r="O205" s="125">
        <f t="shared" si="28"/>
        <v>55.618748075583049</v>
      </c>
      <c r="P205" s="47">
        <f t="shared" si="29"/>
        <v>0</v>
      </c>
      <c r="Q205" s="55">
        <f t="shared" si="33"/>
        <v>0</v>
      </c>
      <c r="R205" s="145">
        <f t="shared" si="30"/>
        <v>55.618748075583049</v>
      </c>
      <c r="S205" s="125">
        <f t="shared" si="31"/>
        <v>-2.3812519244169508</v>
      </c>
      <c r="T205" s="144">
        <f t="shared" si="42"/>
        <v>0</v>
      </c>
      <c r="V205" s="12"/>
    </row>
    <row r="206" spans="1:22" x14ac:dyDescent="0.25">
      <c r="A206" s="49">
        <f>'A) Base RI'!A207</f>
        <v>5729</v>
      </c>
      <c r="B206" s="352" t="str">
        <f>'A) Base RI'!B207</f>
        <v>Tannay</v>
      </c>
      <c r="C206" s="404">
        <v>3826233.2666256139</v>
      </c>
      <c r="D206" s="404">
        <v>2523337.3928781794</v>
      </c>
      <c r="E206" s="390">
        <v>0</v>
      </c>
      <c r="F206" s="390">
        <v>0</v>
      </c>
      <c r="G206" s="390">
        <v>0</v>
      </c>
      <c r="H206" s="404">
        <f t="shared" si="41"/>
        <v>6349570.6595037933</v>
      </c>
      <c r="I206" s="405">
        <v>140788.91539066879</v>
      </c>
      <c r="J206" s="356">
        <f>'B) D RI'!U207</f>
        <v>176785.12407552512</v>
      </c>
      <c r="K206" s="62">
        <f t="shared" si="32"/>
        <v>45.099933058541275</v>
      </c>
      <c r="L206" s="33">
        <f>'B) D RI'!S207</f>
        <v>61</v>
      </c>
      <c r="M206" s="33">
        <f t="shared" si="27"/>
        <v>15.900066941458725</v>
      </c>
      <c r="N206" s="33">
        <f>'J) Plafonnement effort'!G205+'J) Plafonnement effort'!I205-'K) Plafonnement aide'!I205</f>
        <v>49.263483871864068</v>
      </c>
      <c r="O206" s="125">
        <f t="shared" si="28"/>
        <v>65.163550813322786</v>
      </c>
      <c r="P206" s="47">
        <f t="shared" si="29"/>
        <v>0</v>
      </c>
      <c r="Q206" s="55">
        <f t="shared" si="33"/>
        <v>0</v>
      </c>
      <c r="R206" s="145">
        <f t="shared" si="30"/>
        <v>65.163550813322786</v>
      </c>
      <c r="S206" s="125">
        <f t="shared" si="31"/>
        <v>4.1635508133227859</v>
      </c>
      <c r="T206" s="144">
        <f t="shared" si="42"/>
        <v>0</v>
      </c>
      <c r="V206" s="12"/>
    </row>
    <row r="207" spans="1:22" x14ac:dyDescent="0.25">
      <c r="A207" s="49">
        <f>'A) Base RI'!A208</f>
        <v>5730</v>
      </c>
      <c r="B207" s="352" t="str">
        <f>'A) Base RI'!B208</f>
        <v>Trélex</v>
      </c>
      <c r="C207" s="404">
        <v>4862243.238494698</v>
      </c>
      <c r="D207" s="404">
        <v>2965200.7231824696</v>
      </c>
      <c r="E207" s="390">
        <v>0</v>
      </c>
      <c r="F207" s="390">
        <v>0</v>
      </c>
      <c r="G207" s="390">
        <v>0</v>
      </c>
      <c r="H207" s="404">
        <f t="shared" si="41"/>
        <v>7827443.9616771676</v>
      </c>
      <c r="I207" s="405">
        <v>159385.15609090315</v>
      </c>
      <c r="J207" s="356">
        <f>'B) D RI'!U208</f>
        <v>134389.74453035684</v>
      </c>
      <c r="K207" s="62">
        <f t="shared" si="32"/>
        <v>49.110244351819638</v>
      </c>
      <c r="L207" s="33">
        <f>'B) D RI'!S208</f>
        <v>57</v>
      </c>
      <c r="M207" s="33">
        <f t="shared" si="27"/>
        <v>7.8897556481803619</v>
      </c>
      <c r="N207" s="33">
        <f>'J) Plafonnement effort'!G206+'J) Plafonnement effort'!I206-'K) Plafonnement aide'!I206</f>
        <v>44.621679644167514</v>
      </c>
      <c r="O207" s="125">
        <f t="shared" si="28"/>
        <v>52.511435292347876</v>
      </c>
      <c r="P207" s="47">
        <f t="shared" si="29"/>
        <v>0</v>
      </c>
      <c r="Q207" s="55">
        <f t="shared" si="33"/>
        <v>0</v>
      </c>
      <c r="R207" s="145">
        <f t="shared" si="30"/>
        <v>52.511435292347876</v>
      </c>
      <c r="S207" s="125">
        <f t="shared" si="31"/>
        <v>-4.4885647076521238</v>
      </c>
      <c r="T207" s="144">
        <f t="shared" si="42"/>
        <v>0</v>
      </c>
      <c r="V207" s="12"/>
    </row>
    <row r="208" spans="1:22" x14ac:dyDescent="0.25">
      <c r="A208" s="49">
        <f>'A) Base RI'!A209</f>
        <v>5731</v>
      </c>
      <c r="B208" s="352" t="str">
        <f>'A) Base RI'!B209</f>
        <v>Le Vaud</v>
      </c>
      <c r="C208" s="404">
        <v>1184998.3431915683</v>
      </c>
      <c r="D208" s="404">
        <v>692488.55162930209</v>
      </c>
      <c r="E208" s="390">
        <v>0</v>
      </c>
      <c r="F208" s="390">
        <v>0</v>
      </c>
      <c r="G208" s="390">
        <v>0</v>
      </c>
      <c r="H208" s="404">
        <f t="shared" si="41"/>
        <v>1877486.8948208704</v>
      </c>
      <c r="I208" s="405">
        <v>52787.084696622871</v>
      </c>
      <c r="J208" s="356">
        <f>'B) D RI'!U209</f>
        <v>61951.44694342916</v>
      </c>
      <c r="K208" s="62">
        <f t="shared" si="32"/>
        <v>35.567163930554877</v>
      </c>
      <c r="L208" s="33">
        <f>'B) D RI'!S209</f>
        <v>75</v>
      </c>
      <c r="M208" s="33">
        <f t="shared" si="27"/>
        <v>39.432836069445123</v>
      </c>
      <c r="N208" s="33">
        <f>'J) Plafonnement effort'!G207+'J) Plafonnement effort'!I207-'K) Plafonnement aide'!I207</f>
        <v>34.968031316494034</v>
      </c>
      <c r="O208" s="125">
        <f t="shared" si="28"/>
        <v>74.400867385939165</v>
      </c>
      <c r="P208" s="47">
        <f t="shared" si="29"/>
        <v>0</v>
      </c>
      <c r="Q208" s="55">
        <f t="shared" si="33"/>
        <v>0</v>
      </c>
      <c r="R208" s="145">
        <f t="shared" si="30"/>
        <v>74.400867385939165</v>
      </c>
      <c r="S208" s="125">
        <f t="shared" si="31"/>
        <v>-0.59913261406083507</v>
      </c>
      <c r="T208" s="144">
        <f t="shared" si="42"/>
        <v>0</v>
      </c>
      <c r="V208" s="12"/>
    </row>
    <row r="209" spans="1:22" x14ac:dyDescent="0.25">
      <c r="A209" s="49">
        <f>'A) Base RI'!A210</f>
        <v>5732</v>
      </c>
      <c r="B209" s="352" t="str">
        <f>'A) Base RI'!B210</f>
        <v>Vich</v>
      </c>
      <c r="C209" s="404">
        <v>1665162.8166529909</v>
      </c>
      <c r="D209" s="404">
        <v>1153062.7979009841</v>
      </c>
      <c r="E209" s="390">
        <v>0</v>
      </c>
      <c r="F209" s="390">
        <v>0</v>
      </c>
      <c r="G209" s="390">
        <v>0</v>
      </c>
      <c r="H209" s="404">
        <f t="shared" si="41"/>
        <v>2818225.6145539749</v>
      </c>
      <c r="I209" s="405">
        <v>63679.159894206758</v>
      </c>
      <c r="J209" s="356">
        <f>'B) D RI'!U210</f>
        <v>62590.343939393941</v>
      </c>
      <c r="K209" s="62">
        <f t="shared" si="32"/>
        <v>44.256639365783535</v>
      </c>
      <c r="L209" s="33">
        <f>'B) D RI'!S210</f>
        <v>66</v>
      </c>
      <c r="M209" s="33">
        <f t="shared" si="27"/>
        <v>21.743360634216465</v>
      </c>
      <c r="N209" s="33">
        <f>'J) Plafonnement effort'!G208+'J) Plafonnement effort'!I208-'K) Plafonnement aide'!I208</f>
        <v>38.804332726113884</v>
      </c>
      <c r="O209" s="125">
        <f t="shared" si="28"/>
        <v>60.547693360330349</v>
      </c>
      <c r="P209" s="47">
        <f t="shared" si="29"/>
        <v>0</v>
      </c>
      <c r="Q209" s="55">
        <f t="shared" si="33"/>
        <v>0</v>
      </c>
      <c r="R209" s="145">
        <f t="shared" si="30"/>
        <v>60.547693360330349</v>
      </c>
      <c r="S209" s="125">
        <f t="shared" si="31"/>
        <v>-5.4523066396696507</v>
      </c>
      <c r="T209" s="144">
        <f t="shared" si="42"/>
        <v>0</v>
      </c>
      <c r="V209" s="12"/>
    </row>
    <row r="210" spans="1:22" x14ac:dyDescent="0.25">
      <c r="A210" s="49">
        <f>'A) Base RI'!A211</f>
        <v>5741</v>
      </c>
      <c r="B210" s="352" t="str">
        <f>'A) Base RI'!B211</f>
        <v>L'Abergement</v>
      </c>
      <c r="C210" s="404">
        <v>138080.13424146251</v>
      </c>
      <c r="D210" s="404">
        <v>22984.225479121669</v>
      </c>
      <c r="E210" s="390">
        <v>0</v>
      </c>
      <c r="F210" s="390">
        <v>0</v>
      </c>
      <c r="G210" s="390">
        <v>0</v>
      </c>
      <c r="H210" s="404">
        <f t="shared" si="41"/>
        <v>161064.35972058418</v>
      </c>
      <c r="I210" s="405">
        <v>7417.8594757266228</v>
      </c>
      <c r="J210" s="356">
        <f>'B) D RI'!U211</f>
        <v>7136.3252688010616</v>
      </c>
      <c r="K210" s="62">
        <f t="shared" si="32"/>
        <v>21.713050813059112</v>
      </c>
      <c r="L210" s="33">
        <f>'B) D RI'!S211</f>
        <v>81</v>
      </c>
      <c r="M210" s="33">
        <f t="shared" si="27"/>
        <v>59.286949186940888</v>
      </c>
      <c r="N210" s="33">
        <f>'J) Plafonnement effort'!G209+'J) Plafonnement effort'!I209-'K) Plafonnement aide'!I209</f>
        <v>3.0357222618071376</v>
      </c>
      <c r="O210" s="125">
        <f t="shared" si="28"/>
        <v>62.322671448748025</v>
      </c>
      <c r="P210" s="47">
        <f t="shared" si="29"/>
        <v>0</v>
      </c>
      <c r="Q210" s="55">
        <f t="shared" si="33"/>
        <v>0</v>
      </c>
      <c r="R210" s="145">
        <f t="shared" si="30"/>
        <v>62.322671448748025</v>
      </c>
      <c r="S210" s="125">
        <f t="shared" si="31"/>
        <v>-18.677328551251975</v>
      </c>
      <c r="T210" s="144">
        <f t="shared" si="42"/>
        <v>0</v>
      </c>
      <c r="V210" s="12"/>
    </row>
    <row r="211" spans="1:22" x14ac:dyDescent="0.25">
      <c r="A211" s="49">
        <f>'A) Base RI'!A212</f>
        <v>5742</v>
      </c>
      <c r="B211" s="352" t="str">
        <f>'A) Base RI'!B212</f>
        <v>Agiez</v>
      </c>
      <c r="C211" s="404">
        <v>150305.81450964147</v>
      </c>
      <c r="D211" s="404">
        <v>13672.371119805903</v>
      </c>
      <c r="E211" s="390">
        <v>0</v>
      </c>
      <c r="F211" s="390">
        <v>0</v>
      </c>
      <c r="G211" s="390">
        <v>0</v>
      </c>
      <c r="H211" s="404">
        <f t="shared" si="41"/>
        <v>163978.18562944737</v>
      </c>
      <c r="I211" s="405">
        <v>9044.2293566491917</v>
      </c>
      <c r="J211" s="356">
        <f>'B) D RI'!U212</f>
        <v>9012.3275646255879</v>
      </c>
      <c r="K211" s="62">
        <f t="shared" si="32"/>
        <v>18.130697394233252</v>
      </c>
      <c r="L211" s="33">
        <f>'B) D RI'!S212</f>
        <v>76</v>
      </c>
      <c r="M211" s="33">
        <f t="shared" si="27"/>
        <v>57.869302605766748</v>
      </c>
      <c r="N211" s="33">
        <f>'J) Plafonnement effort'!G210+'J) Plafonnement effort'!I210-'K) Plafonnement aide'!I210</f>
        <v>13.555615664070253</v>
      </c>
      <c r="O211" s="125">
        <f t="shared" si="28"/>
        <v>71.424918269837008</v>
      </c>
      <c r="P211" s="47">
        <f t="shared" si="29"/>
        <v>0</v>
      </c>
      <c r="Q211" s="55">
        <f t="shared" si="33"/>
        <v>0</v>
      </c>
      <c r="R211" s="145">
        <f t="shared" si="30"/>
        <v>71.424918269837008</v>
      </c>
      <c r="S211" s="125">
        <f t="shared" si="31"/>
        <v>-4.5750817301629922</v>
      </c>
      <c r="T211" s="144">
        <f t="shared" si="42"/>
        <v>0</v>
      </c>
      <c r="V211" s="12"/>
    </row>
    <row r="212" spans="1:22" x14ac:dyDescent="0.25">
      <c r="A212" s="49">
        <f>'A) Base RI'!A213</f>
        <v>5743</v>
      </c>
      <c r="B212" s="352" t="str">
        <f>'A) Base RI'!B213</f>
        <v>Arnex-sur-Orbe</v>
      </c>
      <c r="C212" s="404">
        <v>433232.00045217597</v>
      </c>
      <c r="D212" s="404">
        <v>84113.985491750878</v>
      </c>
      <c r="E212" s="390">
        <v>0</v>
      </c>
      <c r="F212" s="390">
        <v>0</v>
      </c>
      <c r="G212" s="390">
        <v>0</v>
      </c>
      <c r="H212" s="404">
        <f t="shared" si="41"/>
        <v>517345.98594392685</v>
      </c>
      <c r="I212" s="405">
        <v>18380.074354130466</v>
      </c>
      <c r="J212" s="356">
        <f>'B) D RI'!U213</f>
        <v>18985.341168070638</v>
      </c>
      <c r="K212" s="62">
        <f t="shared" si="32"/>
        <v>28.147110614254188</v>
      </c>
      <c r="L212" s="33">
        <f>'B) D RI'!S213</f>
        <v>73</v>
      </c>
      <c r="M212" s="33">
        <f t="shared" si="27"/>
        <v>44.852889385745812</v>
      </c>
      <c r="N212" s="33">
        <f>'J) Plafonnement effort'!G211+'J) Plafonnement effort'!I211-'K) Plafonnement aide'!I211</f>
        <v>21.494421641213791</v>
      </c>
      <c r="O212" s="125">
        <f t="shared" si="28"/>
        <v>66.347311026959602</v>
      </c>
      <c r="P212" s="47">
        <f t="shared" si="29"/>
        <v>0</v>
      </c>
      <c r="Q212" s="55">
        <f t="shared" si="33"/>
        <v>0</v>
      </c>
      <c r="R212" s="145">
        <f t="shared" si="30"/>
        <v>66.347311026959602</v>
      </c>
      <c r="S212" s="125">
        <f t="shared" si="31"/>
        <v>-6.652688973040398</v>
      </c>
      <c r="T212" s="144">
        <f t="shared" si="42"/>
        <v>0</v>
      </c>
      <c r="V212" s="12"/>
    </row>
    <row r="213" spans="1:22" x14ac:dyDescent="0.25">
      <c r="A213" s="49">
        <f>'A) Base RI'!A214</f>
        <v>5744</v>
      </c>
      <c r="B213" s="352" t="str">
        <f>'A) Base RI'!B214</f>
        <v>Ballaigues</v>
      </c>
      <c r="C213" s="404">
        <v>1001497.786500917</v>
      </c>
      <c r="D213" s="404">
        <v>392964.30708814203</v>
      </c>
      <c r="E213" s="390">
        <v>0</v>
      </c>
      <c r="F213" s="390">
        <v>0</v>
      </c>
      <c r="G213" s="390">
        <v>0</v>
      </c>
      <c r="H213" s="404">
        <f t="shared" si="41"/>
        <v>1394462.0935890591</v>
      </c>
      <c r="I213" s="405">
        <v>36664.575000922312</v>
      </c>
      <c r="J213" s="356">
        <f>'B) D RI'!U214</f>
        <v>59853.218669078378</v>
      </c>
      <c r="K213" s="62">
        <f t="shared" si="32"/>
        <v>38.032953976801338</v>
      </c>
      <c r="L213" s="33">
        <f>'B) D RI'!S214</f>
        <v>66</v>
      </c>
      <c r="M213" s="33">
        <f t="shared" si="27"/>
        <v>27.967046023198662</v>
      </c>
      <c r="N213" s="33">
        <f>'J) Plafonnement effort'!G212+'J) Plafonnement effort'!I212-'K) Plafonnement aide'!I212</f>
        <v>38.821133368436314</v>
      </c>
      <c r="O213" s="125">
        <f t="shared" si="28"/>
        <v>66.788179391634969</v>
      </c>
      <c r="P213" s="47">
        <f t="shared" si="29"/>
        <v>0</v>
      </c>
      <c r="Q213" s="55">
        <f t="shared" si="33"/>
        <v>0</v>
      </c>
      <c r="R213" s="145">
        <f t="shared" si="30"/>
        <v>66.788179391634969</v>
      </c>
      <c r="S213" s="125">
        <f t="shared" si="31"/>
        <v>0.78817939163496931</v>
      </c>
      <c r="T213" s="144">
        <f t="shared" si="42"/>
        <v>0</v>
      </c>
      <c r="V213" s="12"/>
    </row>
    <row r="214" spans="1:22" x14ac:dyDescent="0.25">
      <c r="A214" s="49">
        <f>'A) Base RI'!A215</f>
        <v>5745</v>
      </c>
      <c r="B214" s="352" t="str">
        <f>'A) Base RI'!B215</f>
        <v>Baulmes</v>
      </c>
      <c r="C214" s="404">
        <v>621213.73741733329</v>
      </c>
      <c r="D214" s="404">
        <v>-71093.983071094379</v>
      </c>
      <c r="E214" s="390">
        <v>0</v>
      </c>
      <c r="F214" s="390">
        <v>0</v>
      </c>
      <c r="G214" s="390">
        <v>0</v>
      </c>
      <c r="H214" s="404">
        <f t="shared" si="41"/>
        <v>550119.75434623891</v>
      </c>
      <c r="I214" s="405">
        <v>26462.919353923764</v>
      </c>
      <c r="J214" s="356">
        <f>'B) D RI'!U215</f>
        <v>27688.42729631942</v>
      </c>
      <c r="K214" s="62">
        <f t="shared" si="32"/>
        <v>20.788324484867179</v>
      </c>
      <c r="L214" s="33">
        <f>'B) D RI'!S215</f>
        <v>78</v>
      </c>
      <c r="M214" s="33">
        <f t="shared" si="27"/>
        <v>57.211675515132825</v>
      </c>
      <c r="N214" s="33">
        <f>'J) Plafonnement effort'!G213+'J) Plafonnement effort'!I213-'K) Plafonnement aide'!I213</f>
        <v>6.48177403529494</v>
      </c>
      <c r="O214" s="125">
        <f t="shared" si="28"/>
        <v>63.693449550427765</v>
      </c>
      <c r="P214" s="47">
        <f t="shared" si="29"/>
        <v>0</v>
      </c>
      <c r="Q214" s="55">
        <f t="shared" si="33"/>
        <v>0</v>
      </c>
      <c r="R214" s="145">
        <f t="shared" si="30"/>
        <v>63.693449550427765</v>
      </c>
      <c r="S214" s="125">
        <f t="shared" si="31"/>
        <v>-14.306550449572235</v>
      </c>
      <c r="T214" s="144">
        <f t="shared" si="42"/>
        <v>0</v>
      </c>
      <c r="V214" s="12"/>
    </row>
    <row r="215" spans="1:22" x14ac:dyDescent="0.25">
      <c r="A215" s="49">
        <f>'A) Base RI'!A216</f>
        <v>5746</v>
      </c>
      <c r="B215" s="352" t="str">
        <f>'A) Base RI'!B216</f>
        <v>Bavois</v>
      </c>
      <c r="C215" s="404">
        <v>480772.10537827434</v>
      </c>
      <c r="D215" s="404">
        <v>88864.709339740919</v>
      </c>
      <c r="E215" s="390">
        <v>0</v>
      </c>
      <c r="F215" s="390">
        <v>0</v>
      </c>
      <c r="G215" s="390">
        <v>0</v>
      </c>
      <c r="H215" s="404">
        <f t="shared" si="41"/>
        <v>569636.81471801526</v>
      </c>
      <c r="I215" s="405">
        <v>26553.96285852553</v>
      </c>
      <c r="J215" s="356">
        <f>'B) D RI'!U216</f>
        <v>26210.064905994277</v>
      </c>
      <c r="K215" s="62">
        <f t="shared" si="32"/>
        <v>21.452045321932999</v>
      </c>
      <c r="L215" s="33">
        <f>'B) D RI'!S216</f>
        <v>73</v>
      </c>
      <c r="M215" s="33">
        <f t="shared" si="27"/>
        <v>51.547954678067001</v>
      </c>
      <c r="N215" s="33">
        <f>'J) Plafonnement effort'!G214+'J) Plafonnement effort'!I214-'K) Plafonnement aide'!I214</f>
        <v>12.991561579423973</v>
      </c>
      <c r="O215" s="125">
        <f t="shared" si="28"/>
        <v>64.539516257490973</v>
      </c>
      <c r="P215" s="47">
        <f t="shared" si="29"/>
        <v>0</v>
      </c>
      <c r="Q215" s="55">
        <f t="shared" si="33"/>
        <v>0</v>
      </c>
      <c r="R215" s="145">
        <f t="shared" si="30"/>
        <v>64.539516257490973</v>
      </c>
      <c r="S215" s="125">
        <f t="shared" si="31"/>
        <v>-8.4604837425090267</v>
      </c>
      <c r="T215" s="144">
        <f t="shared" si="42"/>
        <v>0</v>
      </c>
      <c r="V215" s="12"/>
    </row>
    <row r="216" spans="1:22" x14ac:dyDescent="0.25">
      <c r="A216" s="49">
        <f>'A) Base RI'!A217</f>
        <v>5747</v>
      </c>
      <c r="B216" s="352" t="str">
        <f>'A) Base RI'!B217</f>
        <v>Bofflens</v>
      </c>
      <c r="C216" s="404">
        <v>96159.615041023135</v>
      </c>
      <c r="D216" s="404">
        <v>4322.3135337103013</v>
      </c>
      <c r="E216" s="390">
        <v>0</v>
      </c>
      <c r="F216" s="390">
        <v>0</v>
      </c>
      <c r="G216" s="390">
        <v>0</v>
      </c>
      <c r="H216" s="404">
        <f t="shared" si="41"/>
        <v>100481.92857473344</v>
      </c>
      <c r="I216" s="405">
        <v>4975.9343453180645</v>
      </c>
      <c r="J216" s="356">
        <f>'B) D RI'!U217</f>
        <v>5918.808029883834</v>
      </c>
      <c r="K216" s="62">
        <f t="shared" si="32"/>
        <v>20.193580059849157</v>
      </c>
      <c r="L216" s="33">
        <f>'B) D RI'!S217</f>
        <v>69</v>
      </c>
      <c r="M216" s="33">
        <f t="shared" si="27"/>
        <v>48.806419940150846</v>
      </c>
      <c r="N216" s="33">
        <f>'J) Plafonnement effort'!G215+'J) Plafonnement effort'!I215-'K) Plafonnement aide'!I215</f>
        <v>-15.739881009942728</v>
      </c>
      <c r="O216" s="125">
        <f t="shared" si="28"/>
        <v>33.066538930208118</v>
      </c>
      <c r="P216" s="47">
        <f t="shared" si="29"/>
        <v>0</v>
      </c>
      <c r="Q216" s="55">
        <f t="shared" si="33"/>
        <v>0</v>
      </c>
      <c r="R216" s="145">
        <f t="shared" si="30"/>
        <v>33.066538930208118</v>
      </c>
      <c r="S216" s="125">
        <f t="shared" si="31"/>
        <v>-35.933461069791882</v>
      </c>
      <c r="T216" s="144">
        <f t="shared" si="42"/>
        <v>0</v>
      </c>
      <c r="V216" s="12"/>
    </row>
    <row r="217" spans="1:22" x14ac:dyDescent="0.25">
      <c r="A217" s="49">
        <f>'A) Base RI'!A218</f>
        <v>5748</v>
      </c>
      <c r="B217" s="352" t="str">
        <f>'A) Base RI'!B218</f>
        <v>Bretonnières</v>
      </c>
      <c r="C217" s="404">
        <v>109215.58020836918</v>
      </c>
      <c r="D217" s="404">
        <v>-51069.631455888259</v>
      </c>
      <c r="E217" s="390">
        <v>0</v>
      </c>
      <c r="F217" s="390">
        <v>0</v>
      </c>
      <c r="G217" s="390">
        <v>0</v>
      </c>
      <c r="H217" s="404">
        <f t="shared" si="41"/>
        <v>58145.948752480923</v>
      </c>
      <c r="I217" s="405">
        <v>5547.867770022187</v>
      </c>
      <c r="J217" s="356">
        <f>'B) D RI'!U218</f>
        <v>7309.8392085479882</v>
      </c>
      <c r="K217" s="62">
        <f t="shared" si="32"/>
        <v>10.480774085256972</v>
      </c>
      <c r="L217" s="33">
        <f>'B) D RI'!S218</f>
        <v>72</v>
      </c>
      <c r="M217" s="33">
        <f t="shared" si="27"/>
        <v>61.519225914743032</v>
      </c>
      <c r="N217" s="33">
        <f>'J) Plafonnement effort'!G216+'J) Plafonnement effort'!I216-'K) Plafonnement aide'!I216</f>
        <v>11.452191288019897</v>
      </c>
      <c r="O217" s="125">
        <f t="shared" si="28"/>
        <v>72.971417202762922</v>
      </c>
      <c r="P217" s="47">
        <f t="shared" si="29"/>
        <v>0</v>
      </c>
      <c r="Q217" s="55">
        <f t="shared" si="33"/>
        <v>0</v>
      </c>
      <c r="R217" s="145">
        <f t="shared" si="30"/>
        <v>72.971417202762922</v>
      </c>
      <c r="S217" s="125">
        <f t="shared" si="31"/>
        <v>0.97141720276292176</v>
      </c>
      <c r="T217" s="144">
        <f t="shared" si="42"/>
        <v>0</v>
      </c>
      <c r="V217" s="12"/>
    </row>
    <row r="218" spans="1:22" x14ac:dyDescent="0.25">
      <c r="A218" s="49">
        <f>'A) Base RI'!A219</f>
        <v>5749</v>
      </c>
      <c r="B218" s="352" t="str">
        <f>'A) Base RI'!B219</f>
        <v>Chavornay</v>
      </c>
      <c r="C218" s="404">
        <v>2497620.9453546721</v>
      </c>
      <c r="D218" s="404">
        <v>-846519.49417368975</v>
      </c>
      <c r="E218" s="390">
        <v>0</v>
      </c>
      <c r="F218" s="390">
        <v>0</v>
      </c>
      <c r="G218" s="390">
        <v>0</v>
      </c>
      <c r="H218" s="404">
        <f t="shared" si="41"/>
        <v>1651101.4511809824</v>
      </c>
      <c r="I218" s="405">
        <v>136712.84503559873</v>
      </c>
      <c r="J218" s="356">
        <f>'B) D RI'!U219</f>
        <v>132437.33386463847</v>
      </c>
      <c r="K218" s="62">
        <f t="shared" ref="K218" si="43">H218/I218</f>
        <v>12.077149376498244</v>
      </c>
      <c r="L218" s="33">
        <f>'B) D RI'!S219</f>
        <v>72</v>
      </c>
      <c r="M218" s="33">
        <f t="shared" ref="M218" si="44">L218-K218</f>
        <v>59.922850623501759</v>
      </c>
      <c r="N218" s="33">
        <f>'J) Plafonnement effort'!G217+'J) Plafonnement effort'!I217-'K) Plafonnement aide'!I217</f>
        <v>4.5828810363795984</v>
      </c>
      <c r="O218" s="125">
        <f t="shared" ref="O218" si="45">M218+N218</f>
        <v>64.505731659881363</v>
      </c>
      <c r="P218" s="47">
        <f t="shared" ref="P218" si="46">IF(O218&gt;$P$5,$P$5-O218,0)</f>
        <v>0</v>
      </c>
      <c r="Q218" s="55">
        <f t="shared" ref="Q218" si="47">P218*J218</f>
        <v>0</v>
      </c>
      <c r="R218" s="145">
        <f t="shared" ref="R218" si="48">O218+P218</f>
        <v>64.505731659881363</v>
      </c>
      <c r="S218" s="125">
        <f t="shared" ref="S218" si="49">R218-L218</f>
        <v>-7.4942683401186372</v>
      </c>
      <c r="T218" s="144">
        <f t="shared" si="42"/>
        <v>0</v>
      </c>
      <c r="V218" s="12"/>
    </row>
    <row r="219" spans="1:22" x14ac:dyDescent="0.25">
      <c r="A219" s="49">
        <f>'A) Base RI'!A220</f>
        <v>5750</v>
      </c>
      <c r="B219" s="352" t="str">
        <f>'A) Base RI'!B220</f>
        <v>Les Clées</v>
      </c>
      <c r="C219" s="404">
        <v>79591.055148962041</v>
      </c>
      <c r="D219" s="404">
        <v>1894.2446733002143</v>
      </c>
      <c r="E219" s="390">
        <v>0</v>
      </c>
      <c r="F219" s="390">
        <v>0</v>
      </c>
      <c r="G219" s="390">
        <v>0</v>
      </c>
      <c r="H219" s="404">
        <f t="shared" si="41"/>
        <v>81485.299822262255</v>
      </c>
      <c r="I219" s="405">
        <v>5161.3627278037393</v>
      </c>
      <c r="J219" s="356">
        <f>'B) D RI'!U220</f>
        <v>5045.6080220470376</v>
      </c>
      <c r="K219" s="62">
        <f t="shared" si="32"/>
        <v>15.787555364653832</v>
      </c>
      <c r="L219" s="33">
        <f>'B) D RI'!S220</f>
        <v>80</v>
      </c>
      <c r="M219" s="33">
        <f t="shared" ref="M219:M260" si="50">L219-K219</f>
        <v>64.212444635346174</v>
      </c>
      <c r="N219" s="33">
        <f>'J) Plafonnement effort'!G218+'J) Plafonnement effort'!I218-'K) Plafonnement aide'!I218</f>
        <v>2.6499514324270077</v>
      </c>
      <c r="O219" s="125">
        <f t="shared" ref="O219:O260" si="51">M219+N219</f>
        <v>66.862396067773176</v>
      </c>
      <c r="P219" s="47">
        <f t="shared" ref="P219:P260" si="52">IF(O219&gt;$P$5,$P$5-O219,0)</f>
        <v>0</v>
      </c>
      <c r="Q219" s="55">
        <f t="shared" si="33"/>
        <v>0</v>
      </c>
      <c r="R219" s="145">
        <f t="shared" ref="R219:R260" si="53">O219+P219</f>
        <v>66.862396067773176</v>
      </c>
      <c r="S219" s="125">
        <f t="shared" ref="S219:S260" si="54">R219-L219</f>
        <v>-13.137603932226824</v>
      </c>
      <c r="T219" s="144">
        <f t="shared" si="42"/>
        <v>0</v>
      </c>
      <c r="V219" s="12"/>
    </row>
    <row r="220" spans="1:22" x14ac:dyDescent="0.25">
      <c r="A220" s="49">
        <f>'A) Base RI'!A221</f>
        <v>5752</v>
      </c>
      <c r="B220" s="352" t="str">
        <f>'A) Base RI'!B221</f>
        <v>Croy</v>
      </c>
      <c r="C220" s="404">
        <v>192543.8482392311</v>
      </c>
      <c r="D220" s="404">
        <v>7637.9373734309047</v>
      </c>
      <c r="E220" s="390">
        <v>0</v>
      </c>
      <c r="F220" s="390">
        <v>0</v>
      </c>
      <c r="G220" s="390">
        <v>0</v>
      </c>
      <c r="H220" s="404">
        <f t="shared" si="41"/>
        <v>200181.785612662</v>
      </c>
      <c r="I220" s="405">
        <v>10757.15843408766</v>
      </c>
      <c r="J220" s="356">
        <f>'B) D RI'!U221</f>
        <v>9708.3693774468666</v>
      </c>
      <c r="K220" s="62">
        <f t="shared" ref="K220:K264" si="55">H220/I220</f>
        <v>18.60916959057877</v>
      </c>
      <c r="L220" s="33">
        <f>'B) D RI'!S221</f>
        <v>74</v>
      </c>
      <c r="M220" s="33">
        <f t="shared" si="50"/>
        <v>55.390830409421227</v>
      </c>
      <c r="N220" s="33">
        <f>'J) Plafonnement effort'!G219+'J) Plafonnement effort'!I219-'K) Plafonnement aide'!I219</f>
        <v>4.106751332625743</v>
      </c>
      <c r="O220" s="125">
        <f t="shared" si="51"/>
        <v>59.497581742046968</v>
      </c>
      <c r="P220" s="47">
        <f t="shared" si="52"/>
        <v>0</v>
      </c>
      <c r="Q220" s="55">
        <f t="shared" si="33"/>
        <v>0</v>
      </c>
      <c r="R220" s="145">
        <f t="shared" si="53"/>
        <v>59.497581742046968</v>
      </c>
      <c r="S220" s="125">
        <f t="shared" si="54"/>
        <v>-14.502418257953032</v>
      </c>
      <c r="T220" s="144">
        <f t="shared" si="42"/>
        <v>0</v>
      </c>
      <c r="V220" s="12"/>
    </row>
    <row r="221" spans="1:22" x14ac:dyDescent="0.25">
      <c r="A221" s="49">
        <f>'A) Base RI'!A222</f>
        <v>5754</v>
      </c>
      <c r="B221" s="352" t="str">
        <f>'A) Base RI'!B222</f>
        <v>Juriens</v>
      </c>
      <c r="C221" s="404">
        <v>128643.32207824853</v>
      </c>
      <c r="D221" s="404">
        <v>-18322.205597774766</v>
      </c>
      <c r="E221" s="390">
        <v>0</v>
      </c>
      <c r="F221" s="390">
        <v>0</v>
      </c>
      <c r="G221" s="390">
        <v>0</v>
      </c>
      <c r="H221" s="404">
        <f t="shared" si="41"/>
        <v>110321.11648047376</v>
      </c>
      <c r="I221" s="405">
        <v>8043.6966976741023</v>
      </c>
      <c r="J221" s="356">
        <f>'B) D RI'!U222</f>
        <v>9236.0554663405946</v>
      </c>
      <c r="K221" s="62">
        <f t="shared" si="55"/>
        <v>13.715225800641386</v>
      </c>
      <c r="L221" s="33">
        <f>'B) D RI'!S222</f>
        <v>79</v>
      </c>
      <c r="M221" s="33">
        <f t="shared" si="50"/>
        <v>65.284774199358608</v>
      </c>
      <c r="N221" s="33">
        <f>'J) Plafonnement effort'!G220+'J) Plafonnement effort'!I220-'K) Plafonnement aide'!I220</f>
        <v>11.658202953615412</v>
      </c>
      <c r="O221" s="125">
        <f t="shared" si="51"/>
        <v>76.942977152974024</v>
      </c>
      <c r="P221" s="47">
        <f t="shared" si="52"/>
        <v>0</v>
      </c>
      <c r="Q221" s="55">
        <f t="shared" ref="Q221:Q265" si="56">P221*J221</f>
        <v>0</v>
      </c>
      <c r="R221" s="145">
        <f t="shared" si="53"/>
        <v>76.942977152974024</v>
      </c>
      <c r="S221" s="125">
        <f t="shared" si="54"/>
        <v>-2.0570228470259764</v>
      </c>
      <c r="T221" s="144">
        <f t="shared" si="42"/>
        <v>0</v>
      </c>
      <c r="V221" s="12"/>
    </row>
    <row r="222" spans="1:22" x14ac:dyDescent="0.25">
      <c r="A222" s="49">
        <f>'A) Base RI'!A223</f>
        <v>5755</v>
      </c>
      <c r="B222" s="352" t="str">
        <f>'A) Base RI'!B223</f>
        <v>Lignerolle</v>
      </c>
      <c r="C222" s="404">
        <v>167768.69019446126</v>
      </c>
      <c r="D222" s="404">
        <v>-98955.294537564012</v>
      </c>
      <c r="E222" s="390">
        <v>0</v>
      </c>
      <c r="F222" s="390">
        <v>0</v>
      </c>
      <c r="G222" s="390">
        <v>0</v>
      </c>
      <c r="H222" s="404">
        <f t="shared" si="41"/>
        <v>68813.39565689725</v>
      </c>
      <c r="I222" s="405">
        <v>9515.1754002495127</v>
      </c>
      <c r="J222" s="356">
        <f>'B) D RI'!U223</f>
        <v>9814.7983020645443</v>
      </c>
      <c r="K222" s="62">
        <f t="shared" si="55"/>
        <v>7.231962918423215</v>
      </c>
      <c r="L222" s="33">
        <f>'B) D RI'!S223</f>
        <v>80</v>
      </c>
      <c r="M222" s="33">
        <f t="shared" si="50"/>
        <v>72.768037081576779</v>
      </c>
      <c r="N222" s="33">
        <f>'J) Plafonnement effort'!G221+'J) Plafonnement effort'!I221-'K) Plafonnement aide'!I221</f>
        <v>-4.6458503495665937</v>
      </c>
      <c r="O222" s="125">
        <f t="shared" si="51"/>
        <v>68.122186732010192</v>
      </c>
      <c r="P222" s="47">
        <f t="shared" si="52"/>
        <v>0</v>
      </c>
      <c r="Q222" s="55">
        <f t="shared" si="56"/>
        <v>0</v>
      </c>
      <c r="R222" s="145">
        <f t="shared" si="53"/>
        <v>68.122186732010192</v>
      </c>
      <c r="S222" s="125">
        <f t="shared" si="54"/>
        <v>-11.877813267989808</v>
      </c>
      <c r="T222" s="144">
        <f t="shared" si="42"/>
        <v>0</v>
      </c>
      <c r="V222" s="12"/>
    </row>
    <row r="223" spans="1:22" x14ac:dyDescent="0.25">
      <c r="A223" s="49">
        <f>'A) Base RI'!A224</f>
        <v>5756</v>
      </c>
      <c r="B223" s="352" t="str">
        <f>'A) Base RI'!B224</f>
        <v>Montcherand</v>
      </c>
      <c r="C223" s="404">
        <v>268180.39736784721</v>
      </c>
      <c r="D223" s="404">
        <v>160613.36132485131</v>
      </c>
      <c r="E223" s="390">
        <v>0</v>
      </c>
      <c r="F223" s="390">
        <v>0</v>
      </c>
      <c r="G223" s="390">
        <v>0</v>
      </c>
      <c r="H223" s="404">
        <f t="shared" si="41"/>
        <v>428793.75869269855</v>
      </c>
      <c r="I223" s="405">
        <v>16469.035494125688</v>
      </c>
      <c r="J223" s="356">
        <f>'B) D RI'!U224</f>
        <v>16245.150277777775</v>
      </c>
      <c r="K223" s="62">
        <f t="shared" si="55"/>
        <v>26.036361318526776</v>
      </c>
      <c r="L223" s="33">
        <f>'B) D RI'!S224</f>
        <v>72</v>
      </c>
      <c r="M223" s="33">
        <f t="shared" si="50"/>
        <v>45.963638681473228</v>
      </c>
      <c r="N223" s="33">
        <f>'J) Plafonnement effort'!G222+'J) Plafonnement effort'!I222-'K) Plafonnement aide'!I222</f>
        <v>20.245318406057706</v>
      </c>
      <c r="O223" s="125">
        <f t="shared" si="51"/>
        <v>66.208957087530933</v>
      </c>
      <c r="P223" s="47">
        <f t="shared" si="52"/>
        <v>0</v>
      </c>
      <c r="Q223" s="55">
        <f t="shared" si="56"/>
        <v>0</v>
      </c>
      <c r="R223" s="145">
        <f t="shared" si="53"/>
        <v>66.208957087530933</v>
      </c>
      <c r="S223" s="125">
        <f t="shared" si="54"/>
        <v>-5.7910429124690666</v>
      </c>
      <c r="T223" s="144">
        <f t="shared" si="42"/>
        <v>0</v>
      </c>
      <c r="V223" s="12"/>
    </row>
    <row r="224" spans="1:22" x14ac:dyDescent="0.25">
      <c r="A224" s="49">
        <f>'A) Base RI'!A225</f>
        <v>5757</v>
      </c>
      <c r="B224" s="352" t="str">
        <f>'A) Base RI'!B225</f>
        <v>Orbe</v>
      </c>
      <c r="C224" s="404">
        <v>4577553.9374422561</v>
      </c>
      <c r="D224" s="404">
        <v>-1339036.9886599449</v>
      </c>
      <c r="E224" s="390">
        <v>0</v>
      </c>
      <c r="F224" s="390">
        <v>0</v>
      </c>
      <c r="G224" s="390">
        <v>0</v>
      </c>
      <c r="H224" s="404">
        <f t="shared" si="41"/>
        <v>3238516.9487823113</v>
      </c>
      <c r="I224" s="405">
        <v>204851.86723579146</v>
      </c>
      <c r="J224" s="356">
        <f>'B) D RI'!U225</f>
        <v>201366.36924156587</v>
      </c>
      <c r="K224" s="62">
        <f t="shared" si="55"/>
        <v>15.809067266419731</v>
      </c>
      <c r="L224" s="33">
        <f>'B) D RI'!S225</f>
        <v>77</v>
      </c>
      <c r="M224" s="33">
        <f t="shared" si="50"/>
        <v>61.190932733580269</v>
      </c>
      <c r="N224" s="33">
        <f>'J) Plafonnement effort'!G223+'J) Plafonnement effort'!I223-'K) Plafonnement aide'!I223</f>
        <v>4.1186487760083814</v>
      </c>
      <c r="O224" s="125">
        <f t="shared" si="51"/>
        <v>65.309581509588654</v>
      </c>
      <c r="P224" s="47">
        <f t="shared" si="52"/>
        <v>0</v>
      </c>
      <c r="Q224" s="55">
        <f t="shared" si="56"/>
        <v>0</v>
      </c>
      <c r="R224" s="145">
        <f t="shared" si="53"/>
        <v>65.309581509588654</v>
      </c>
      <c r="S224" s="125">
        <f t="shared" si="54"/>
        <v>-11.690418490411346</v>
      </c>
      <c r="T224" s="144">
        <f t="shared" si="42"/>
        <v>0</v>
      </c>
      <c r="V224" s="12"/>
    </row>
    <row r="225" spans="1:22" x14ac:dyDescent="0.25">
      <c r="A225" s="49">
        <f>'A) Base RI'!A226</f>
        <v>5758</v>
      </c>
      <c r="B225" s="352" t="str">
        <f>'A) Base RI'!B226</f>
        <v>La Praz</v>
      </c>
      <c r="C225" s="404">
        <v>101219.14778899857</v>
      </c>
      <c r="D225" s="404">
        <v>-10950.463219863173</v>
      </c>
      <c r="E225" s="390">
        <v>0</v>
      </c>
      <c r="F225" s="390">
        <v>0</v>
      </c>
      <c r="G225" s="390">
        <v>-7157.9460064059713</v>
      </c>
      <c r="H225" s="404">
        <f t="shared" si="41"/>
        <v>83110.738562729428</v>
      </c>
      <c r="I225" s="405">
        <v>4452.1612722088212</v>
      </c>
      <c r="J225" s="356">
        <f>'B) D RI'!U226</f>
        <v>4518.3622106026551</v>
      </c>
      <c r="K225" s="62">
        <f t="shared" si="55"/>
        <v>18.667504046073393</v>
      </c>
      <c r="L225" s="33">
        <f>'B) D RI'!S226</f>
        <v>83</v>
      </c>
      <c r="M225" s="33">
        <f t="shared" si="50"/>
        <v>64.33249595392661</v>
      </c>
      <c r="N225" s="33">
        <f>'J) Plafonnement effort'!G224+'J) Plafonnement effort'!I224-'K) Plafonnement aide'!I224</f>
        <v>11.731203949286702</v>
      </c>
      <c r="O225" s="125">
        <f t="shared" si="51"/>
        <v>76.063699903213319</v>
      </c>
      <c r="P225" s="47">
        <f t="shared" si="52"/>
        <v>0</v>
      </c>
      <c r="Q225" s="55">
        <f t="shared" si="56"/>
        <v>0</v>
      </c>
      <c r="R225" s="145">
        <f t="shared" si="53"/>
        <v>76.063699903213319</v>
      </c>
      <c r="S225" s="125">
        <f t="shared" si="54"/>
        <v>-6.936300096786681</v>
      </c>
      <c r="T225" s="144">
        <f t="shared" si="42"/>
        <v>0</v>
      </c>
      <c r="V225" s="12"/>
    </row>
    <row r="226" spans="1:22" x14ac:dyDescent="0.25">
      <c r="A226" s="49">
        <f>'A) Base RI'!A227</f>
        <v>5759</v>
      </c>
      <c r="B226" s="352" t="str">
        <f>'A) Base RI'!B227</f>
        <v>Premier</v>
      </c>
      <c r="C226" s="404">
        <v>103694.98847397922</v>
      </c>
      <c r="D226" s="404">
        <v>-55664.00404475056</v>
      </c>
      <c r="E226" s="390">
        <v>0</v>
      </c>
      <c r="F226" s="390">
        <v>0</v>
      </c>
      <c r="G226" s="390">
        <v>0</v>
      </c>
      <c r="H226" s="404">
        <f t="shared" si="41"/>
        <v>48030.984429228658</v>
      </c>
      <c r="I226" s="405">
        <v>4744.8996537773928</v>
      </c>
      <c r="J226" s="356">
        <f>'B) D RI'!U227</f>
        <v>5274.1329854177848</v>
      </c>
      <c r="K226" s="62">
        <f t="shared" si="55"/>
        <v>10.122655468802467</v>
      </c>
      <c r="L226" s="33">
        <f>'B) D RI'!S227</f>
        <v>81</v>
      </c>
      <c r="M226" s="33">
        <f t="shared" si="50"/>
        <v>70.877344531197537</v>
      </c>
      <c r="N226" s="33">
        <f>'J) Plafonnement effort'!G225+'J) Plafonnement effort'!I225-'K) Plafonnement aide'!I225</f>
        <v>7.1578173421009694E-2</v>
      </c>
      <c r="O226" s="125">
        <f t="shared" si="51"/>
        <v>70.948922704618553</v>
      </c>
      <c r="P226" s="47">
        <f t="shared" si="52"/>
        <v>0</v>
      </c>
      <c r="Q226" s="55">
        <f t="shared" si="56"/>
        <v>0</v>
      </c>
      <c r="R226" s="145">
        <f t="shared" si="53"/>
        <v>70.948922704618553</v>
      </c>
      <c r="S226" s="125">
        <f t="shared" si="54"/>
        <v>-10.051077295381447</v>
      </c>
      <c r="T226" s="144">
        <f t="shared" si="42"/>
        <v>0</v>
      </c>
      <c r="V226" s="12"/>
    </row>
    <row r="227" spans="1:22" x14ac:dyDescent="0.25">
      <c r="A227" s="49">
        <f>'A) Base RI'!A228</f>
        <v>5760</v>
      </c>
      <c r="B227" s="352" t="str">
        <f>'A) Base RI'!B228</f>
        <v>Rances</v>
      </c>
      <c r="C227" s="404">
        <v>219110.43101214201</v>
      </c>
      <c r="D227" s="404">
        <v>-74928.816814615595</v>
      </c>
      <c r="E227" s="390">
        <v>0</v>
      </c>
      <c r="F227" s="390">
        <v>0</v>
      </c>
      <c r="G227" s="390">
        <v>0</v>
      </c>
      <c r="H227" s="404">
        <f t="shared" si="41"/>
        <v>144181.61419752642</v>
      </c>
      <c r="I227" s="405">
        <v>11421.2396274482</v>
      </c>
      <c r="J227" s="356">
        <f>'B) D RI'!U228</f>
        <v>12374.249316544765</v>
      </c>
      <c r="K227" s="62">
        <f t="shared" si="55"/>
        <v>12.623989943352614</v>
      </c>
      <c r="L227" s="33">
        <f>'B) D RI'!S228</f>
        <v>78</v>
      </c>
      <c r="M227" s="33">
        <f t="shared" si="50"/>
        <v>65.376010056647388</v>
      </c>
      <c r="N227" s="33">
        <f>'J) Plafonnement effort'!G226+'J) Plafonnement effort'!I226-'K) Plafonnement aide'!I226</f>
        <v>0.80741377383636248</v>
      </c>
      <c r="O227" s="125">
        <f t="shared" si="51"/>
        <v>66.183423830483747</v>
      </c>
      <c r="P227" s="47">
        <f t="shared" si="52"/>
        <v>0</v>
      </c>
      <c r="Q227" s="55">
        <f t="shared" si="56"/>
        <v>0</v>
      </c>
      <c r="R227" s="145">
        <f t="shared" si="53"/>
        <v>66.183423830483747</v>
      </c>
      <c r="S227" s="125">
        <f t="shared" si="54"/>
        <v>-11.816576169516253</v>
      </c>
      <c r="T227" s="144">
        <f t="shared" si="42"/>
        <v>0</v>
      </c>
      <c r="V227" s="12"/>
    </row>
    <row r="228" spans="1:22" x14ac:dyDescent="0.25">
      <c r="A228" s="49">
        <f>'A) Base RI'!A229</f>
        <v>5761</v>
      </c>
      <c r="B228" s="352" t="str">
        <f>'A) Base RI'!B229</f>
        <v>Romainmôtier-Envy</v>
      </c>
      <c r="C228" s="404">
        <v>281741.87841426145</v>
      </c>
      <c r="D228" s="404">
        <v>-24352.393648567086</v>
      </c>
      <c r="E228" s="390">
        <v>0</v>
      </c>
      <c r="F228" s="390">
        <v>0</v>
      </c>
      <c r="G228" s="390">
        <v>0</v>
      </c>
      <c r="H228" s="404">
        <f t="shared" si="41"/>
        <v>257389.48476569436</v>
      </c>
      <c r="I228" s="405">
        <v>14547.39613540147</v>
      </c>
      <c r="J228" s="356">
        <f>'B) D RI'!U229</f>
        <v>12292.452150942587</v>
      </c>
      <c r="K228" s="62">
        <f t="shared" si="55"/>
        <v>17.693165317697666</v>
      </c>
      <c r="L228" s="33">
        <f>'B) D RI'!S229</f>
        <v>81</v>
      </c>
      <c r="M228" s="33">
        <f t="shared" si="50"/>
        <v>63.306834682302338</v>
      </c>
      <c r="N228" s="33">
        <f>'J) Plafonnement effort'!G227+'J) Plafonnement effort'!I227-'K) Plafonnement aide'!I227</f>
        <v>-1.2626566127624894</v>
      </c>
      <c r="O228" s="125">
        <f t="shared" si="51"/>
        <v>62.044178069539846</v>
      </c>
      <c r="P228" s="47">
        <f t="shared" si="52"/>
        <v>0</v>
      </c>
      <c r="Q228" s="55">
        <f t="shared" si="56"/>
        <v>0</v>
      </c>
      <c r="R228" s="145">
        <f t="shared" si="53"/>
        <v>62.044178069539846</v>
      </c>
      <c r="S228" s="125">
        <f t="shared" si="54"/>
        <v>-18.955821930460154</v>
      </c>
      <c r="T228" s="144">
        <f t="shared" si="42"/>
        <v>0</v>
      </c>
      <c r="V228" s="12"/>
    </row>
    <row r="229" spans="1:22" x14ac:dyDescent="0.25">
      <c r="A229" s="49">
        <f>'A) Base RI'!A230</f>
        <v>5762</v>
      </c>
      <c r="B229" s="352" t="str">
        <f>'A) Base RI'!B230</f>
        <v>Sergey</v>
      </c>
      <c r="C229" s="404">
        <v>60104.580568030055</v>
      </c>
      <c r="D229" s="404">
        <v>-9167.6917742231453</v>
      </c>
      <c r="E229" s="390">
        <v>0</v>
      </c>
      <c r="F229" s="390">
        <v>0</v>
      </c>
      <c r="G229" s="390">
        <v>0</v>
      </c>
      <c r="H229" s="404">
        <f t="shared" si="41"/>
        <v>50936.888793806909</v>
      </c>
      <c r="I229" s="405">
        <v>3763.729317622563</v>
      </c>
      <c r="J229" s="356">
        <f>'B) D RI'!U230</f>
        <v>3995.7603289795202</v>
      </c>
      <c r="K229" s="62">
        <f t="shared" si="55"/>
        <v>13.533621707413923</v>
      </c>
      <c r="L229" s="33">
        <f>'B) D RI'!S230</f>
        <v>78</v>
      </c>
      <c r="M229" s="33">
        <f t="shared" si="50"/>
        <v>64.466378292586072</v>
      </c>
      <c r="N229" s="33">
        <f>'J) Plafonnement effort'!G228+'J) Plafonnement effort'!I228-'K) Plafonnement aide'!I228</f>
        <v>14.87707589927083</v>
      </c>
      <c r="O229" s="125">
        <f t="shared" si="51"/>
        <v>79.343454191856907</v>
      </c>
      <c r="P229" s="47">
        <f t="shared" si="52"/>
        <v>0</v>
      </c>
      <c r="Q229" s="55">
        <f t="shared" si="56"/>
        <v>0</v>
      </c>
      <c r="R229" s="145">
        <f t="shared" si="53"/>
        <v>79.343454191856907</v>
      </c>
      <c r="S229" s="125">
        <f t="shared" si="54"/>
        <v>1.3434541918569067</v>
      </c>
      <c r="T229" s="144">
        <f t="shared" si="42"/>
        <v>0</v>
      </c>
      <c r="V229" s="12"/>
    </row>
    <row r="230" spans="1:22" x14ac:dyDescent="0.25">
      <c r="A230" s="49">
        <f>'A) Base RI'!A231</f>
        <v>5763</v>
      </c>
      <c r="B230" s="352" t="str">
        <f>'A) Base RI'!B231</f>
        <v>Valeyres-sous-Rances</v>
      </c>
      <c r="C230" s="404">
        <v>327535.01869700267</v>
      </c>
      <c r="D230" s="404">
        <v>229551.1585588794</v>
      </c>
      <c r="E230" s="390">
        <v>0</v>
      </c>
      <c r="F230" s="390">
        <v>0</v>
      </c>
      <c r="G230" s="390">
        <v>0</v>
      </c>
      <c r="H230" s="404">
        <f t="shared" si="41"/>
        <v>557086.17725588207</v>
      </c>
      <c r="I230" s="405">
        <v>20916.396171179269</v>
      </c>
      <c r="J230" s="356">
        <f>'B) D RI'!U231</f>
        <v>21943.401480636676</v>
      </c>
      <c r="K230" s="62">
        <f t="shared" si="55"/>
        <v>26.633946531548865</v>
      </c>
      <c r="L230" s="33">
        <f>'B) D RI'!S231</f>
        <v>68</v>
      </c>
      <c r="M230" s="33">
        <f t="shared" si="50"/>
        <v>41.366053468451135</v>
      </c>
      <c r="N230" s="33">
        <f>'J) Plafonnement effort'!G229+'J) Plafonnement effort'!I229-'K) Plafonnement aide'!I229</f>
        <v>22.903426620423303</v>
      </c>
      <c r="O230" s="125">
        <f t="shared" si="51"/>
        <v>64.269480088874445</v>
      </c>
      <c r="P230" s="47">
        <f t="shared" si="52"/>
        <v>0</v>
      </c>
      <c r="Q230" s="55">
        <f t="shared" si="56"/>
        <v>0</v>
      </c>
      <c r="R230" s="145">
        <f t="shared" si="53"/>
        <v>64.269480088874445</v>
      </c>
      <c r="S230" s="125">
        <f t="shared" si="54"/>
        <v>-3.7305199111255547</v>
      </c>
      <c r="T230" s="144">
        <f t="shared" si="42"/>
        <v>0</v>
      </c>
      <c r="V230" s="12"/>
    </row>
    <row r="231" spans="1:22" x14ac:dyDescent="0.25">
      <c r="A231" s="49">
        <f>'A) Base RI'!A232</f>
        <v>5764</v>
      </c>
      <c r="B231" s="352" t="str">
        <f>'A) Base RI'!B232</f>
        <v>Vallorbe</v>
      </c>
      <c r="C231" s="404">
        <v>2149687.4564380683</v>
      </c>
      <c r="D231" s="404">
        <v>-1446358.4480195227</v>
      </c>
      <c r="E231" s="390">
        <v>0</v>
      </c>
      <c r="F231" s="390">
        <v>0</v>
      </c>
      <c r="G231" s="390">
        <v>0</v>
      </c>
      <c r="H231" s="404">
        <f t="shared" si="41"/>
        <v>703329.00841854559</v>
      </c>
      <c r="I231" s="405">
        <v>83482.591885585367</v>
      </c>
      <c r="J231" s="356">
        <f>'B) D RI'!U232</f>
        <v>87589.078285934462</v>
      </c>
      <c r="K231" s="62">
        <f t="shared" si="55"/>
        <v>8.424858315161952</v>
      </c>
      <c r="L231" s="33">
        <f>'B) D RI'!S232</f>
        <v>73</v>
      </c>
      <c r="M231" s="33">
        <f t="shared" si="50"/>
        <v>64.575141684838044</v>
      </c>
      <c r="N231" s="33">
        <f>'J) Plafonnement effort'!G230+'J) Plafonnement effort'!I230-'K) Plafonnement aide'!I230</f>
        <v>-14.338664594447813</v>
      </c>
      <c r="O231" s="125">
        <f t="shared" si="51"/>
        <v>50.236477090390231</v>
      </c>
      <c r="P231" s="47">
        <f t="shared" si="52"/>
        <v>0</v>
      </c>
      <c r="Q231" s="55">
        <f t="shared" si="56"/>
        <v>0</v>
      </c>
      <c r="R231" s="145">
        <f t="shared" si="53"/>
        <v>50.236477090390231</v>
      </c>
      <c r="S231" s="125">
        <f t="shared" si="54"/>
        <v>-22.763522909609769</v>
      </c>
      <c r="T231" s="144">
        <f t="shared" si="42"/>
        <v>0</v>
      </c>
      <c r="V231" s="12"/>
    </row>
    <row r="232" spans="1:22" x14ac:dyDescent="0.25">
      <c r="A232" s="49">
        <f>'A) Base RI'!A233</f>
        <v>5765</v>
      </c>
      <c r="B232" s="352" t="str">
        <f>'A) Base RI'!B233</f>
        <v>Vaulion</v>
      </c>
      <c r="C232" s="404">
        <v>191505.04473323288</v>
      </c>
      <c r="D232" s="404">
        <v>-153927.46115131903</v>
      </c>
      <c r="E232" s="390">
        <v>0</v>
      </c>
      <c r="F232" s="390">
        <v>0</v>
      </c>
      <c r="G232" s="390">
        <v>0</v>
      </c>
      <c r="H232" s="404">
        <f t="shared" si="41"/>
        <v>37577.583581913845</v>
      </c>
      <c r="I232" s="405">
        <v>9771.3712818501954</v>
      </c>
      <c r="J232" s="356">
        <f>'B) D RI'!U233</f>
        <v>11954.157309155948</v>
      </c>
      <c r="K232" s="62">
        <f t="shared" si="55"/>
        <v>3.8456816856107205</v>
      </c>
      <c r="L232" s="33">
        <f>'B) D RI'!S233</f>
        <v>81</v>
      </c>
      <c r="M232" s="33">
        <f t="shared" si="50"/>
        <v>77.154318314389286</v>
      </c>
      <c r="N232" s="33">
        <f>'J) Plafonnement effort'!G231+'J) Plafonnement effort'!I231-'K) Plafonnement aide'!I231</f>
        <v>-0.27601543493294756</v>
      </c>
      <c r="O232" s="125">
        <f t="shared" si="51"/>
        <v>76.878302879456342</v>
      </c>
      <c r="P232" s="47">
        <f t="shared" si="52"/>
        <v>0</v>
      </c>
      <c r="Q232" s="55">
        <f t="shared" si="56"/>
        <v>0</v>
      </c>
      <c r="R232" s="145">
        <f t="shared" si="53"/>
        <v>76.878302879456342</v>
      </c>
      <c r="S232" s="125">
        <f t="shared" si="54"/>
        <v>-4.1216971205436579</v>
      </c>
      <c r="T232" s="144">
        <f t="shared" si="42"/>
        <v>0</v>
      </c>
      <c r="V232" s="12"/>
    </row>
    <row r="233" spans="1:22" x14ac:dyDescent="0.25">
      <c r="A233" s="49">
        <f>'A) Base RI'!A234</f>
        <v>5766</v>
      </c>
      <c r="B233" s="352" t="str">
        <f>'A) Base RI'!B234</f>
        <v>Vuiteboeuf</v>
      </c>
      <c r="C233" s="404">
        <v>230679.47534633279</v>
      </c>
      <c r="D233" s="404">
        <v>-113055.78615608491</v>
      </c>
      <c r="E233" s="390">
        <v>0</v>
      </c>
      <c r="F233" s="390">
        <v>0</v>
      </c>
      <c r="G233" s="390">
        <v>0</v>
      </c>
      <c r="H233" s="404">
        <f t="shared" si="41"/>
        <v>117623.68919024788</v>
      </c>
      <c r="I233" s="405">
        <v>13156.989379669412</v>
      </c>
      <c r="J233" s="356">
        <f>'B) D RI'!U234</f>
        <v>13945.258329251963</v>
      </c>
      <c r="K233" s="62">
        <f t="shared" si="55"/>
        <v>8.9400155154038234</v>
      </c>
      <c r="L233" s="33">
        <f>'B) D RI'!S234</f>
        <v>77</v>
      </c>
      <c r="M233" s="33">
        <f t="shared" si="50"/>
        <v>68.059984484596171</v>
      </c>
      <c r="N233" s="33">
        <f>'J) Plafonnement effort'!G232+'J) Plafonnement effort'!I232-'K) Plafonnement aide'!I232</f>
        <v>5.4353993565681806</v>
      </c>
      <c r="O233" s="125">
        <f t="shared" si="51"/>
        <v>73.495383841164355</v>
      </c>
      <c r="P233" s="47">
        <f t="shared" si="52"/>
        <v>0</v>
      </c>
      <c r="Q233" s="55">
        <f t="shared" si="56"/>
        <v>0</v>
      </c>
      <c r="R233" s="145">
        <f t="shared" si="53"/>
        <v>73.495383841164355</v>
      </c>
      <c r="S233" s="125">
        <f t="shared" si="54"/>
        <v>-3.5046161588356455</v>
      </c>
      <c r="T233" s="144">
        <f t="shared" si="42"/>
        <v>0</v>
      </c>
      <c r="V233" s="12"/>
    </row>
    <row r="234" spans="1:22" x14ac:dyDescent="0.25">
      <c r="A234" s="49">
        <f>'A) Base RI'!A235</f>
        <v>5785</v>
      </c>
      <c r="B234" s="352" t="str">
        <f>'A) Base RI'!B235</f>
        <v>Corcelles-le-Jorat</v>
      </c>
      <c r="C234" s="404">
        <v>265592.81046821352</v>
      </c>
      <c r="D234" s="404">
        <v>157120.02815523261</v>
      </c>
      <c r="E234" s="390">
        <v>0</v>
      </c>
      <c r="F234" s="390">
        <v>0</v>
      </c>
      <c r="G234" s="390">
        <v>0</v>
      </c>
      <c r="H234" s="404">
        <f t="shared" si="41"/>
        <v>422712.83862344612</v>
      </c>
      <c r="I234" s="405">
        <v>15572.051048960157</v>
      </c>
      <c r="J234" s="356">
        <f>'B) D RI'!U235</f>
        <v>16950.059611084645</v>
      </c>
      <c r="K234" s="62">
        <f t="shared" si="55"/>
        <v>27.145610895725476</v>
      </c>
      <c r="L234" s="33">
        <f>'B) D RI'!S235</f>
        <v>77</v>
      </c>
      <c r="M234" s="33">
        <f t="shared" si="50"/>
        <v>49.854389104274524</v>
      </c>
      <c r="N234" s="33">
        <f>'J) Plafonnement effort'!G233+'J) Plafonnement effort'!I233-'K) Plafonnement aide'!I233</f>
        <v>24.252951367935374</v>
      </c>
      <c r="O234" s="125">
        <f t="shared" si="51"/>
        <v>74.107340472209899</v>
      </c>
      <c r="P234" s="47">
        <f t="shared" si="52"/>
        <v>0</v>
      </c>
      <c r="Q234" s="55">
        <f t="shared" si="56"/>
        <v>0</v>
      </c>
      <c r="R234" s="145">
        <f t="shared" si="53"/>
        <v>74.107340472209899</v>
      </c>
      <c r="S234" s="125">
        <f t="shared" si="54"/>
        <v>-2.8926595277901015</v>
      </c>
      <c r="T234" s="144">
        <f t="shared" si="42"/>
        <v>0</v>
      </c>
      <c r="V234" s="12"/>
    </row>
    <row r="235" spans="1:22" x14ac:dyDescent="0.25">
      <c r="A235" s="49">
        <f>'A) Base RI'!A236</f>
        <v>5788</v>
      </c>
      <c r="B235" s="352" t="str">
        <f>'A) Base RI'!B236</f>
        <v>Essertes</v>
      </c>
      <c r="C235" s="404">
        <v>206319.6930809753</v>
      </c>
      <c r="D235" s="404">
        <v>93719.258368203416</v>
      </c>
      <c r="E235" s="390">
        <v>0</v>
      </c>
      <c r="F235" s="390">
        <v>0</v>
      </c>
      <c r="G235" s="390">
        <v>0</v>
      </c>
      <c r="H235" s="404">
        <f t="shared" si="41"/>
        <v>300038.95144917874</v>
      </c>
      <c r="I235" s="405">
        <v>11883.854268348969</v>
      </c>
      <c r="J235" s="356">
        <f>'B) D RI'!U236</f>
        <v>12357.652912226366</v>
      </c>
      <c r="K235" s="62">
        <f t="shared" si="55"/>
        <v>25.247612826109094</v>
      </c>
      <c r="L235" s="33">
        <f>'B) D RI'!S236</f>
        <v>72</v>
      </c>
      <c r="M235" s="33">
        <f t="shared" si="50"/>
        <v>46.752387173890909</v>
      </c>
      <c r="N235" s="33">
        <f>'J) Plafonnement effort'!G234+'J) Plafonnement effort'!I234-'K) Plafonnement aide'!I234</f>
        <v>24.15051186512585</v>
      </c>
      <c r="O235" s="125">
        <f t="shared" si="51"/>
        <v>70.902899039016759</v>
      </c>
      <c r="P235" s="47">
        <f t="shared" si="52"/>
        <v>0</v>
      </c>
      <c r="Q235" s="55">
        <f t="shared" si="56"/>
        <v>0</v>
      </c>
      <c r="R235" s="145">
        <f t="shared" si="53"/>
        <v>70.902899039016759</v>
      </c>
      <c r="S235" s="125">
        <f t="shared" si="54"/>
        <v>-1.0971009609832407</v>
      </c>
      <c r="T235" s="144">
        <f t="shared" si="42"/>
        <v>0</v>
      </c>
      <c r="V235" s="12"/>
    </row>
    <row r="236" spans="1:22" x14ac:dyDescent="0.25">
      <c r="A236" s="49">
        <f>'A) Base RI'!A237</f>
        <v>5790</v>
      </c>
      <c r="B236" s="352" t="str">
        <f>'A) Base RI'!B237</f>
        <v>Maracon</v>
      </c>
      <c r="C236" s="404">
        <v>272707.67372285313</v>
      </c>
      <c r="D236" s="404">
        <v>5361.5539223880041</v>
      </c>
      <c r="E236" s="390">
        <v>0</v>
      </c>
      <c r="F236" s="390">
        <v>0</v>
      </c>
      <c r="G236" s="390">
        <v>0</v>
      </c>
      <c r="H236" s="404">
        <f t="shared" si="41"/>
        <v>278069.22764524113</v>
      </c>
      <c r="I236" s="405">
        <v>13256.164125976293</v>
      </c>
      <c r="J236" s="356">
        <f>'B) D RI'!U237</f>
        <v>14432.201593410035</v>
      </c>
      <c r="K236" s="62">
        <f t="shared" si="55"/>
        <v>20.976598132211329</v>
      </c>
      <c r="L236" s="33">
        <f>'B) D RI'!S237</f>
        <v>76</v>
      </c>
      <c r="M236" s="33">
        <f t="shared" si="50"/>
        <v>55.023401867788671</v>
      </c>
      <c r="N236" s="33">
        <f>'J) Plafonnement effort'!G235+'J) Plafonnement effort'!I235-'K) Plafonnement aide'!I235</f>
        <v>15.93358185503144</v>
      </c>
      <c r="O236" s="125">
        <f t="shared" si="51"/>
        <v>70.956983722820112</v>
      </c>
      <c r="P236" s="47">
        <f t="shared" si="52"/>
        <v>0</v>
      </c>
      <c r="Q236" s="55">
        <f t="shared" si="56"/>
        <v>0</v>
      </c>
      <c r="R236" s="145">
        <f t="shared" si="53"/>
        <v>70.956983722820112</v>
      </c>
      <c r="S236" s="125">
        <f t="shared" si="54"/>
        <v>-5.0430162771798877</v>
      </c>
      <c r="T236" s="144">
        <f t="shared" si="42"/>
        <v>0</v>
      </c>
      <c r="V236" s="12"/>
    </row>
    <row r="237" spans="1:22" x14ac:dyDescent="0.25">
      <c r="A237" s="49">
        <f>'A) Base RI'!A238</f>
        <v>5792</v>
      </c>
      <c r="B237" s="352" t="str">
        <f>'A) Base RI'!B238</f>
        <v>Montpreveyres</v>
      </c>
      <c r="C237" s="404">
        <v>359042.84154238156</v>
      </c>
      <c r="D237" s="404">
        <v>61495.083090860746</v>
      </c>
      <c r="E237" s="390">
        <v>0</v>
      </c>
      <c r="F237" s="390">
        <v>0</v>
      </c>
      <c r="G237" s="390">
        <v>0</v>
      </c>
      <c r="H237" s="404">
        <f t="shared" si="41"/>
        <v>420537.92463324231</v>
      </c>
      <c r="I237" s="405">
        <v>18726.471313410195</v>
      </c>
      <c r="J237" s="356">
        <f>'B) D RI'!U238</f>
        <v>20198.938593400278</v>
      </c>
      <c r="K237" s="62">
        <f t="shared" si="55"/>
        <v>22.456869614944022</v>
      </c>
      <c r="L237" s="33">
        <f>'B) D RI'!S238</f>
        <v>77</v>
      </c>
      <c r="M237" s="33">
        <f t="shared" si="50"/>
        <v>54.543130385055974</v>
      </c>
      <c r="N237" s="33">
        <f>'J) Plafonnement effort'!G236+'J) Plafonnement effort'!I236-'K) Plafonnement aide'!I236</f>
        <v>16.181860949871691</v>
      </c>
      <c r="O237" s="125">
        <f t="shared" si="51"/>
        <v>70.724991334927665</v>
      </c>
      <c r="P237" s="47">
        <f t="shared" si="52"/>
        <v>0</v>
      </c>
      <c r="Q237" s="55">
        <f t="shared" si="56"/>
        <v>0</v>
      </c>
      <c r="R237" s="145">
        <f t="shared" si="53"/>
        <v>70.724991334927665</v>
      </c>
      <c r="S237" s="125">
        <f t="shared" si="54"/>
        <v>-6.2750086650723347</v>
      </c>
      <c r="T237" s="144">
        <f t="shared" si="42"/>
        <v>0</v>
      </c>
      <c r="V237" s="12"/>
    </row>
    <row r="238" spans="1:22" x14ac:dyDescent="0.25">
      <c r="A238" s="49">
        <f>'A) Base RI'!A239</f>
        <v>5798</v>
      </c>
      <c r="B238" s="352" t="str">
        <f>'A) Base RI'!B239</f>
        <v>Ropraz</v>
      </c>
      <c r="C238" s="404">
        <v>260432.08245498102</v>
      </c>
      <c r="D238" s="404">
        <v>15633.581839637773</v>
      </c>
      <c r="E238" s="390">
        <v>0</v>
      </c>
      <c r="F238" s="390">
        <v>0</v>
      </c>
      <c r="G238" s="390">
        <v>0</v>
      </c>
      <c r="H238" s="404">
        <f t="shared" si="41"/>
        <v>276065.66429461876</v>
      </c>
      <c r="I238" s="405">
        <v>13725.260150883058</v>
      </c>
      <c r="J238" s="356">
        <f>'B) D RI'!U239</f>
        <v>14359.812261053485</v>
      </c>
      <c r="K238" s="62">
        <f t="shared" si="55"/>
        <v>20.113692655716783</v>
      </c>
      <c r="L238" s="33">
        <f>'B) D RI'!S239</f>
        <v>77.5</v>
      </c>
      <c r="M238" s="33">
        <f t="shared" si="50"/>
        <v>57.386307344283217</v>
      </c>
      <c r="N238" s="33">
        <f>'J) Plafonnement effort'!G237+'J) Plafonnement effort'!I237-'K) Plafonnement aide'!I237</f>
        <v>14.198199673307583</v>
      </c>
      <c r="O238" s="125">
        <f t="shared" si="51"/>
        <v>71.584507017590795</v>
      </c>
      <c r="P238" s="47">
        <f t="shared" si="52"/>
        <v>0</v>
      </c>
      <c r="Q238" s="55">
        <f t="shared" si="56"/>
        <v>0</v>
      </c>
      <c r="R238" s="145">
        <f t="shared" si="53"/>
        <v>71.584507017590795</v>
      </c>
      <c r="S238" s="125">
        <f t="shared" si="54"/>
        <v>-5.9154929824092051</v>
      </c>
      <c r="T238" s="144">
        <f t="shared" si="42"/>
        <v>0</v>
      </c>
      <c r="V238" s="12"/>
    </row>
    <row r="239" spans="1:22" x14ac:dyDescent="0.25">
      <c r="A239" s="49">
        <f>'A) Base RI'!A240</f>
        <v>5799</v>
      </c>
      <c r="B239" s="352" t="str">
        <f>'A) Base RI'!B240</f>
        <v>Servion</v>
      </c>
      <c r="C239" s="404">
        <v>1376497.4016691742</v>
      </c>
      <c r="D239" s="404">
        <v>592246.21957048238</v>
      </c>
      <c r="E239" s="390">
        <v>0</v>
      </c>
      <c r="F239" s="390">
        <v>0</v>
      </c>
      <c r="G239" s="390">
        <v>0</v>
      </c>
      <c r="H239" s="404">
        <f t="shared" si="41"/>
        <v>1968743.6212396566</v>
      </c>
      <c r="I239" s="405">
        <v>68712.576636224549</v>
      </c>
      <c r="J239" s="356">
        <f>'B) D RI'!U240</f>
        <v>70991.881594202918</v>
      </c>
      <c r="K239" s="62">
        <f t="shared" si="55"/>
        <v>28.651867207112645</v>
      </c>
      <c r="L239" s="33">
        <f>'B) D RI'!S240</f>
        <v>69</v>
      </c>
      <c r="M239" s="33">
        <f t="shared" si="50"/>
        <v>40.348132792887355</v>
      </c>
      <c r="N239" s="33">
        <f>'J) Plafonnement effort'!G238+'J) Plafonnement effort'!I238-'K) Plafonnement aide'!I238</f>
        <v>22.501498161994238</v>
      </c>
      <c r="O239" s="125">
        <f t="shared" si="51"/>
        <v>62.84963095488159</v>
      </c>
      <c r="P239" s="47">
        <f t="shared" si="52"/>
        <v>0</v>
      </c>
      <c r="Q239" s="55">
        <f t="shared" si="56"/>
        <v>0</v>
      </c>
      <c r="R239" s="145">
        <f t="shared" si="53"/>
        <v>62.84963095488159</v>
      </c>
      <c r="S239" s="125">
        <f t="shared" si="54"/>
        <v>-6.1503690451184099</v>
      </c>
      <c r="T239" s="144">
        <f t="shared" si="42"/>
        <v>0</v>
      </c>
      <c r="V239" s="12"/>
    </row>
    <row r="240" spans="1:22" x14ac:dyDescent="0.25">
      <c r="A240" s="49">
        <f>'A) Base RI'!A241</f>
        <v>5803</v>
      </c>
      <c r="B240" s="352" t="str">
        <f>'A) Base RI'!B241</f>
        <v>Vulliens</v>
      </c>
      <c r="C240" s="404">
        <v>320468.31760822056</v>
      </c>
      <c r="D240" s="404">
        <v>16358.181613292603</v>
      </c>
      <c r="E240" s="390">
        <v>0</v>
      </c>
      <c r="F240" s="390">
        <v>0</v>
      </c>
      <c r="G240" s="390">
        <v>0</v>
      </c>
      <c r="H240" s="404">
        <f t="shared" si="41"/>
        <v>336826.49922151316</v>
      </c>
      <c r="I240" s="405">
        <v>16546.34632030463</v>
      </c>
      <c r="J240" s="356">
        <f>'B) D RI'!U241</f>
        <v>17439.644358974365</v>
      </c>
      <c r="K240" s="62">
        <f t="shared" si="55"/>
        <v>20.35654837033001</v>
      </c>
      <c r="L240" s="33">
        <f>'B) D RI'!S241</f>
        <v>78</v>
      </c>
      <c r="M240" s="33">
        <f t="shared" si="50"/>
        <v>57.64345162966999</v>
      </c>
      <c r="N240" s="33">
        <f>'J) Plafonnement effort'!G239+'J) Plafonnement effort'!I239-'K) Plafonnement aide'!I239</f>
        <v>10.476144885161368</v>
      </c>
      <c r="O240" s="125">
        <f t="shared" si="51"/>
        <v>68.119596514831358</v>
      </c>
      <c r="P240" s="47">
        <f t="shared" si="52"/>
        <v>0</v>
      </c>
      <c r="Q240" s="55">
        <f t="shared" si="56"/>
        <v>0</v>
      </c>
      <c r="R240" s="145">
        <f t="shared" si="53"/>
        <v>68.119596514831358</v>
      </c>
      <c r="S240" s="125">
        <f t="shared" si="54"/>
        <v>-9.8804034851686424</v>
      </c>
      <c r="T240" s="144">
        <f t="shared" si="42"/>
        <v>0</v>
      </c>
      <c r="V240" s="12"/>
    </row>
    <row r="241" spans="1:22" x14ac:dyDescent="0.25">
      <c r="A241" s="49">
        <f>'A) Base RI'!A242</f>
        <v>5804</v>
      </c>
      <c r="B241" s="352" t="str">
        <f>'A) Base RI'!B242</f>
        <v>Jorat-Menthue</v>
      </c>
      <c r="C241" s="404">
        <v>781684.27594921854</v>
      </c>
      <c r="D241" s="404">
        <v>147490.70481910696</v>
      </c>
      <c r="E241" s="390">
        <v>0</v>
      </c>
      <c r="F241" s="390">
        <v>0</v>
      </c>
      <c r="G241" s="390">
        <v>0</v>
      </c>
      <c r="H241" s="404">
        <f t="shared" si="41"/>
        <v>929174.98076832551</v>
      </c>
      <c r="I241" s="405">
        <v>47504.398266419383</v>
      </c>
      <c r="J241" s="356">
        <f>'B) D RI'!U242</f>
        <v>44226.697072071111</v>
      </c>
      <c r="K241" s="62">
        <f>H241/I241</f>
        <v>19.55976740421433</v>
      </c>
      <c r="L241" s="33">
        <f>'B) D RI'!S242</f>
        <v>72</v>
      </c>
      <c r="M241" s="33">
        <f>L241-K241</f>
        <v>52.440232595785673</v>
      </c>
      <c r="N241" s="33">
        <f>'J) Plafonnement effort'!G240+'J) Plafonnement effort'!I240-'K) Plafonnement aide'!I240</f>
        <v>-9.9923722905954797</v>
      </c>
      <c r="O241" s="125">
        <f>M241+N241</f>
        <v>42.44786030519019</v>
      </c>
      <c r="P241" s="47">
        <f t="shared" si="52"/>
        <v>0</v>
      </c>
      <c r="Q241" s="55">
        <f>P241*J241</f>
        <v>0</v>
      </c>
      <c r="R241" s="145">
        <f>O241+P241</f>
        <v>42.44786030519019</v>
      </c>
      <c r="S241" s="125">
        <f>R241-L241</f>
        <v>-29.55213969480981</v>
      </c>
      <c r="T241" s="144">
        <f t="shared" si="42"/>
        <v>0</v>
      </c>
      <c r="V241" s="12"/>
    </row>
    <row r="242" spans="1:22" x14ac:dyDescent="0.25">
      <c r="A242" s="49">
        <f>'A) Base RI'!A243</f>
        <v>5805</v>
      </c>
      <c r="B242" s="352" t="str">
        <f>'A) Base RI'!B243</f>
        <v>Oron</v>
      </c>
      <c r="C242" s="404">
        <v>2964435.6987635838</v>
      </c>
      <c r="D242" s="404">
        <v>-814889.23314295989</v>
      </c>
      <c r="E242" s="390">
        <v>0</v>
      </c>
      <c r="F242" s="390">
        <v>0</v>
      </c>
      <c r="G242" s="390">
        <v>0</v>
      </c>
      <c r="H242" s="404">
        <f t="shared" si="41"/>
        <v>2149546.4656206239</v>
      </c>
      <c r="I242" s="405">
        <v>152415.01875763744</v>
      </c>
      <c r="J242" s="356">
        <f>'B) D RI'!U243</f>
        <v>157769.23671351318</v>
      </c>
      <c r="K242" s="62">
        <f>H242/I242</f>
        <v>14.103245750595764</v>
      </c>
      <c r="L242" s="33">
        <f>'B) D RI'!S243</f>
        <v>69</v>
      </c>
      <c r="M242" s="33">
        <f>L242-K242</f>
        <v>54.896754249404239</v>
      </c>
      <c r="N242" s="33">
        <f>'J) Plafonnement effort'!G241+'J) Plafonnement effort'!I241-'K) Plafonnement aide'!I241</f>
        <v>7.9454614840870148</v>
      </c>
      <c r="O242" s="125">
        <f>M242+N242</f>
        <v>62.842215733491251</v>
      </c>
      <c r="P242" s="47">
        <f t="shared" si="52"/>
        <v>0</v>
      </c>
      <c r="Q242" s="55">
        <f>P242*J242</f>
        <v>0</v>
      </c>
      <c r="R242" s="145">
        <f>O242+P242</f>
        <v>62.842215733491251</v>
      </c>
      <c r="S242" s="125">
        <f>R242-L242</f>
        <v>-6.1577842665087488</v>
      </c>
      <c r="T242" s="144">
        <f t="shared" si="42"/>
        <v>0</v>
      </c>
      <c r="V242" s="12"/>
    </row>
    <row r="243" spans="1:22" x14ac:dyDescent="0.25">
      <c r="A243" s="49">
        <f>'A) Base RI'!A244</f>
        <v>5806</v>
      </c>
      <c r="B243" s="352" t="str">
        <f>'A) Base RI'!B244</f>
        <v>Jorat-Mézières</v>
      </c>
      <c r="C243" s="404">
        <v>1724925.4246211506</v>
      </c>
      <c r="D243" s="404">
        <v>152956.3345339403</v>
      </c>
      <c r="E243" s="390">
        <v>0</v>
      </c>
      <c r="F243" s="390">
        <v>0</v>
      </c>
      <c r="G243" s="390">
        <v>0</v>
      </c>
      <c r="H243" s="404">
        <f t="shared" si="41"/>
        <v>1877881.7591550909</v>
      </c>
      <c r="I243" s="405">
        <v>89827.60291631594</v>
      </c>
      <c r="J243" s="356">
        <f>'B) D RI'!U244</f>
        <v>91829.883122314393</v>
      </c>
      <c r="K243" s="62">
        <f>H243/I243</f>
        <v>20.905397652707482</v>
      </c>
      <c r="L243" s="33">
        <f>'B) D RI'!S244</f>
        <v>76</v>
      </c>
      <c r="M243" s="33">
        <f>L243-K243</f>
        <v>55.094602347292522</v>
      </c>
      <c r="N243" s="33">
        <f>'J) Plafonnement effort'!G242+'J) Plafonnement effort'!I242-'K) Plafonnement aide'!I242</f>
        <v>13.568001385246522</v>
      </c>
      <c r="O243" s="125">
        <f>M243+N243</f>
        <v>68.66260373253904</v>
      </c>
      <c r="P243" s="47">
        <f t="shared" ref="P243" si="57">IF(O243&gt;$P$5,$P$5-O243,0)</f>
        <v>0</v>
      </c>
      <c r="Q243" s="55">
        <f>P243*J243</f>
        <v>0</v>
      </c>
      <c r="R243" s="145">
        <f>O243+P243</f>
        <v>68.66260373253904</v>
      </c>
      <c r="S243" s="125">
        <f>R243-L243</f>
        <v>-7.3373962674609601</v>
      </c>
      <c r="T243" s="144">
        <f t="shared" si="42"/>
        <v>0</v>
      </c>
      <c r="V243" s="12"/>
    </row>
    <row r="244" spans="1:22" x14ac:dyDescent="0.25">
      <c r="A244" s="49">
        <f>'A) Base RI'!A245</f>
        <v>5812</v>
      </c>
      <c r="B244" s="352" t="str">
        <f>'A) Base RI'!B245</f>
        <v>Champtauroz</v>
      </c>
      <c r="C244" s="404">
        <v>47927.907292817414</v>
      </c>
      <c r="D244" s="404">
        <v>-37459.485219549584</v>
      </c>
      <c r="E244" s="390">
        <v>0</v>
      </c>
      <c r="F244" s="390">
        <v>0</v>
      </c>
      <c r="G244" s="390">
        <v>0</v>
      </c>
      <c r="H244" s="404">
        <f t="shared" si="41"/>
        <v>10468.42207326783</v>
      </c>
      <c r="I244" s="405">
        <v>2432.9524302206905</v>
      </c>
      <c r="J244" s="356">
        <f>'B) D RI'!U245</f>
        <v>3710.6575152359092</v>
      </c>
      <c r="K244" s="62">
        <f>H244/I244</f>
        <v>4.3027647985366695</v>
      </c>
      <c r="L244" s="33">
        <f>'B) D RI'!S245</f>
        <v>77</v>
      </c>
      <c r="M244" s="33">
        <f>L244-K244</f>
        <v>72.697235201463329</v>
      </c>
      <c r="N244" s="33">
        <f>'J) Plafonnement effort'!G243+'J) Plafonnement effort'!I243-'K) Plafonnement aide'!I243</f>
        <v>21.203306064816182</v>
      </c>
      <c r="O244" s="125">
        <f>M244+N244</f>
        <v>93.900541266279504</v>
      </c>
      <c r="P244" s="47">
        <f t="shared" si="52"/>
        <v>-1.7124924100640158</v>
      </c>
      <c r="Q244" s="55">
        <f>P244*J244</f>
        <v>-6354.4728311884946</v>
      </c>
      <c r="R244" s="145">
        <f>O244+P244</f>
        <v>92.188048856215488</v>
      </c>
      <c r="S244" s="125">
        <f>R244-L244</f>
        <v>15.188048856215488</v>
      </c>
      <c r="T244" s="144">
        <f t="shared" si="42"/>
        <v>0</v>
      </c>
      <c r="V244" s="12"/>
    </row>
    <row r="245" spans="1:22" x14ac:dyDescent="0.25">
      <c r="A245" s="49">
        <f>'A) Base RI'!A246</f>
        <v>5813</v>
      </c>
      <c r="B245" s="352" t="str">
        <f>'A) Base RI'!B246</f>
        <v>Chevroux</v>
      </c>
      <c r="C245" s="404">
        <v>284079.31399350968</v>
      </c>
      <c r="D245" s="404">
        <v>31486.441360317316</v>
      </c>
      <c r="E245" s="390">
        <v>0</v>
      </c>
      <c r="F245" s="390">
        <v>0</v>
      </c>
      <c r="G245" s="390">
        <v>0</v>
      </c>
      <c r="H245" s="404">
        <f t="shared" si="41"/>
        <v>315565.75535382703</v>
      </c>
      <c r="I245" s="405">
        <v>12841.233936581375</v>
      </c>
      <c r="J245" s="356">
        <f>'B) D RI'!U246</f>
        <v>14709.945528749027</v>
      </c>
      <c r="K245" s="62">
        <f t="shared" si="55"/>
        <v>24.574410598880323</v>
      </c>
      <c r="L245" s="33">
        <f>'B) D RI'!S246</f>
        <v>70</v>
      </c>
      <c r="M245" s="33">
        <f t="shared" si="50"/>
        <v>45.42558940111968</v>
      </c>
      <c r="N245" s="33">
        <f>'J) Plafonnement effort'!G244+'J) Plafonnement effort'!I244-'K) Plafonnement aide'!I244</f>
        <v>18.383497607916318</v>
      </c>
      <c r="O245" s="125">
        <f t="shared" si="51"/>
        <v>63.809087009035999</v>
      </c>
      <c r="P245" s="47">
        <f t="shared" si="52"/>
        <v>0</v>
      </c>
      <c r="Q245" s="55">
        <f t="shared" si="56"/>
        <v>0</v>
      </c>
      <c r="R245" s="145">
        <f t="shared" si="53"/>
        <v>63.809087009035999</v>
      </c>
      <c r="S245" s="125">
        <f t="shared" si="54"/>
        <v>-6.1909129909640015</v>
      </c>
      <c r="T245" s="144">
        <f t="shared" si="42"/>
        <v>0</v>
      </c>
      <c r="V245" s="12"/>
    </row>
    <row r="246" spans="1:22" x14ac:dyDescent="0.25">
      <c r="A246" s="49">
        <f>'A) Base RI'!A247</f>
        <v>5816</v>
      </c>
      <c r="B246" s="352" t="str">
        <f>'A) Base RI'!B247</f>
        <v>Corcelles-près-Payerne</v>
      </c>
      <c r="C246" s="404">
        <v>983027.57506889838</v>
      </c>
      <c r="D246" s="404">
        <v>-669933.5420058223</v>
      </c>
      <c r="E246" s="390">
        <v>0</v>
      </c>
      <c r="F246" s="390">
        <v>0</v>
      </c>
      <c r="G246" s="390">
        <v>0</v>
      </c>
      <c r="H246" s="404">
        <f t="shared" si="41"/>
        <v>313094.03306307609</v>
      </c>
      <c r="I246" s="405">
        <v>55328.106299465391</v>
      </c>
      <c r="J246" s="356">
        <f>'B) D RI'!U247</f>
        <v>60414.642640490056</v>
      </c>
      <c r="K246" s="62">
        <f t="shared" si="55"/>
        <v>5.658860459970259</v>
      </c>
      <c r="L246" s="33">
        <f>'B) D RI'!S247</f>
        <v>70</v>
      </c>
      <c r="M246" s="33">
        <f t="shared" si="50"/>
        <v>64.341139540029744</v>
      </c>
      <c r="N246" s="33">
        <f>'J) Plafonnement effort'!G245+'J) Plafonnement effort'!I245-'K) Plafonnement aide'!I245</f>
        <v>-0.53908837361067174</v>
      </c>
      <c r="O246" s="125">
        <f t="shared" si="51"/>
        <v>63.802051166419069</v>
      </c>
      <c r="P246" s="47">
        <f t="shared" si="52"/>
        <v>0</v>
      </c>
      <c r="Q246" s="55">
        <f t="shared" si="56"/>
        <v>0</v>
      </c>
      <c r="R246" s="145">
        <f t="shared" si="53"/>
        <v>63.802051166419069</v>
      </c>
      <c r="S246" s="125">
        <f t="shared" si="54"/>
        <v>-6.1979488335809307</v>
      </c>
      <c r="T246" s="144">
        <f t="shared" si="42"/>
        <v>0</v>
      </c>
      <c r="V246" s="12"/>
    </row>
    <row r="247" spans="1:22" x14ac:dyDescent="0.25">
      <c r="A247" s="49">
        <f>'A) Base RI'!A248</f>
        <v>5817</v>
      </c>
      <c r="B247" s="352" t="str">
        <f>'A) Base RI'!B248</f>
        <v>Grandcour</v>
      </c>
      <c r="C247" s="404">
        <v>493919.3225244442</v>
      </c>
      <c r="D247" s="404">
        <v>-71225.98493402329</v>
      </c>
      <c r="E247" s="390">
        <v>0</v>
      </c>
      <c r="F247" s="390">
        <v>0</v>
      </c>
      <c r="G247" s="390">
        <v>0</v>
      </c>
      <c r="H247" s="404">
        <f t="shared" si="41"/>
        <v>422693.33759042091</v>
      </c>
      <c r="I247" s="405">
        <v>23406.066601684674</v>
      </c>
      <c r="J247" s="356">
        <f>'B) D RI'!U248</f>
        <v>21808.970149396955</v>
      </c>
      <c r="K247" s="62">
        <f t="shared" si="55"/>
        <v>18.059135897699154</v>
      </c>
      <c r="L247" s="33">
        <f>'B) D RI'!S248</f>
        <v>77</v>
      </c>
      <c r="M247" s="33">
        <f t="shared" si="50"/>
        <v>58.94086410230085</v>
      </c>
      <c r="N247" s="33">
        <f>'J) Plafonnement effort'!G246+'J) Plafonnement effort'!I246-'K) Plafonnement aide'!I246</f>
        <v>0.23961332585632</v>
      </c>
      <c r="O247" s="125">
        <f t="shared" si="51"/>
        <v>59.180477428157168</v>
      </c>
      <c r="P247" s="47">
        <f t="shared" si="52"/>
        <v>0</v>
      </c>
      <c r="Q247" s="55">
        <f t="shared" si="56"/>
        <v>0</v>
      </c>
      <c r="R247" s="145">
        <f t="shared" si="53"/>
        <v>59.180477428157168</v>
      </c>
      <c r="S247" s="125">
        <f t="shared" si="54"/>
        <v>-17.819522571842832</v>
      </c>
      <c r="T247" s="144">
        <f t="shared" si="42"/>
        <v>0</v>
      </c>
      <c r="V247" s="12"/>
    </row>
    <row r="248" spans="1:22" x14ac:dyDescent="0.25">
      <c r="A248" s="49">
        <f>'A) Base RI'!A249</f>
        <v>5819</v>
      </c>
      <c r="B248" s="352" t="str">
        <f>'A) Base RI'!B249</f>
        <v>Henniez</v>
      </c>
      <c r="C248" s="404">
        <v>229729.56307825699</v>
      </c>
      <c r="D248" s="404">
        <v>155807.19638139755</v>
      </c>
      <c r="E248" s="390">
        <v>0</v>
      </c>
      <c r="F248" s="390">
        <v>0</v>
      </c>
      <c r="G248" s="390">
        <v>0</v>
      </c>
      <c r="H248" s="404">
        <f t="shared" si="41"/>
        <v>385536.75945965457</v>
      </c>
      <c r="I248" s="405">
        <v>12438.573202549422</v>
      </c>
      <c r="J248" s="356">
        <f>'B) D RI'!U249</f>
        <v>11876.79478923147</v>
      </c>
      <c r="K248" s="62">
        <f t="shared" si="55"/>
        <v>30.995255901266439</v>
      </c>
      <c r="L248" s="33">
        <f>'B) D RI'!S249</f>
        <v>69</v>
      </c>
      <c r="M248" s="33">
        <f t="shared" si="50"/>
        <v>38.004744098733561</v>
      </c>
      <c r="N248" s="33">
        <f>'J) Plafonnement effort'!G247+'J) Plafonnement effort'!I247-'K) Plafonnement aide'!I247</f>
        <v>18.698649325238403</v>
      </c>
      <c r="O248" s="125">
        <f t="shared" si="51"/>
        <v>56.70339342397196</v>
      </c>
      <c r="P248" s="47">
        <f t="shared" si="52"/>
        <v>0</v>
      </c>
      <c r="Q248" s="55">
        <f t="shared" si="56"/>
        <v>0</v>
      </c>
      <c r="R248" s="145">
        <f t="shared" si="53"/>
        <v>56.70339342397196</v>
      </c>
      <c r="S248" s="125">
        <f t="shared" si="54"/>
        <v>-12.29660657602804</v>
      </c>
      <c r="T248" s="144">
        <f t="shared" si="42"/>
        <v>0</v>
      </c>
      <c r="V248" s="12"/>
    </row>
    <row r="249" spans="1:22" x14ac:dyDescent="0.25">
      <c r="A249" s="49">
        <f>'A) Base RI'!A250</f>
        <v>5821</v>
      </c>
      <c r="B249" s="352" t="str">
        <f>'A) Base RI'!B250</f>
        <v>Missy</v>
      </c>
      <c r="C249" s="404">
        <v>147201.64207806933</v>
      </c>
      <c r="D249" s="404">
        <v>-35281.396321347129</v>
      </c>
      <c r="E249" s="390">
        <v>0</v>
      </c>
      <c r="F249" s="390">
        <v>0</v>
      </c>
      <c r="G249" s="390">
        <v>0</v>
      </c>
      <c r="H249" s="404">
        <f t="shared" si="41"/>
        <v>111920.2457567222</v>
      </c>
      <c r="I249" s="405">
        <v>8575.631351638991</v>
      </c>
      <c r="J249" s="356">
        <f>'B) D RI'!U250</f>
        <v>8348.6455555555567</v>
      </c>
      <c r="K249" s="62">
        <f t="shared" si="55"/>
        <v>13.05096279999627</v>
      </c>
      <c r="L249" s="33">
        <f>'B) D RI'!S250</f>
        <v>72</v>
      </c>
      <c r="M249" s="33">
        <f t="shared" si="50"/>
        <v>58.94903720000373</v>
      </c>
      <c r="N249" s="33">
        <f>'J) Plafonnement effort'!G248+'J) Plafonnement effort'!I248-'K) Plafonnement aide'!I248</f>
        <v>7.2532447626875562</v>
      </c>
      <c r="O249" s="125">
        <f t="shared" si="51"/>
        <v>66.202281962691288</v>
      </c>
      <c r="P249" s="47">
        <f t="shared" si="52"/>
        <v>0</v>
      </c>
      <c r="Q249" s="55">
        <f t="shared" si="56"/>
        <v>0</v>
      </c>
      <c r="R249" s="145">
        <f t="shared" si="53"/>
        <v>66.202281962691288</v>
      </c>
      <c r="S249" s="125">
        <f t="shared" si="54"/>
        <v>-5.7977180373087123</v>
      </c>
      <c r="T249" s="144">
        <f t="shared" si="42"/>
        <v>0</v>
      </c>
      <c r="V249" s="12"/>
    </row>
    <row r="250" spans="1:22" x14ac:dyDescent="0.25">
      <c r="A250" s="49">
        <f>'A) Base RI'!A251</f>
        <v>5822</v>
      </c>
      <c r="B250" s="352" t="str">
        <f>'A) Base RI'!B251</f>
        <v>Payerne</v>
      </c>
      <c r="C250" s="404">
        <v>4391518.1538753649</v>
      </c>
      <c r="D250" s="404">
        <v>-4938002.6018764535</v>
      </c>
      <c r="E250" s="390">
        <v>0</v>
      </c>
      <c r="F250" s="390">
        <v>0</v>
      </c>
      <c r="G250" s="390">
        <v>0</v>
      </c>
      <c r="H250" s="404">
        <f t="shared" si="41"/>
        <v>-546484.44800108857</v>
      </c>
      <c r="I250" s="405">
        <v>236916.04439002261</v>
      </c>
      <c r="J250" s="356">
        <f>'B) D RI'!U251</f>
        <v>243639.04906619081</v>
      </c>
      <c r="K250" s="62">
        <f t="shared" si="55"/>
        <v>-2.3066586706193672</v>
      </c>
      <c r="L250" s="33">
        <f>'B) D RI'!S251</f>
        <v>75</v>
      </c>
      <c r="M250" s="33">
        <f t="shared" si="50"/>
        <v>77.30665867061937</v>
      </c>
      <c r="N250" s="33">
        <f>'J) Plafonnement effort'!G249+'J) Plafonnement effort'!I249-'K) Plafonnement aide'!I249</f>
        <v>-10.513446767789087</v>
      </c>
      <c r="O250" s="125">
        <f t="shared" si="51"/>
        <v>66.793211902830279</v>
      </c>
      <c r="P250" s="47">
        <f t="shared" si="52"/>
        <v>0</v>
      </c>
      <c r="Q250" s="55">
        <f t="shared" si="56"/>
        <v>0</v>
      </c>
      <c r="R250" s="145">
        <f t="shared" si="53"/>
        <v>66.793211902830279</v>
      </c>
      <c r="S250" s="125">
        <f t="shared" si="54"/>
        <v>-8.2067880971697207</v>
      </c>
      <c r="T250" s="144">
        <f t="shared" si="42"/>
        <v>0</v>
      </c>
      <c r="V250" s="12"/>
    </row>
    <row r="251" spans="1:22" x14ac:dyDescent="0.25">
      <c r="A251" s="49">
        <f>'A) Base RI'!A252</f>
        <v>5827</v>
      </c>
      <c r="B251" s="352" t="str">
        <f>'A) Base RI'!B252</f>
        <v>Trey</v>
      </c>
      <c r="C251" s="404">
        <v>128210.14777767647</v>
      </c>
      <c r="D251" s="404">
        <v>-14071.867154259933</v>
      </c>
      <c r="E251" s="390">
        <v>0</v>
      </c>
      <c r="F251" s="390">
        <v>0</v>
      </c>
      <c r="G251" s="390">
        <v>0</v>
      </c>
      <c r="H251" s="404">
        <f t="shared" si="41"/>
        <v>114138.28062341653</v>
      </c>
      <c r="I251" s="405">
        <v>7081.6159611211069</v>
      </c>
      <c r="J251" s="356">
        <f>'B) D RI'!U252</f>
        <v>6759.3804152474768</v>
      </c>
      <c r="K251" s="62">
        <f t="shared" si="55"/>
        <v>16.11754735784162</v>
      </c>
      <c r="L251" s="33">
        <f>'B) D RI'!S252</f>
        <v>80</v>
      </c>
      <c r="M251" s="33">
        <f t="shared" si="50"/>
        <v>63.882452642158384</v>
      </c>
      <c r="N251" s="33">
        <f>'J) Plafonnement effort'!G250+'J) Plafonnement effort'!I250-'K) Plafonnement aide'!I250</f>
        <v>-0.24047004180742526</v>
      </c>
      <c r="O251" s="125">
        <f t="shared" si="51"/>
        <v>63.641982600350957</v>
      </c>
      <c r="P251" s="47">
        <f t="shared" si="52"/>
        <v>0</v>
      </c>
      <c r="Q251" s="55">
        <f t="shared" si="56"/>
        <v>0</v>
      </c>
      <c r="R251" s="145">
        <f t="shared" si="53"/>
        <v>63.641982600350957</v>
      </c>
      <c r="S251" s="125">
        <f t="shared" si="54"/>
        <v>-16.358017399649043</v>
      </c>
      <c r="T251" s="144">
        <f t="shared" si="42"/>
        <v>0</v>
      </c>
      <c r="V251" s="12"/>
    </row>
    <row r="252" spans="1:22" x14ac:dyDescent="0.25">
      <c r="A252" s="49">
        <f>'A) Base RI'!A253</f>
        <v>5828</v>
      </c>
      <c r="B252" s="352" t="str">
        <f>'A) Base RI'!B253</f>
        <v>Treytorrens (Payerne)</v>
      </c>
      <c r="C252" s="404">
        <v>52115.509728204153</v>
      </c>
      <c r="D252" s="404">
        <v>-35300.589474198532</v>
      </c>
      <c r="E252" s="390">
        <v>0</v>
      </c>
      <c r="F252" s="390">
        <v>0</v>
      </c>
      <c r="G252" s="390">
        <v>0</v>
      </c>
      <c r="H252" s="404">
        <f t="shared" si="41"/>
        <v>16814.920254005621</v>
      </c>
      <c r="I252" s="405">
        <v>2673.2421559488716</v>
      </c>
      <c r="J252" s="356">
        <f>'B) D RI'!U253</f>
        <v>2423.0145634920641</v>
      </c>
      <c r="K252" s="62">
        <f t="shared" si="55"/>
        <v>6.2900849504362011</v>
      </c>
      <c r="L252" s="33">
        <f>'B) D RI'!S253</f>
        <v>84</v>
      </c>
      <c r="M252" s="33">
        <f t="shared" si="50"/>
        <v>77.709915049563804</v>
      </c>
      <c r="N252" s="33">
        <f>'J) Plafonnement effort'!G251+'J) Plafonnement effort'!I251-'K) Plafonnement aide'!I251</f>
        <v>-7.7883199486015329</v>
      </c>
      <c r="O252" s="125">
        <f t="shared" si="51"/>
        <v>69.921595100962264</v>
      </c>
      <c r="P252" s="47">
        <f t="shared" si="52"/>
        <v>0</v>
      </c>
      <c r="Q252" s="55">
        <f t="shared" si="56"/>
        <v>0</v>
      </c>
      <c r="R252" s="145">
        <f t="shared" si="53"/>
        <v>69.921595100962264</v>
      </c>
      <c r="S252" s="125">
        <f t="shared" si="54"/>
        <v>-14.078404899037736</v>
      </c>
      <c r="T252" s="144">
        <f t="shared" si="42"/>
        <v>0</v>
      </c>
      <c r="V252" s="12"/>
    </row>
    <row r="253" spans="1:22" x14ac:dyDescent="0.25">
      <c r="A253" s="49">
        <f>'A) Base RI'!A254</f>
        <v>5830</v>
      </c>
      <c r="B253" s="352" t="str">
        <f>'A) Base RI'!B254</f>
        <v>Villarzel</v>
      </c>
      <c r="C253" s="404">
        <v>215698.10416336457</v>
      </c>
      <c r="D253" s="404">
        <v>-5340.8437158005836</v>
      </c>
      <c r="E253" s="390">
        <v>0</v>
      </c>
      <c r="F253" s="390">
        <v>0</v>
      </c>
      <c r="G253" s="390">
        <v>0</v>
      </c>
      <c r="H253" s="404">
        <f t="shared" si="41"/>
        <v>210357.26044756398</v>
      </c>
      <c r="I253" s="405">
        <v>12117.556810814382</v>
      </c>
      <c r="J253" s="356">
        <f>'B) D RI'!U254</f>
        <v>13663.209789449775</v>
      </c>
      <c r="K253" s="62">
        <f t="shared" si="55"/>
        <v>17.359709034731281</v>
      </c>
      <c r="L253" s="33">
        <f>'B) D RI'!S254</f>
        <v>77</v>
      </c>
      <c r="M253" s="33">
        <f t="shared" si="50"/>
        <v>59.640290965268719</v>
      </c>
      <c r="N253" s="33">
        <f>'J) Plafonnement effort'!G252+'J) Plafonnement effort'!I252-'K) Plafonnement aide'!I252</f>
        <v>15.459617936893473</v>
      </c>
      <c r="O253" s="125">
        <f t="shared" si="51"/>
        <v>75.099908902162184</v>
      </c>
      <c r="P253" s="47">
        <f t="shared" si="52"/>
        <v>0</v>
      </c>
      <c r="Q253" s="55">
        <f t="shared" si="56"/>
        <v>0</v>
      </c>
      <c r="R253" s="145">
        <f t="shared" si="53"/>
        <v>75.099908902162184</v>
      </c>
      <c r="S253" s="125">
        <f t="shared" si="54"/>
        <v>-1.9000910978378158</v>
      </c>
      <c r="T253" s="144">
        <f t="shared" si="42"/>
        <v>0</v>
      </c>
      <c r="V253" s="12"/>
    </row>
    <row r="254" spans="1:22" x14ac:dyDescent="0.25">
      <c r="A254" s="49">
        <f>'A) Base RI'!A255</f>
        <v>5831</v>
      </c>
      <c r="B254" s="352" t="str">
        <f>'A) Base RI'!B255</f>
        <v>Valbroye</v>
      </c>
      <c r="C254" s="404">
        <v>1633124.744066322</v>
      </c>
      <c r="D254" s="404">
        <v>-456670.84364766255</v>
      </c>
      <c r="E254" s="390">
        <v>0</v>
      </c>
      <c r="F254" s="390">
        <v>0</v>
      </c>
      <c r="G254" s="390">
        <v>0</v>
      </c>
      <c r="H254" s="404">
        <f t="shared" si="41"/>
        <v>1176453.9004186594</v>
      </c>
      <c r="I254" s="405">
        <v>83651.867392232569</v>
      </c>
      <c r="J254" s="356">
        <f>'B) D RI'!U255</f>
        <v>90456.809812842344</v>
      </c>
      <c r="K254" s="62">
        <f>H254/I254</f>
        <v>14.063689635312292</v>
      </c>
      <c r="L254" s="33">
        <f>'B) D RI'!S255</f>
        <v>73</v>
      </c>
      <c r="M254" s="33">
        <f>L254-K254</f>
        <v>58.936310364687706</v>
      </c>
      <c r="N254" s="33">
        <f>'J) Plafonnement effort'!G253+'J) Plafonnement effort'!I253-'K) Plafonnement aide'!I253</f>
        <v>3.6282854519948451</v>
      </c>
      <c r="O254" s="125">
        <f>M254+N254</f>
        <v>62.564595816682555</v>
      </c>
      <c r="P254" s="47">
        <f t="shared" si="52"/>
        <v>0</v>
      </c>
      <c r="Q254" s="55">
        <f>P254*J254</f>
        <v>0</v>
      </c>
      <c r="R254" s="145">
        <f>O254+P254</f>
        <v>62.564595816682555</v>
      </c>
      <c r="S254" s="125">
        <f>R254-L254</f>
        <v>-10.435404183317445</v>
      </c>
      <c r="T254" s="144">
        <f t="shared" si="42"/>
        <v>0</v>
      </c>
      <c r="V254" s="12"/>
    </row>
    <row r="255" spans="1:22" x14ac:dyDescent="0.25">
      <c r="A255" s="49">
        <f>'A) Base RI'!A256</f>
        <v>5841</v>
      </c>
      <c r="B255" s="352" t="str">
        <f>'A) Base RI'!B256</f>
        <v>Château-d'Oex</v>
      </c>
      <c r="C255" s="404">
        <v>2292124.9428231711</v>
      </c>
      <c r="D255" s="404">
        <v>242162.24708942277</v>
      </c>
      <c r="E255" s="390">
        <v>0</v>
      </c>
      <c r="F255" s="390">
        <v>0</v>
      </c>
      <c r="G255" s="390">
        <v>0</v>
      </c>
      <c r="H255" s="404">
        <f t="shared" si="41"/>
        <v>2534287.1899125939</v>
      </c>
      <c r="I255" s="405">
        <v>116299.93992329082</v>
      </c>
      <c r="J255" s="356">
        <f>'B) D RI'!U256</f>
        <v>118378.66757105118</v>
      </c>
      <c r="K255" s="62">
        <f>H255/I255</f>
        <v>21.790958719189025</v>
      </c>
      <c r="L255" s="33">
        <f>'B) D RI'!S256</f>
        <v>83</v>
      </c>
      <c r="M255" s="33">
        <f>L255-K255</f>
        <v>61.209041280810979</v>
      </c>
      <c r="N255" s="33">
        <f>'J) Plafonnement effort'!G254+'J) Plafonnement effort'!I254-'K) Plafonnement aide'!I254</f>
        <v>2.0767323345427791</v>
      </c>
      <c r="O255" s="125">
        <f>M255+N255</f>
        <v>63.285773615353762</v>
      </c>
      <c r="P255" s="47">
        <f t="shared" si="52"/>
        <v>0</v>
      </c>
      <c r="Q255" s="55">
        <f>P255*J255</f>
        <v>0</v>
      </c>
      <c r="R255" s="145">
        <f>O255+P255</f>
        <v>63.285773615353762</v>
      </c>
      <c r="S255" s="125">
        <f>R255-L255</f>
        <v>-19.714226384646238</v>
      </c>
      <c r="T255" s="144">
        <f t="shared" si="42"/>
        <v>0</v>
      </c>
      <c r="V255" s="12"/>
    </row>
    <row r="256" spans="1:22" x14ac:dyDescent="0.25">
      <c r="A256" s="49">
        <f>'A) Base RI'!A257</f>
        <v>5842</v>
      </c>
      <c r="B256" s="352" t="str">
        <f>'A) Base RI'!B257</f>
        <v>Rossinière</v>
      </c>
      <c r="C256" s="404">
        <v>303260.61263127375</v>
      </c>
      <c r="D256" s="404">
        <v>37021.777626232128</v>
      </c>
      <c r="E256" s="390">
        <v>0</v>
      </c>
      <c r="F256" s="390">
        <v>0</v>
      </c>
      <c r="G256" s="390">
        <v>0</v>
      </c>
      <c r="H256" s="404">
        <f t="shared" si="41"/>
        <v>340282.39025750587</v>
      </c>
      <c r="I256" s="405">
        <v>16094.216375513943</v>
      </c>
      <c r="J256" s="356">
        <f>'B) D RI'!U257</f>
        <v>13768.598420203307</v>
      </c>
      <c r="K256" s="62">
        <f t="shared" si="55"/>
        <v>21.143147470989529</v>
      </c>
      <c r="L256" s="33">
        <f>'B) D RI'!S257</f>
        <v>81</v>
      </c>
      <c r="M256" s="33">
        <f t="shared" si="50"/>
        <v>59.856852529010467</v>
      </c>
      <c r="N256" s="33">
        <f>'J) Plafonnement effort'!G255+'J) Plafonnement effort'!I255-'K) Plafonnement aide'!I255</f>
        <v>-9.4400934549020192</v>
      </c>
      <c r="O256" s="125">
        <f t="shared" si="51"/>
        <v>50.416759074108448</v>
      </c>
      <c r="P256" s="47">
        <f t="shared" si="52"/>
        <v>0</v>
      </c>
      <c r="Q256" s="55">
        <f t="shared" si="56"/>
        <v>0</v>
      </c>
      <c r="R256" s="145">
        <f t="shared" si="53"/>
        <v>50.416759074108448</v>
      </c>
      <c r="S256" s="125">
        <f t="shared" si="54"/>
        <v>-30.583240925891552</v>
      </c>
      <c r="T256" s="144">
        <f t="shared" si="42"/>
        <v>0</v>
      </c>
      <c r="V256" s="12"/>
    </row>
    <row r="257" spans="1:22" x14ac:dyDescent="0.25">
      <c r="A257" s="49">
        <f>'A) Base RI'!A258</f>
        <v>5843</v>
      </c>
      <c r="B257" s="352" t="str">
        <f>'A) Base RI'!B258</f>
        <v>Rougemont</v>
      </c>
      <c r="C257" s="404">
        <v>3603620.1920664515</v>
      </c>
      <c r="D257" s="404">
        <v>1799426.9817914886</v>
      </c>
      <c r="E257" s="390">
        <v>0</v>
      </c>
      <c r="F257" s="390">
        <v>-91908.380918349125</v>
      </c>
      <c r="G257" s="390">
        <v>0</v>
      </c>
      <c r="H257" s="404">
        <f t="shared" si="41"/>
        <v>5311138.7929395912</v>
      </c>
      <c r="I257" s="405">
        <v>94148.401666926264</v>
      </c>
      <c r="J257" s="356">
        <f>'B) D RI'!U258</f>
        <v>85900.087382527112</v>
      </c>
      <c r="K257" s="62">
        <f t="shared" si="55"/>
        <v>56.412415918956178</v>
      </c>
      <c r="L257" s="33">
        <f>'B) D RI'!S258</f>
        <v>74</v>
      </c>
      <c r="M257" s="33">
        <f t="shared" si="50"/>
        <v>17.587584081043822</v>
      </c>
      <c r="N257" s="33">
        <f>'J) Plafonnement effort'!G256+'J) Plafonnement effort'!I256-'K) Plafonnement aide'!I256</f>
        <v>54.718893606601291</v>
      </c>
      <c r="O257" s="125">
        <f t="shared" si="51"/>
        <v>72.306477687645113</v>
      </c>
      <c r="P257" s="47">
        <f t="shared" si="52"/>
        <v>0</v>
      </c>
      <c r="Q257" s="55">
        <f t="shared" si="56"/>
        <v>0</v>
      </c>
      <c r="R257" s="145">
        <f t="shared" si="53"/>
        <v>72.306477687645113</v>
      </c>
      <c r="S257" s="125">
        <f t="shared" si="54"/>
        <v>-1.6935223123548866</v>
      </c>
      <c r="T257" s="144">
        <f t="shared" si="42"/>
        <v>0</v>
      </c>
      <c r="V257" s="12"/>
    </row>
    <row r="258" spans="1:22" x14ac:dyDescent="0.25">
      <c r="A258" s="49">
        <f>'A) Base RI'!A259</f>
        <v>5851</v>
      </c>
      <c r="B258" s="352" t="str">
        <f>'A) Base RI'!B259</f>
        <v>Allaman</v>
      </c>
      <c r="C258" s="404">
        <v>878931.93508571223</v>
      </c>
      <c r="D258" s="404">
        <v>530624.22641034704</v>
      </c>
      <c r="E258" s="390">
        <v>0</v>
      </c>
      <c r="F258" s="390">
        <v>0</v>
      </c>
      <c r="G258" s="390">
        <v>0</v>
      </c>
      <c r="H258" s="404">
        <f t="shared" si="41"/>
        <v>1409556.1614960593</v>
      </c>
      <c r="I258" s="405">
        <v>28833.689592297927</v>
      </c>
      <c r="J258" s="356">
        <f>'B) D RI'!U259</f>
        <v>23250.654215447554</v>
      </c>
      <c r="K258" s="62">
        <f t="shared" si="55"/>
        <v>48.885736838638259</v>
      </c>
      <c r="L258" s="33">
        <f>'B) D RI'!S259</f>
        <v>62</v>
      </c>
      <c r="M258" s="33">
        <f t="shared" si="50"/>
        <v>13.114263161361741</v>
      </c>
      <c r="N258" s="33">
        <f>'J) Plafonnement effort'!G257+'J) Plafonnement effort'!I257-'K) Plafonnement aide'!I257</f>
        <v>42.347530080630172</v>
      </c>
      <c r="O258" s="125">
        <f t="shared" si="51"/>
        <v>55.461793241991913</v>
      </c>
      <c r="P258" s="47">
        <f t="shared" si="52"/>
        <v>0</v>
      </c>
      <c r="Q258" s="55">
        <f t="shared" si="56"/>
        <v>0</v>
      </c>
      <c r="R258" s="145">
        <f t="shared" si="53"/>
        <v>55.461793241991913</v>
      </c>
      <c r="S258" s="125">
        <f t="shared" si="54"/>
        <v>-6.5382067580080871</v>
      </c>
      <c r="T258" s="144">
        <f t="shared" si="42"/>
        <v>0</v>
      </c>
      <c r="V258" s="12"/>
    </row>
    <row r="259" spans="1:22" x14ac:dyDescent="0.25">
      <c r="A259" s="49">
        <f>'A) Base RI'!A260</f>
        <v>5852</v>
      </c>
      <c r="B259" s="352" t="str">
        <f>'A) Base RI'!B260</f>
        <v>Bursinel</v>
      </c>
      <c r="C259" s="404">
        <v>1158046.8787806558</v>
      </c>
      <c r="D259" s="404">
        <v>746317.83632912172</v>
      </c>
      <c r="E259" s="390">
        <v>0</v>
      </c>
      <c r="F259" s="390">
        <v>0</v>
      </c>
      <c r="G259" s="390">
        <v>0</v>
      </c>
      <c r="H259" s="404">
        <f t="shared" si="41"/>
        <v>1904364.7151097776</v>
      </c>
      <c r="I259" s="405">
        <v>39695.951591324636</v>
      </c>
      <c r="J259" s="356">
        <f>'B) D RI'!U260</f>
        <v>39678.838013791166</v>
      </c>
      <c r="K259" s="62">
        <f t="shared" si="55"/>
        <v>47.973776638874369</v>
      </c>
      <c r="L259" s="33">
        <f>'B) D RI'!S260</f>
        <v>65.5</v>
      </c>
      <c r="M259" s="33">
        <f t="shared" si="50"/>
        <v>17.526223361125631</v>
      </c>
      <c r="N259" s="33">
        <f>'J) Plafonnement effort'!G258+'J) Plafonnement effort'!I258-'K) Plafonnement aide'!I258</f>
        <v>48.67795424859986</v>
      </c>
      <c r="O259" s="125">
        <f t="shared" si="51"/>
        <v>66.204177609725491</v>
      </c>
      <c r="P259" s="47">
        <f t="shared" si="52"/>
        <v>0</v>
      </c>
      <c r="Q259" s="55">
        <f t="shared" si="56"/>
        <v>0</v>
      </c>
      <c r="R259" s="145">
        <f t="shared" si="53"/>
        <v>66.204177609725491</v>
      </c>
      <c r="S259" s="125">
        <f t="shared" si="54"/>
        <v>0.70417760972549104</v>
      </c>
      <c r="T259" s="144">
        <f t="shared" si="42"/>
        <v>0</v>
      </c>
      <c r="V259" s="12"/>
    </row>
    <row r="260" spans="1:22" x14ac:dyDescent="0.25">
      <c r="A260" s="49">
        <f>'A) Base RI'!A261</f>
        <v>5853</v>
      </c>
      <c r="B260" s="352" t="str">
        <f>'A) Base RI'!B261</f>
        <v>Bursins</v>
      </c>
      <c r="C260" s="404">
        <v>759202.14448138466</v>
      </c>
      <c r="D260" s="404">
        <v>647845.00072324509</v>
      </c>
      <c r="E260" s="390">
        <v>0</v>
      </c>
      <c r="F260" s="390">
        <v>0</v>
      </c>
      <c r="G260" s="390">
        <v>0</v>
      </c>
      <c r="H260" s="404">
        <f t="shared" si="41"/>
        <v>1407047.1452046297</v>
      </c>
      <c r="I260" s="405">
        <v>36570.93565140845</v>
      </c>
      <c r="J260" s="356">
        <f>'B) D RI'!U261</f>
        <v>36264.072017403523</v>
      </c>
      <c r="K260" s="62">
        <f t="shared" si="55"/>
        <v>38.474463946356273</v>
      </c>
      <c r="L260" s="33">
        <f>'B) D RI'!S261</f>
        <v>71</v>
      </c>
      <c r="M260" s="33">
        <f t="shared" si="50"/>
        <v>32.525536053643727</v>
      </c>
      <c r="N260" s="33">
        <f>'J) Plafonnement effort'!G259+'J) Plafonnement effort'!I259-'K) Plafonnement aide'!I259</f>
        <v>36.674052101897551</v>
      </c>
      <c r="O260" s="125">
        <f t="shared" si="51"/>
        <v>69.199588155541278</v>
      </c>
      <c r="P260" s="47">
        <f t="shared" si="52"/>
        <v>0</v>
      </c>
      <c r="Q260" s="55">
        <f t="shared" si="56"/>
        <v>0</v>
      </c>
      <c r="R260" s="145">
        <f t="shared" si="53"/>
        <v>69.199588155541278</v>
      </c>
      <c r="S260" s="125">
        <f t="shared" si="54"/>
        <v>-1.800411844458722</v>
      </c>
      <c r="T260" s="144">
        <f t="shared" si="42"/>
        <v>0</v>
      </c>
      <c r="V260" s="12"/>
    </row>
    <row r="261" spans="1:22" x14ac:dyDescent="0.25">
      <c r="A261" s="49">
        <f>'A) Base RI'!A262</f>
        <v>5854</v>
      </c>
      <c r="B261" s="352" t="str">
        <f>'A) Base RI'!B262</f>
        <v>Burtigny</v>
      </c>
      <c r="C261" s="404">
        <v>346240.20435110701</v>
      </c>
      <c r="D261" s="404">
        <v>199650.94578697617</v>
      </c>
      <c r="E261" s="390">
        <v>0</v>
      </c>
      <c r="F261" s="390">
        <v>0</v>
      </c>
      <c r="G261" s="390">
        <v>-17145.841434200098</v>
      </c>
      <c r="H261" s="404">
        <f t="shared" si="41"/>
        <v>528745.30870388309</v>
      </c>
      <c r="I261" s="405">
        <v>15186.776169765042</v>
      </c>
      <c r="J261" s="356">
        <f>'B) D RI'!U262</f>
        <v>11037.411333333333</v>
      </c>
      <c r="K261" s="62">
        <f t="shared" si="55"/>
        <v>34.816165247536098</v>
      </c>
      <c r="L261" s="33">
        <f>'B) D RI'!S262</f>
        <v>80</v>
      </c>
      <c r="M261" s="33">
        <f t="shared" ref="M261:M290" si="58">L261-K261</f>
        <v>45.183834752463902</v>
      </c>
      <c r="N261" s="33">
        <f>'J) Plafonnement effort'!G260+'J) Plafonnement effort'!I260-'K) Plafonnement aide'!I260</f>
        <v>18.944110813037728</v>
      </c>
      <c r="O261" s="125">
        <f t="shared" ref="O261:O313" si="59">M261+N261</f>
        <v>64.127945565501633</v>
      </c>
      <c r="P261" s="47">
        <f t="shared" ref="P261:P313" si="60">IF(O261&gt;$P$5,$P$5-O261,0)</f>
        <v>0</v>
      </c>
      <c r="Q261" s="55">
        <f t="shared" si="56"/>
        <v>0</v>
      </c>
      <c r="R261" s="145">
        <f t="shared" ref="R261:R313" si="61">O261+P261</f>
        <v>64.127945565501633</v>
      </c>
      <c r="S261" s="125">
        <f t="shared" ref="S261:S313" si="62">R261-L261</f>
        <v>-15.872054434498367</v>
      </c>
      <c r="T261" s="144">
        <f t="shared" si="42"/>
        <v>0</v>
      </c>
      <c r="V261" s="12"/>
    </row>
    <row r="262" spans="1:22" x14ac:dyDescent="0.25">
      <c r="A262" s="49">
        <f>'A) Base RI'!A263</f>
        <v>5855</v>
      </c>
      <c r="B262" s="352" t="str">
        <f>'A) Base RI'!B263</f>
        <v>Dully</v>
      </c>
      <c r="C262" s="404">
        <v>3037378.6687848978</v>
      </c>
      <c r="D262" s="404">
        <v>1773910.5628637788</v>
      </c>
      <c r="E262" s="390">
        <v>0</v>
      </c>
      <c r="F262" s="390">
        <v>-128958.5427256601</v>
      </c>
      <c r="G262" s="390">
        <v>0</v>
      </c>
      <c r="H262" s="404">
        <f t="shared" ref="H262:H313" si="63">SUM(C262:G262)</f>
        <v>4682330.6889230162</v>
      </c>
      <c r="I262" s="405">
        <v>91369.635498396179</v>
      </c>
      <c r="J262" s="356">
        <f>'B) D RI'!U263</f>
        <v>79587.82351399264</v>
      </c>
      <c r="K262" s="62">
        <f t="shared" si="55"/>
        <v>51.246025699699828</v>
      </c>
      <c r="L262" s="33">
        <f>'B) D RI'!S263</f>
        <v>49</v>
      </c>
      <c r="M262" s="33">
        <f t="shared" si="58"/>
        <v>-2.2460256996998282</v>
      </c>
      <c r="N262" s="33">
        <f>'J) Plafonnement effort'!G261+'J) Plafonnement effort'!I261-'K) Plafonnement aide'!I261</f>
        <v>49.98556793519657</v>
      </c>
      <c r="O262" s="125">
        <f t="shared" si="59"/>
        <v>47.739542235496742</v>
      </c>
      <c r="P262" s="47">
        <f t="shared" si="60"/>
        <v>0</v>
      </c>
      <c r="Q262" s="55">
        <f t="shared" si="56"/>
        <v>0</v>
      </c>
      <c r="R262" s="145">
        <f t="shared" si="61"/>
        <v>47.739542235496742</v>
      </c>
      <c r="S262" s="125">
        <f t="shared" si="62"/>
        <v>-1.2604577645032577</v>
      </c>
      <c r="T262" s="144">
        <f t="shared" ref="T262:T313" si="64">+C262+D262+E262+F262+G262-H262</f>
        <v>0</v>
      </c>
      <c r="V262" s="12"/>
    </row>
    <row r="263" spans="1:22" x14ac:dyDescent="0.25">
      <c r="A263" s="49">
        <f>'A) Base RI'!A264</f>
        <v>5856</v>
      </c>
      <c r="B263" s="352" t="str">
        <f>'A) Base RI'!B264</f>
        <v>Essertines-sur-Rolle</v>
      </c>
      <c r="C263" s="404">
        <v>824134.36193676386</v>
      </c>
      <c r="D263" s="404">
        <v>667973.71801008389</v>
      </c>
      <c r="E263" s="390">
        <v>0</v>
      </c>
      <c r="F263" s="390">
        <v>0</v>
      </c>
      <c r="G263" s="390">
        <v>0</v>
      </c>
      <c r="H263" s="404">
        <f t="shared" si="63"/>
        <v>1492108.0799468476</v>
      </c>
      <c r="I263" s="405">
        <v>37403.277675115321</v>
      </c>
      <c r="J263" s="356">
        <f>'B) D RI'!U264</f>
        <v>36512.686266191689</v>
      </c>
      <c r="K263" s="62">
        <f t="shared" si="55"/>
        <v>39.892441857831038</v>
      </c>
      <c r="L263" s="33">
        <f>'B) D RI'!S264</f>
        <v>68</v>
      </c>
      <c r="M263" s="33">
        <f t="shared" si="58"/>
        <v>28.107558142168962</v>
      </c>
      <c r="N263" s="33">
        <f>'J) Plafonnement effort'!G262+'J) Plafonnement effort'!I262-'K) Plafonnement aide'!I262</f>
        <v>35.480764542147163</v>
      </c>
      <c r="O263" s="125">
        <f t="shared" si="59"/>
        <v>63.588322684316125</v>
      </c>
      <c r="P263" s="47">
        <f t="shared" si="60"/>
        <v>0</v>
      </c>
      <c r="Q263" s="55">
        <f t="shared" si="56"/>
        <v>0</v>
      </c>
      <c r="R263" s="145">
        <f t="shared" si="61"/>
        <v>63.588322684316125</v>
      </c>
      <c r="S263" s="125">
        <f t="shared" si="62"/>
        <v>-4.4116773156838747</v>
      </c>
      <c r="T263" s="144">
        <f t="shared" si="64"/>
        <v>0</v>
      </c>
      <c r="V263" s="12"/>
    </row>
    <row r="264" spans="1:22" x14ac:dyDescent="0.25">
      <c r="A264" s="49">
        <f>'A) Base RI'!A265</f>
        <v>5857</v>
      </c>
      <c r="B264" s="352" t="str">
        <f>'A) Base RI'!B265</f>
        <v>Gilly</v>
      </c>
      <c r="C264" s="404">
        <v>2072329.7371647307</v>
      </c>
      <c r="D264" s="404">
        <v>1559695.6334006863</v>
      </c>
      <c r="E264" s="390">
        <v>0</v>
      </c>
      <c r="F264" s="390">
        <v>0</v>
      </c>
      <c r="G264" s="390">
        <v>0</v>
      </c>
      <c r="H264" s="404">
        <f t="shared" si="63"/>
        <v>3632025.3705654172</v>
      </c>
      <c r="I264" s="405">
        <v>88640.687774331382</v>
      </c>
      <c r="J264" s="356">
        <f>'B) D RI'!U265</f>
        <v>85445.15246923732</v>
      </c>
      <c r="K264" s="62">
        <f t="shared" si="55"/>
        <v>40.974697531816545</v>
      </c>
      <c r="L264" s="33">
        <f>'B) D RI'!S265</f>
        <v>66</v>
      </c>
      <c r="M264" s="33">
        <f t="shared" si="58"/>
        <v>25.025302468183455</v>
      </c>
      <c r="N264" s="33">
        <f>'J) Plafonnement effort'!G263+'J) Plafonnement effort'!I263-'K) Plafonnement aide'!I263</f>
        <v>38.947475684271453</v>
      </c>
      <c r="O264" s="125">
        <f t="shared" si="59"/>
        <v>63.972778152454907</v>
      </c>
      <c r="P264" s="47">
        <f t="shared" si="60"/>
        <v>0</v>
      </c>
      <c r="Q264" s="55">
        <f t="shared" si="56"/>
        <v>0</v>
      </c>
      <c r="R264" s="145">
        <f t="shared" si="61"/>
        <v>63.972778152454907</v>
      </c>
      <c r="S264" s="125">
        <f t="shared" si="62"/>
        <v>-2.0272218475450927</v>
      </c>
      <c r="T264" s="144">
        <f t="shared" si="64"/>
        <v>0</v>
      </c>
      <c r="V264" s="12"/>
    </row>
    <row r="265" spans="1:22" x14ac:dyDescent="0.25">
      <c r="A265" s="49">
        <f>'A) Base RI'!A266</f>
        <v>5858</v>
      </c>
      <c r="B265" s="352" t="str">
        <f>'A) Base RI'!B266</f>
        <v>Luins</v>
      </c>
      <c r="C265" s="404">
        <v>1041457.9359377368</v>
      </c>
      <c r="D265" s="404">
        <v>811436.9259357499</v>
      </c>
      <c r="E265" s="390">
        <v>0</v>
      </c>
      <c r="F265" s="390">
        <v>0</v>
      </c>
      <c r="G265" s="390">
        <v>0</v>
      </c>
      <c r="H265" s="404">
        <f t="shared" si="63"/>
        <v>1852894.8618734865</v>
      </c>
      <c r="I265" s="405">
        <v>43780.812152194871</v>
      </c>
      <c r="J265" s="356">
        <f>'B) D RI'!U266</f>
        <v>46686.611465586961</v>
      </c>
      <c r="K265" s="62">
        <f t="shared" ref="K265:K313" si="65">H265/I265</f>
        <v>42.32207605999367</v>
      </c>
      <c r="L265" s="33">
        <f>'B) D RI'!S266</f>
        <v>60</v>
      </c>
      <c r="M265" s="33">
        <f t="shared" si="58"/>
        <v>17.67792394000633</v>
      </c>
      <c r="N265" s="33">
        <f>'J) Plafonnement effort'!G264+'J) Plafonnement effort'!I264-'K) Plafonnement aide'!I264</f>
        <v>40.590391614603163</v>
      </c>
      <c r="O265" s="125">
        <f t="shared" si="59"/>
        <v>58.268315554609494</v>
      </c>
      <c r="P265" s="47">
        <f t="shared" si="60"/>
        <v>0</v>
      </c>
      <c r="Q265" s="55">
        <f t="shared" si="56"/>
        <v>0</v>
      </c>
      <c r="R265" s="145">
        <f t="shared" si="61"/>
        <v>58.268315554609494</v>
      </c>
      <c r="S265" s="125">
        <f t="shared" si="62"/>
        <v>-1.7316844453905063</v>
      </c>
      <c r="T265" s="144">
        <f t="shared" si="64"/>
        <v>0</v>
      </c>
      <c r="V265" s="12"/>
    </row>
    <row r="266" spans="1:22" x14ac:dyDescent="0.25">
      <c r="A266" s="49">
        <f>'A) Base RI'!A267</f>
        <v>5859</v>
      </c>
      <c r="B266" s="352" t="str">
        <f>'A) Base RI'!B267</f>
        <v>Mont-sur-Rolle</v>
      </c>
      <c r="C266" s="404">
        <v>2759485.3203781634</v>
      </c>
      <c r="D266" s="404">
        <v>2186164.9730025181</v>
      </c>
      <c r="E266" s="390">
        <v>0</v>
      </c>
      <c r="F266" s="390">
        <v>0</v>
      </c>
      <c r="G266" s="390">
        <v>0</v>
      </c>
      <c r="H266" s="404">
        <f t="shared" si="63"/>
        <v>4945650.2933806814</v>
      </c>
      <c r="I266" s="405">
        <v>142403.85565354835</v>
      </c>
      <c r="J266" s="356">
        <f>'B) D RI'!U267</f>
        <v>136353.72580116385</v>
      </c>
      <c r="K266" s="62">
        <f t="shared" si="65"/>
        <v>34.729749912199431</v>
      </c>
      <c r="L266" s="33">
        <f>'B) D RI'!S267</f>
        <v>65</v>
      </c>
      <c r="M266" s="33">
        <f t="shared" si="58"/>
        <v>30.270250087800569</v>
      </c>
      <c r="N266" s="33">
        <f>'J) Plafonnement effort'!G265+'J) Plafonnement effort'!I265-'K) Plafonnement aide'!I265</f>
        <v>35.966979164289917</v>
      </c>
      <c r="O266" s="125">
        <f t="shared" si="59"/>
        <v>66.237229252090486</v>
      </c>
      <c r="P266" s="47">
        <f t="shared" si="60"/>
        <v>0</v>
      </c>
      <c r="Q266" s="55">
        <f t="shared" ref="Q266:Q313" si="66">P266*J266</f>
        <v>0</v>
      </c>
      <c r="R266" s="145">
        <f t="shared" si="61"/>
        <v>66.237229252090486</v>
      </c>
      <c r="S266" s="125">
        <f t="shared" si="62"/>
        <v>1.2372292520904864</v>
      </c>
      <c r="T266" s="144">
        <f t="shared" si="64"/>
        <v>0</v>
      </c>
      <c r="V266" s="12"/>
    </row>
    <row r="267" spans="1:22" x14ac:dyDescent="0.25">
      <c r="A267" s="49">
        <f>'A) Base RI'!A268</f>
        <v>5860</v>
      </c>
      <c r="B267" s="352" t="str">
        <f>'A) Base RI'!B268</f>
        <v>Perroy</v>
      </c>
      <c r="C267" s="404">
        <v>2407724.8499572477</v>
      </c>
      <c r="D267" s="404">
        <v>1615714.3713521629</v>
      </c>
      <c r="E267" s="390">
        <v>0</v>
      </c>
      <c r="F267" s="390">
        <v>0</v>
      </c>
      <c r="G267" s="390">
        <v>0</v>
      </c>
      <c r="H267" s="404">
        <f t="shared" si="63"/>
        <v>4023439.2213094104</v>
      </c>
      <c r="I267" s="405">
        <v>95160.687801613312</v>
      </c>
      <c r="J267" s="356">
        <f>'B) D RI'!U268</f>
        <v>102639.35399012771</v>
      </c>
      <c r="K267" s="62">
        <f t="shared" si="65"/>
        <v>42.280476468363638</v>
      </c>
      <c r="L267" s="33">
        <f>'B) D RI'!S268</f>
        <v>60</v>
      </c>
      <c r="M267" s="33">
        <f t="shared" si="58"/>
        <v>17.719523531636362</v>
      </c>
      <c r="N267" s="33">
        <f>'J) Plafonnement effort'!G266+'J) Plafonnement effort'!I266-'K) Plafonnement aide'!I266</f>
        <v>20.466421300759642</v>
      </c>
      <c r="O267" s="125">
        <f t="shared" si="59"/>
        <v>38.185944832396004</v>
      </c>
      <c r="P267" s="47">
        <f t="shared" si="60"/>
        <v>0</v>
      </c>
      <c r="Q267" s="55">
        <f t="shared" si="66"/>
        <v>0</v>
      </c>
      <c r="R267" s="145">
        <f t="shared" si="61"/>
        <v>38.185944832396004</v>
      </c>
      <c r="S267" s="125">
        <f t="shared" si="62"/>
        <v>-21.814055167603996</v>
      </c>
      <c r="T267" s="144">
        <f t="shared" si="64"/>
        <v>0</v>
      </c>
      <c r="V267" s="12"/>
    </row>
    <row r="268" spans="1:22" x14ac:dyDescent="0.25">
      <c r="A268" s="49">
        <f>'A) Base RI'!A269</f>
        <v>5861</v>
      </c>
      <c r="B268" s="352" t="str">
        <f>'A) Base RI'!B269</f>
        <v>Rolle</v>
      </c>
      <c r="C268" s="404">
        <v>15767987.227916356</v>
      </c>
      <c r="D268" s="404">
        <v>9076796.6647936516</v>
      </c>
      <c r="E268" s="390">
        <v>0</v>
      </c>
      <c r="F268" s="390">
        <v>0</v>
      </c>
      <c r="G268" s="390">
        <v>0</v>
      </c>
      <c r="H268" s="404">
        <f t="shared" si="63"/>
        <v>24844783.892710008</v>
      </c>
      <c r="I268" s="405">
        <v>574229.10238061741</v>
      </c>
      <c r="J268" s="356">
        <f>'B) D RI'!U269</f>
        <v>542281.32528677804</v>
      </c>
      <c r="K268" s="62">
        <f t="shared" si="65"/>
        <v>43.26632661024918</v>
      </c>
      <c r="L268" s="33">
        <f>'B) D RI'!S269</f>
        <v>59.5</v>
      </c>
      <c r="M268" s="33">
        <f t="shared" si="58"/>
        <v>16.23367338975082</v>
      </c>
      <c r="N268" s="33">
        <f>'J) Plafonnement effort'!G267+'J) Plafonnement effort'!I267-'K) Plafonnement aide'!I267</f>
        <v>41.946138697426363</v>
      </c>
      <c r="O268" s="125">
        <f t="shared" si="59"/>
        <v>58.179812087177183</v>
      </c>
      <c r="P268" s="47">
        <f t="shared" si="60"/>
        <v>0</v>
      </c>
      <c r="Q268" s="55">
        <f t="shared" si="66"/>
        <v>0</v>
      </c>
      <c r="R268" s="145">
        <f t="shared" si="61"/>
        <v>58.179812087177183</v>
      </c>
      <c r="S268" s="125">
        <f t="shared" si="62"/>
        <v>-1.3201879128228171</v>
      </c>
      <c r="T268" s="144">
        <f t="shared" si="64"/>
        <v>0</v>
      </c>
      <c r="V268" s="12"/>
    </row>
    <row r="269" spans="1:22" x14ac:dyDescent="0.25">
      <c r="A269" s="49">
        <f>'A) Base RI'!A270</f>
        <v>5862</v>
      </c>
      <c r="B269" s="352" t="str">
        <f>'A) Base RI'!B270</f>
        <v>Tartegnin</v>
      </c>
      <c r="C269" s="404">
        <v>232532.39459896283</v>
      </c>
      <c r="D269" s="404">
        <v>217449.54996778473</v>
      </c>
      <c r="E269" s="390">
        <v>0</v>
      </c>
      <c r="F269" s="390">
        <v>0</v>
      </c>
      <c r="G269" s="390">
        <v>0</v>
      </c>
      <c r="H269" s="404">
        <f t="shared" si="63"/>
        <v>449981.94456674752</v>
      </c>
      <c r="I269" s="405">
        <v>12235.59571867773</v>
      </c>
      <c r="J269" s="356">
        <f>'B) D RI'!U270</f>
        <v>10952.855675530331</v>
      </c>
      <c r="K269" s="62">
        <f t="shared" si="65"/>
        <v>36.776463926463883</v>
      </c>
      <c r="L269" s="33">
        <f>'B) D RI'!S270</f>
        <v>81</v>
      </c>
      <c r="M269" s="33">
        <f t="shared" si="58"/>
        <v>44.223536073536117</v>
      </c>
      <c r="N269" s="33">
        <f>'J) Plafonnement effort'!G268+'J) Plafonnement effort'!I268-'K) Plafonnement aide'!I268</f>
        <v>32.940372300594618</v>
      </c>
      <c r="O269" s="125">
        <f t="shared" si="59"/>
        <v>77.163908374130727</v>
      </c>
      <c r="P269" s="47">
        <f t="shared" si="60"/>
        <v>0</v>
      </c>
      <c r="Q269" s="55">
        <f t="shared" si="66"/>
        <v>0</v>
      </c>
      <c r="R269" s="145">
        <f t="shared" si="61"/>
        <v>77.163908374130727</v>
      </c>
      <c r="S269" s="125">
        <f t="shared" si="62"/>
        <v>-3.8360916258692725</v>
      </c>
      <c r="T269" s="144">
        <f t="shared" si="64"/>
        <v>0</v>
      </c>
      <c r="V269" s="12"/>
    </row>
    <row r="270" spans="1:22" x14ac:dyDescent="0.25">
      <c r="A270" s="49">
        <f>'A) Base RI'!A271</f>
        <v>5863</v>
      </c>
      <c r="B270" s="352" t="str">
        <f>'A) Base RI'!B271</f>
        <v>Vinzel</v>
      </c>
      <c r="C270" s="404">
        <v>484672.32189684198</v>
      </c>
      <c r="D270" s="404">
        <v>409514.48452905577</v>
      </c>
      <c r="E270" s="390">
        <v>0</v>
      </c>
      <c r="F270" s="390">
        <v>0</v>
      </c>
      <c r="G270" s="390">
        <v>0</v>
      </c>
      <c r="H270" s="404">
        <f t="shared" si="63"/>
        <v>894186.80642589775</v>
      </c>
      <c r="I270" s="405">
        <v>22394.635794374353</v>
      </c>
      <c r="J270" s="356">
        <f>'B) D RI'!U271</f>
        <v>17853.344314731814</v>
      </c>
      <c r="K270" s="62">
        <f t="shared" si="65"/>
        <v>39.928615702271081</v>
      </c>
      <c r="L270" s="33">
        <f>'B) D RI'!S271</f>
        <v>67</v>
      </c>
      <c r="M270" s="33">
        <f t="shared" si="58"/>
        <v>27.071384297728919</v>
      </c>
      <c r="N270" s="33">
        <f>'J) Plafonnement effort'!G269+'J) Plafonnement effort'!I269-'K) Plafonnement aide'!I269</f>
        <v>36.375450718307683</v>
      </c>
      <c r="O270" s="125">
        <f t="shared" si="59"/>
        <v>63.446835016036601</v>
      </c>
      <c r="P270" s="47">
        <f t="shared" si="60"/>
        <v>0</v>
      </c>
      <c r="Q270" s="55">
        <f t="shared" si="66"/>
        <v>0</v>
      </c>
      <c r="R270" s="145">
        <f t="shared" si="61"/>
        <v>63.446835016036601</v>
      </c>
      <c r="S270" s="125">
        <f t="shared" si="62"/>
        <v>-3.5531649839633985</v>
      </c>
      <c r="T270" s="144">
        <f t="shared" si="64"/>
        <v>0</v>
      </c>
      <c r="V270" s="12"/>
    </row>
    <row r="271" spans="1:22" x14ac:dyDescent="0.25">
      <c r="A271" s="49">
        <f>'A) Base RI'!A272</f>
        <v>5871</v>
      </c>
      <c r="B271" s="352" t="str">
        <f>'A) Base RI'!B272</f>
        <v>L'Abbaye</v>
      </c>
      <c r="C271" s="404">
        <v>967363.95310344268</v>
      </c>
      <c r="D271" s="404">
        <v>96926.058408167562</v>
      </c>
      <c r="E271" s="390">
        <v>0</v>
      </c>
      <c r="F271" s="390">
        <v>0</v>
      </c>
      <c r="G271" s="390">
        <v>0</v>
      </c>
      <c r="H271" s="404">
        <f t="shared" si="63"/>
        <v>1064290.0115116104</v>
      </c>
      <c r="I271" s="405">
        <v>44671.831166364944</v>
      </c>
      <c r="J271" s="356">
        <f>'B) D RI'!U272</f>
        <v>46407.687824597124</v>
      </c>
      <c r="K271" s="62">
        <f t="shared" si="65"/>
        <v>23.824633638769509</v>
      </c>
      <c r="L271" s="33">
        <f>'B) D RI'!S272</f>
        <v>77.599999999999994</v>
      </c>
      <c r="M271" s="33">
        <f t="shared" si="58"/>
        <v>53.775366361230482</v>
      </c>
      <c r="N271" s="33">
        <f>'J) Plafonnement effort'!G270+'J) Plafonnement effort'!I270-'K) Plafonnement aide'!I270</f>
        <v>16.351510519081167</v>
      </c>
      <c r="O271" s="125">
        <f t="shared" si="59"/>
        <v>70.126876880311642</v>
      </c>
      <c r="P271" s="47">
        <f t="shared" si="60"/>
        <v>0</v>
      </c>
      <c r="Q271" s="55">
        <f t="shared" si="66"/>
        <v>0</v>
      </c>
      <c r="R271" s="145">
        <f t="shared" si="61"/>
        <v>70.126876880311642</v>
      </c>
      <c r="S271" s="125">
        <f t="shared" si="62"/>
        <v>-7.4731231196883527</v>
      </c>
      <c r="T271" s="144">
        <f t="shared" si="64"/>
        <v>0</v>
      </c>
      <c r="V271" s="12"/>
    </row>
    <row r="272" spans="1:22" x14ac:dyDescent="0.25">
      <c r="A272" s="49">
        <f>'A) Base RI'!A273</f>
        <v>5872</v>
      </c>
      <c r="B272" s="352" t="str">
        <f>'A) Base RI'!B273</f>
        <v>Le Chenit</v>
      </c>
      <c r="C272" s="404">
        <v>5086032.6796281338</v>
      </c>
      <c r="D272" s="404">
        <v>1130279.902006336</v>
      </c>
      <c r="E272" s="390">
        <v>0</v>
      </c>
      <c r="F272" s="390">
        <v>0</v>
      </c>
      <c r="G272" s="390">
        <v>0</v>
      </c>
      <c r="H272" s="404">
        <f t="shared" si="63"/>
        <v>6216312.5816344693</v>
      </c>
      <c r="I272" s="405">
        <v>169487.47890245376</v>
      </c>
      <c r="J272" s="356">
        <f>'B) D RI'!U273</f>
        <v>253970.36617173007</v>
      </c>
      <c r="K272" s="62">
        <f t="shared" si="65"/>
        <v>36.677119878644156</v>
      </c>
      <c r="L272" s="33">
        <f>'B) D RI'!S273</f>
        <v>68.39</v>
      </c>
      <c r="M272" s="33">
        <f t="shared" si="58"/>
        <v>31.712880121355845</v>
      </c>
      <c r="N272" s="33">
        <f>'J) Plafonnement effort'!G271+'J) Plafonnement effort'!I271-'K) Plafonnement aide'!I271</f>
        <v>36.222440248564759</v>
      </c>
      <c r="O272" s="125">
        <f t="shared" si="59"/>
        <v>67.935320369920603</v>
      </c>
      <c r="P272" s="47">
        <f t="shared" si="60"/>
        <v>0</v>
      </c>
      <c r="Q272" s="55">
        <f t="shared" si="66"/>
        <v>0</v>
      </c>
      <c r="R272" s="145">
        <f t="shared" si="61"/>
        <v>67.935320369920603</v>
      </c>
      <c r="S272" s="125">
        <f t="shared" si="62"/>
        <v>-0.45467963007939716</v>
      </c>
      <c r="T272" s="144">
        <f t="shared" si="64"/>
        <v>0</v>
      </c>
      <c r="V272" s="12"/>
    </row>
    <row r="273" spans="1:22" x14ac:dyDescent="0.25">
      <c r="A273" s="49">
        <f>'A) Base RI'!A274</f>
        <v>5873</v>
      </c>
      <c r="B273" s="352" t="str">
        <f>'A) Base RI'!B274</f>
        <v>Le Lieu</v>
      </c>
      <c r="C273" s="404">
        <v>748126.72682182724</v>
      </c>
      <c r="D273" s="404">
        <v>318143.34382076462</v>
      </c>
      <c r="E273" s="390">
        <v>0</v>
      </c>
      <c r="F273" s="390">
        <v>0</v>
      </c>
      <c r="G273" s="390">
        <v>0</v>
      </c>
      <c r="H273" s="404">
        <f t="shared" si="63"/>
        <v>1066270.0706425919</v>
      </c>
      <c r="I273" s="405">
        <v>29965.351280448966</v>
      </c>
      <c r="J273" s="356">
        <f>'B) D RI'!U274</f>
        <v>28515.54687424951</v>
      </c>
      <c r="K273" s="62">
        <f t="shared" si="65"/>
        <v>35.583433034482226</v>
      </c>
      <c r="L273" s="33">
        <f>'B) D RI'!S274</f>
        <v>70</v>
      </c>
      <c r="M273" s="33">
        <f t="shared" si="58"/>
        <v>34.416566965517774</v>
      </c>
      <c r="N273" s="33">
        <f>'J) Plafonnement effort'!G272+'J) Plafonnement effort'!I272-'K) Plafonnement aide'!I272</f>
        <v>8.8494454465937231</v>
      </c>
      <c r="O273" s="125">
        <f t="shared" si="59"/>
        <v>43.266012412111493</v>
      </c>
      <c r="P273" s="47">
        <f t="shared" si="60"/>
        <v>0</v>
      </c>
      <c r="Q273" s="55">
        <f t="shared" si="66"/>
        <v>0</v>
      </c>
      <c r="R273" s="145">
        <f t="shared" si="61"/>
        <v>43.266012412111493</v>
      </c>
      <c r="S273" s="125">
        <f t="shared" si="62"/>
        <v>-26.733987587888507</v>
      </c>
      <c r="T273" s="144">
        <f t="shared" si="64"/>
        <v>0</v>
      </c>
      <c r="V273" s="12"/>
    </row>
    <row r="274" spans="1:22" x14ac:dyDescent="0.25">
      <c r="A274" s="49">
        <f>'A) Base RI'!A275</f>
        <v>5881</v>
      </c>
      <c r="B274" s="352" t="str">
        <f>'A) Base RI'!B275</f>
        <v>Blonay</v>
      </c>
      <c r="C274" s="404">
        <v>6522900.501982539</v>
      </c>
      <c r="D274" s="404">
        <v>4163259.783370703</v>
      </c>
      <c r="E274" s="390">
        <v>0</v>
      </c>
      <c r="F274" s="390">
        <v>0</v>
      </c>
      <c r="G274" s="390">
        <v>0</v>
      </c>
      <c r="H274" s="404">
        <f t="shared" si="63"/>
        <v>10686160.285353241</v>
      </c>
      <c r="I274" s="405">
        <v>329876.03226063965</v>
      </c>
      <c r="J274" s="356">
        <f>'B) D RI'!U275</f>
        <v>355094.49330320884</v>
      </c>
      <c r="K274" s="62">
        <f t="shared" si="65"/>
        <v>32.394473196858257</v>
      </c>
      <c r="L274" s="33">
        <f>'B) D RI'!S275</f>
        <v>70</v>
      </c>
      <c r="M274" s="33">
        <f t="shared" si="58"/>
        <v>37.605526803141743</v>
      </c>
      <c r="N274" s="33">
        <f>'J) Plafonnement effort'!G273+'J) Plafonnement effort'!I273-'K) Plafonnement aide'!I273</f>
        <v>33.187056307429444</v>
      </c>
      <c r="O274" s="125">
        <f t="shared" si="59"/>
        <v>70.792583110571186</v>
      </c>
      <c r="P274" s="47">
        <f t="shared" si="60"/>
        <v>0</v>
      </c>
      <c r="Q274" s="55">
        <f t="shared" si="66"/>
        <v>0</v>
      </c>
      <c r="R274" s="145">
        <f t="shared" si="61"/>
        <v>70.792583110571186</v>
      </c>
      <c r="S274" s="125">
        <f t="shared" si="62"/>
        <v>0.79258311057118647</v>
      </c>
      <c r="T274" s="144">
        <f t="shared" si="64"/>
        <v>0</v>
      </c>
      <c r="V274" s="12"/>
    </row>
    <row r="275" spans="1:22" x14ac:dyDescent="0.25">
      <c r="A275" s="49">
        <f>'A) Base RI'!A276</f>
        <v>5882</v>
      </c>
      <c r="B275" s="352" t="str">
        <f>'A) Base RI'!B276</f>
        <v>Chardonne</v>
      </c>
      <c r="C275" s="404">
        <v>3836019.1207686178</v>
      </c>
      <c r="D275" s="404">
        <v>2459228.2622184213</v>
      </c>
      <c r="E275" s="390">
        <v>0</v>
      </c>
      <c r="F275" s="390">
        <v>0</v>
      </c>
      <c r="G275" s="390">
        <v>0</v>
      </c>
      <c r="H275" s="404">
        <f t="shared" si="63"/>
        <v>6295247.3829870392</v>
      </c>
      <c r="I275" s="405">
        <v>160866.12406088383</v>
      </c>
      <c r="J275" s="356">
        <f>'B) D RI'!U276</f>
        <v>184065.71182844636</v>
      </c>
      <c r="K275" s="62">
        <f t="shared" si="65"/>
        <v>39.133455969912255</v>
      </c>
      <c r="L275" s="33">
        <f>'B) D RI'!S276</f>
        <v>68</v>
      </c>
      <c r="M275" s="33">
        <f t="shared" si="58"/>
        <v>28.866544030087745</v>
      </c>
      <c r="N275" s="33">
        <f>'J) Plafonnement effort'!G274+'J) Plafonnement effort'!I274-'K) Plafonnement aide'!I274</f>
        <v>38.567996576331318</v>
      </c>
      <c r="O275" s="125">
        <f t="shared" si="59"/>
        <v>67.434540606419063</v>
      </c>
      <c r="P275" s="47">
        <f t="shared" si="60"/>
        <v>0</v>
      </c>
      <c r="Q275" s="55">
        <f t="shared" si="66"/>
        <v>0</v>
      </c>
      <c r="R275" s="145">
        <f t="shared" si="61"/>
        <v>67.434540606419063</v>
      </c>
      <c r="S275" s="125">
        <f t="shared" si="62"/>
        <v>-0.56545939358093733</v>
      </c>
      <c r="T275" s="144">
        <f t="shared" si="64"/>
        <v>0</v>
      </c>
      <c r="V275" s="12"/>
    </row>
    <row r="276" spans="1:22" x14ac:dyDescent="0.25">
      <c r="A276" s="49">
        <f>'A) Base RI'!A277</f>
        <v>5883</v>
      </c>
      <c r="B276" s="352" t="str">
        <f>'A) Base RI'!B277</f>
        <v>Corseaux</v>
      </c>
      <c r="C276" s="404">
        <v>5101885.3883120399</v>
      </c>
      <c r="D276" s="404">
        <v>2575122.4196650479</v>
      </c>
      <c r="E276" s="390">
        <v>0</v>
      </c>
      <c r="F276" s="390">
        <v>0</v>
      </c>
      <c r="G276" s="390">
        <v>0</v>
      </c>
      <c r="H276" s="404">
        <f t="shared" si="63"/>
        <v>7677007.8079770878</v>
      </c>
      <c r="I276" s="405">
        <v>155219.69320868849</v>
      </c>
      <c r="J276" s="356">
        <f>'B) D RI'!U277</f>
        <v>164452.64554996623</v>
      </c>
      <c r="K276" s="62">
        <f t="shared" si="65"/>
        <v>49.458980682660979</v>
      </c>
      <c r="L276" s="33">
        <f>'B) D RI'!S277</f>
        <v>69</v>
      </c>
      <c r="M276" s="33">
        <f t="shared" si="58"/>
        <v>19.541019317339021</v>
      </c>
      <c r="N276" s="33">
        <f>'J) Plafonnement effort'!G275+'J) Plafonnement effort'!I275-'K) Plafonnement aide'!I275</f>
        <v>40.392895700148536</v>
      </c>
      <c r="O276" s="125">
        <f t="shared" si="59"/>
        <v>59.933915017487557</v>
      </c>
      <c r="P276" s="47">
        <f t="shared" si="60"/>
        <v>0</v>
      </c>
      <c r="Q276" s="55">
        <f t="shared" si="66"/>
        <v>0</v>
      </c>
      <c r="R276" s="145">
        <f t="shared" si="61"/>
        <v>59.933915017487557</v>
      </c>
      <c r="S276" s="125">
        <f t="shared" si="62"/>
        <v>-9.066084982512443</v>
      </c>
      <c r="T276" s="144">
        <f t="shared" si="64"/>
        <v>0</v>
      </c>
      <c r="V276" s="12"/>
    </row>
    <row r="277" spans="1:22" x14ac:dyDescent="0.25">
      <c r="A277" s="49">
        <f>'A) Base RI'!A278</f>
        <v>5884</v>
      </c>
      <c r="B277" s="352" t="str">
        <f>'A) Base RI'!B278</f>
        <v>Corsier-sur-Vevey</v>
      </c>
      <c r="C277" s="404">
        <v>2162052.6400663317</v>
      </c>
      <c r="D277" s="404">
        <v>630721.74816862354</v>
      </c>
      <c r="E277" s="390">
        <v>0</v>
      </c>
      <c r="F277" s="390">
        <v>0</v>
      </c>
      <c r="G277" s="390">
        <v>0</v>
      </c>
      <c r="H277" s="404">
        <f t="shared" si="63"/>
        <v>2792774.3882349553</v>
      </c>
      <c r="I277" s="405">
        <v>113730.49763913798</v>
      </c>
      <c r="J277" s="356">
        <f>'B) D RI'!U278</f>
        <v>125116.33219250187</v>
      </c>
      <c r="K277" s="62">
        <f t="shared" si="65"/>
        <v>24.556072875864039</v>
      </c>
      <c r="L277" s="33">
        <f>'B) D RI'!S278</f>
        <v>66</v>
      </c>
      <c r="M277" s="33">
        <f t="shared" si="58"/>
        <v>41.443927124135961</v>
      </c>
      <c r="N277" s="33">
        <f>'J) Plafonnement effort'!G276+'J) Plafonnement effort'!I276-'K) Plafonnement aide'!I276</f>
        <v>14.759429286281282</v>
      </c>
      <c r="O277" s="125">
        <f t="shared" si="59"/>
        <v>56.203356410417243</v>
      </c>
      <c r="P277" s="47">
        <f t="shared" si="60"/>
        <v>0</v>
      </c>
      <c r="Q277" s="55">
        <f t="shared" si="66"/>
        <v>0</v>
      </c>
      <c r="R277" s="145">
        <f t="shared" si="61"/>
        <v>56.203356410417243</v>
      </c>
      <c r="S277" s="125">
        <f t="shared" si="62"/>
        <v>-9.7966435895827573</v>
      </c>
      <c r="T277" s="144">
        <f t="shared" si="64"/>
        <v>0</v>
      </c>
      <c r="V277" s="12"/>
    </row>
    <row r="278" spans="1:22" x14ac:dyDescent="0.25">
      <c r="A278" s="49">
        <f>'A) Base RI'!A279</f>
        <v>5885</v>
      </c>
      <c r="B278" s="352" t="str">
        <f>'A) Base RI'!B279</f>
        <v>Jongny</v>
      </c>
      <c r="C278" s="404">
        <v>2131319.6073621754</v>
      </c>
      <c r="D278" s="404">
        <v>1381061.1591247632</v>
      </c>
      <c r="E278" s="390">
        <v>0</v>
      </c>
      <c r="F278" s="390">
        <v>0</v>
      </c>
      <c r="G278" s="390">
        <v>0</v>
      </c>
      <c r="H278" s="404">
        <f t="shared" si="63"/>
        <v>3512380.7664869386</v>
      </c>
      <c r="I278" s="405">
        <v>83488.016188395792</v>
      </c>
      <c r="J278" s="356">
        <f>'B) D RI'!U279</f>
        <v>78645.92697183101</v>
      </c>
      <c r="K278" s="62">
        <f t="shared" si="65"/>
        <v>42.070478217628711</v>
      </c>
      <c r="L278" s="33">
        <f>'B) D RI'!S279</f>
        <v>71</v>
      </c>
      <c r="M278" s="33">
        <f t="shared" si="58"/>
        <v>28.929521782371289</v>
      </c>
      <c r="N278" s="33">
        <f>'J) Plafonnement effort'!G277+'J) Plafonnement effort'!I277-'K) Plafonnement aide'!I277</f>
        <v>34.590711800521369</v>
      </c>
      <c r="O278" s="125">
        <f t="shared" si="59"/>
        <v>63.520233582892658</v>
      </c>
      <c r="P278" s="47">
        <f t="shared" si="60"/>
        <v>0</v>
      </c>
      <c r="Q278" s="55">
        <f t="shared" si="66"/>
        <v>0</v>
      </c>
      <c r="R278" s="145">
        <f t="shared" si="61"/>
        <v>63.520233582892658</v>
      </c>
      <c r="S278" s="125">
        <f t="shared" si="62"/>
        <v>-7.4797664171073421</v>
      </c>
      <c r="T278" s="144">
        <f t="shared" si="64"/>
        <v>0</v>
      </c>
      <c r="V278" s="12"/>
    </row>
    <row r="279" spans="1:22" x14ac:dyDescent="0.25">
      <c r="A279" s="49">
        <f>'A) Base RI'!A280</f>
        <v>5886</v>
      </c>
      <c r="B279" s="352" t="str">
        <f>'A) Base RI'!B280</f>
        <v>Montreux</v>
      </c>
      <c r="C279" s="404">
        <v>28906137.928823143</v>
      </c>
      <c r="D279" s="404">
        <v>-183402.45844851062</v>
      </c>
      <c r="E279" s="390">
        <v>0</v>
      </c>
      <c r="F279" s="390">
        <v>0</v>
      </c>
      <c r="G279" s="390">
        <v>0</v>
      </c>
      <c r="H279" s="404">
        <f t="shared" si="63"/>
        <v>28722735.470374633</v>
      </c>
      <c r="I279" s="405">
        <v>1097840.7322767281</v>
      </c>
      <c r="J279" s="356">
        <f>'B) D RI'!U280</f>
        <v>1133766.4796882921</v>
      </c>
      <c r="K279" s="62">
        <f t="shared" si="65"/>
        <v>26.162934773615788</v>
      </c>
      <c r="L279" s="33">
        <f>'B) D RI'!S280</f>
        <v>65</v>
      </c>
      <c r="M279" s="33">
        <f t="shared" si="58"/>
        <v>38.837065226384212</v>
      </c>
      <c r="N279" s="33">
        <f>'J) Plafonnement effort'!G278+'J) Plafonnement effort'!I278-'K) Plafonnement aide'!I278</f>
        <v>17.628543853386383</v>
      </c>
      <c r="O279" s="125">
        <f t="shared" si="59"/>
        <v>56.465609079770594</v>
      </c>
      <c r="P279" s="47">
        <f t="shared" si="60"/>
        <v>0</v>
      </c>
      <c r="Q279" s="55">
        <f t="shared" si="66"/>
        <v>0</v>
      </c>
      <c r="R279" s="145">
        <f t="shared" si="61"/>
        <v>56.465609079770594</v>
      </c>
      <c r="S279" s="125">
        <f t="shared" si="62"/>
        <v>-8.5343909202294057</v>
      </c>
      <c r="T279" s="144">
        <f t="shared" si="64"/>
        <v>0</v>
      </c>
      <c r="V279" s="12"/>
    </row>
    <row r="280" spans="1:22" x14ac:dyDescent="0.25">
      <c r="A280" s="49">
        <f>'A) Base RI'!A281</f>
        <v>5888</v>
      </c>
      <c r="B280" s="352" t="str">
        <f>'A) Base RI'!B281</f>
        <v>Saint-Légier-La Chiésaz</v>
      </c>
      <c r="C280" s="404">
        <v>7216582.6580667533</v>
      </c>
      <c r="D280" s="404">
        <v>4441016.3633705452</v>
      </c>
      <c r="E280" s="390">
        <v>0</v>
      </c>
      <c r="F280" s="390">
        <v>0</v>
      </c>
      <c r="G280" s="390">
        <v>0</v>
      </c>
      <c r="H280" s="404">
        <f t="shared" si="63"/>
        <v>11657599.021437299</v>
      </c>
      <c r="I280" s="405">
        <v>314313.56949265295</v>
      </c>
      <c r="J280" s="356">
        <f>'B) D RI'!U281</f>
        <v>337320.4595902646</v>
      </c>
      <c r="K280" s="62">
        <f t="shared" si="65"/>
        <v>37.089073310625217</v>
      </c>
      <c r="L280" s="33">
        <f>'B) D RI'!S281</f>
        <v>70</v>
      </c>
      <c r="M280" s="33">
        <f t="shared" si="58"/>
        <v>32.910926689374783</v>
      </c>
      <c r="N280" s="33">
        <f>'J) Plafonnement effort'!G279+'J) Plafonnement effort'!I279-'K) Plafonnement aide'!I279</f>
        <v>36.242902960213868</v>
      </c>
      <c r="O280" s="125">
        <f t="shared" si="59"/>
        <v>69.153829649588658</v>
      </c>
      <c r="P280" s="47">
        <f t="shared" si="60"/>
        <v>0</v>
      </c>
      <c r="Q280" s="55">
        <f t="shared" si="66"/>
        <v>0</v>
      </c>
      <c r="R280" s="145">
        <f t="shared" si="61"/>
        <v>69.153829649588658</v>
      </c>
      <c r="S280" s="125">
        <f t="shared" si="62"/>
        <v>-0.84617035041134159</v>
      </c>
      <c r="T280" s="144">
        <f t="shared" si="64"/>
        <v>0</v>
      </c>
      <c r="V280" s="12"/>
    </row>
    <row r="281" spans="1:22" x14ac:dyDescent="0.25">
      <c r="A281" s="49">
        <f>'A) Base RI'!A282</f>
        <v>5889</v>
      </c>
      <c r="B281" s="352" t="str">
        <f>'A) Base RI'!B282</f>
        <v>La Tour-de-Peilz</v>
      </c>
      <c r="C281" s="404">
        <v>15304199.26462586</v>
      </c>
      <c r="D281" s="404">
        <v>6290509.2864822978</v>
      </c>
      <c r="E281" s="390">
        <v>0</v>
      </c>
      <c r="F281" s="390">
        <v>0</v>
      </c>
      <c r="G281" s="390">
        <v>0</v>
      </c>
      <c r="H281" s="404">
        <f t="shared" si="63"/>
        <v>21594708.551108159</v>
      </c>
      <c r="I281" s="405">
        <v>638439.35310298624</v>
      </c>
      <c r="J281" s="356">
        <f>'B) D RI'!U282</f>
        <v>691108.44187203015</v>
      </c>
      <c r="K281" s="62">
        <f t="shared" si="65"/>
        <v>33.824212818574061</v>
      </c>
      <c r="L281" s="33">
        <f>'B) D RI'!S282</f>
        <v>64</v>
      </c>
      <c r="M281" s="33">
        <f t="shared" si="58"/>
        <v>30.175787181425939</v>
      </c>
      <c r="N281" s="33">
        <f>'J) Plafonnement effort'!G280+'J) Plafonnement effort'!I280-'K) Plafonnement aide'!I280</f>
        <v>31.044071671638253</v>
      </c>
      <c r="O281" s="125">
        <f t="shared" si="59"/>
        <v>61.219858853064196</v>
      </c>
      <c r="P281" s="47">
        <f t="shared" si="60"/>
        <v>0</v>
      </c>
      <c r="Q281" s="55">
        <f t="shared" si="66"/>
        <v>0</v>
      </c>
      <c r="R281" s="145">
        <f t="shared" si="61"/>
        <v>61.219858853064196</v>
      </c>
      <c r="S281" s="125">
        <f t="shared" si="62"/>
        <v>-2.7801411469358044</v>
      </c>
      <c r="T281" s="144">
        <f t="shared" si="64"/>
        <v>0</v>
      </c>
      <c r="V281" s="12"/>
    </row>
    <row r="282" spans="1:22" x14ac:dyDescent="0.25">
      <c r="A282" s="49">
        <f>'A) Base RI'!A283</f>
        <v>5890</v>
      </c>
      <c r="B282" s="352" t="str">
        <f>'A) Base RI'!B283</f>
        <v>Vevey</v>
      </c>
      <c r="C282" s="404">
        <v>18207152.690177578</v>
      </c>
      <c r="D282" s="404">
        <v>3618840.2509813495</v>
      </c>
      <c r="E282" s="390">
        <v>0</v>
      </c>
      <c r="F282" s="390">
        <v>0</v>
      </c>
      <c r="G282" s="390">
        <v>0</v>
      </c>
      <c r="H282" s="404">
        <f t="shared" si="63"/>
        <v>21825992.941158928</v>
      </c>
      <c r="I282" s="405">
        <v>913497.60631978849</v>
      </c>
      <c r="J282" s="356">
        <f>'B) D RI'!U283</f>
        <v>964973.50807811751</v>
      </c>
      <c r="K282" s="62">
        <f t="shared" si="65"/>
        <v>23.892775186450017</v>
      </c>
      <c r="L282" s="33">
        <f>'B) D RI'!S283</f>
        <v>76</v>
      </c>
      <c r="M282" s="33">
        <f t="shared" si="58"/>
        <v>52.107224813549983</v>
      </c>
      <c r="N282" s="33">
        <f>'J) Plafonnement effort'!G281+'J) Plafonnement effort'!I281-'K) Plafonnement aide'!I281</f>
        <v>19.25146454267891</v>
      </c>
      <c r="O282" s="125">
        <f t="shared" si="59"/>
        <v>71.358689356228894</v>
      </c>
      <c r="P282" s="47">
        <f t="shared" si="60"/>
        <v>0</v>
      </c>
      <c r="Q282" s="55">
        <f t="shared" si="66"/>
        <v>0</v>
      </c>
      <c r="R282" s="145">
        <f t="shared" si="61"/>
        <v>71.358689356228894</v>
      </c>
      <c r="S282" s="125">
        <f t="shared" si="62"/>
        <v>-4.6413106437711065</v>
      </c>
      <c r="T282" s="144">
        <f t="shared" si="64"/>
        <v>0</v>
      </c>
      <c r="V282" s="12"/>
    </row>
    <row r="283" spans="1:22" x14ac:dyDescent="0.25">
      <c r="A283" s="49">
        <f>'A) Base RI'!A284</f>
        <v>5891</v>
      </c>
      <c r="B283" s="352" t="str">
        <f>'A) Base RI'!B284</f>
        <v>Veytaux</v>
      </c>
      <c r="C283" s="404">
        <v>990665.80094270222</v>
      </c>
      <c r="D283" s="404">
        <v>551920.23443027353</v>
      </c>
      <c r="E283" s="390">
        <v>0</v>
      </c>
      <c r="F283" s="390">
        <v>0</v>
      </c>
      <c r="G283" s="390">
        <v>0</v>
      </c>
      <c r="H283" s="404">
        <f t="shared" si="63"/>
        <v>1542586.0353729757</v>
      </c>
      <c r="I283" s="405">
        <v>36119.381724012419</v>
      </c>
      <c r="J283" s="356">
        <f>'B) D RI'!U284</f>
        <v>37035.518505817468</v>
      </c>
      <c r="K283" s="62">
        <f t="shared" si="65"/>
        <v>42.707985622784172</v>
      </c>
      <c r="L283" s="33">
        <f>'B) D RI'!S284</f>
        <v>71</v>
      </c>
      <c r="M283" s="33">
        <f t="shared" si="58"/>
        <v>28.292014377215828</v>
      </c>
      <c r="N283" s="33">
        <f>'J) Plafonnement effort'!G282+'J) Plafonnement effort'!I282-'K) Plafonnement aide'!I282</f>
        <v>8.9045586634597633</v>
      </c>
      <c r="O283" s="125">
        <f t="shared" si="59"/>
        <v>37.196573040675588</v>
      </c>
      <c r="P283" s="47">
        <f t="shared" si="60"/>
        <v>0</v>
      </c>
      <c r="Q283" s="55">
        <f t="shared" si="66"/>
        <v>0</v>
      </c>
      <c r="R283" s="145">
        <f t="shared" si="61"/>
        <v>37.196573040675588</v>
      </c>
      <c r="S283" s="125">
        <f t="shared" si="62"/>
        <v>-33.803426959324412</v>
      </c>
      <c r="T283" s="144">
        <f t="shared" si="64"/>
        <v>0</v>
      </c>
      <c r="V283" s="12"/>
    </row>
    <row r="284" spans="1:22" x14ac:dyDescent="0.25">
      <c r="A284" s="49">
        <f>'A) Base RI'!A285</f>
        <v>5902</v>
      </c>
      <c r="B284" s="352" t="str">
        <f>'A) Base RI'!B285</f>
        <v>Belmont-sur-Yverdon</v>
      </c>
      <c r="C284" s="404">
        <v>159475.29366415748</v>
      </c>
      <c r="D284" s="404">
        <v>2692.1219656761677</v>
      </c>
      <c r="E284" s="390">
        <v>0</v>
      </c>
      <c r="F284" s="390">
        <v>0</v>
      </c>
      <c r="G284" s="390">
        <v>0</v>
      </c>
      <c r="H284" s="404">
        <f t="shared" si="63"/>
        <v>162167.41562983365</v>
      </c>
      <c r="I284" s="405">
        <v>10311.765900330549</v>
      </c>
      <c r="J284" s="356">
        <f>'B) D RI'!U285</f>
        <v>10774.45016912473</v>
      </c>
      <c r="K284" s="62">
        <f t="shared" si="65"/>
        <v>15.726444645590266</v>
      </c>
      <c r="L284" s="33">
        <f>'B) D RI'!S285</f>
        <v>76</v>
      </c>
      <c r="M284" s="33">
        <f t="shared" si="58"/>
        <v>60.273555354409737</v>
      </c>
      <c r="N284" s="33">
        <f>'J) Plafonnement effort'!G283+'J) Plafonnement effort'!I283-'K) Plafonnement aide'!I283</f>
        <v>16.177259324856497</v>
      </c>
      <c r="O284" s="125">
        <f t="shared" si="59"/>
        <v>76.45081467926623</v>
      </c>
      <c r="P284" s="47">
        <f t="shared" si="60"/>
        <v>0</v>
      </c>
      <c r="Q284" s="55">
        <f t="shared" si="66"/>
        <v>0</v>
      </c>
      <c r="R284" s="145">
        <f t="shared" si="61"/>
        <v>76.45081467926623</v>
      </c>
      <c r="S284" s="125">
        <f t="shared" si="62"/>
        <v>0.4508146792662302</v>
      </c>
      <c r="T284" s="144">
        <f t="shared" si="64"/>
        <v>0</v>
      </c>
      <c r="V284" s="12"/>
    </row>
    <row r="285" spans="1:22" x14ac:dyDescent="0.25">
      <c r="A285" s="49">
        <f>'A) Base RI'!A286</f>
        <v>5903</v>
      </c>
      <c r="B285" s="352" t="str">
        <f>'A) Base RI'!B286</f>
        <v>Bioley-Magnoux</v>
      </c>
      <c r="C285" s="404">
        <v>99496.314814254729</v>
      </c>
      <c r="D285" s="404">
        <v>-18983.469436420739</v>
      </c>
      <c r="E285" s="390">
        <v>0</v>
      </c>
      <c r="F285" s="390">
        <v>0</v>
      </c>
      <c r="G285" s="390">
        <v>0</v>
      </c>
      <c r="H285" s="404">
        <f t="shared" si="63"/>
        <v>80512.84537783399</v>
      </c>
      <c r="I285" s="405">
        <v>5438.478399120967</v>
      </c>
      <c r="J285" s="356">
        <f>'B) D RI'!U286</f>
        <v>6472.6316948302874</v>
      </c>
      <c r="K285" s="62">
        <f t="shared" si="65"/>
        <v>14.804296251474945</v>
      </c>
      <c r="L285" s="33">
        <f>'B) D RI'!S286</f>
        <v>74</v>
      </c>
      <c r="M285" s="33">
        <f t="shared" si="58"/>
        <v>59.195703748525055</v>
      </c>
      <c r="N285" s="33">
        <f>'J) Plafonnement effort'!G284+'J) Plafonnement effort'!I284-'K) Plafonnement aide'!I284</f>
        <v>-12.989147091871732</v>
      </c>
      <c r="O285" s="125">
        <f t="shared" si="59"/>
        <v>46.206556656653319</v>
      </c>
      <c r="P285" s="47">
        <f t="shared" si="60"/>
        <v>0</v>
      </c>
      <c r="Q285" s="55">
        <f t="shared" si="66"/>
        <v>0</v>
      </c>
      <c r="R285" s="145">
        <f t="shared" si="61"/>
        <v>46.206556656653319</v>
      </c>
      <c r="S285" s="125">
        <f t="shared" si="62"/>
        <v>-27.793443343346681</v>
      </c>
      <c r="T285" s="144">
        <f t="shared" si="64"/>
        <v>0</v>
      </c>
      <c r="V285" s="12"/>
    </row>
    <row r="286" spans="1:22" x14ac:dyDescent="0.25">
      <c r="A286" s="49">
        <f>'A) Base RI'!A287</f>
        <v>5904</v>
      </c>
      <c r="B286" s="352" t="str">
        <f>'A) Base RI'!B287</f>
        <v>Chamblon</v>
      </c>
      <c r="C286" s="404">
        <v>342190.08587411512</v>
      </c>
      <c r="D286" s="404">
        <v>262620.06382081675</v>
      </c>
      <c r="E286" s="390">
        <v>0</v>
      </c>
      <c r="F286" s="390">
        <v>0</v>
      </c>
      <c r="G286" s="390">
        <v>0</v>
      </c>
      <c r="H286" s="404">
        <f t="shared" si="63"/>
        <v>604810.14969493193</v>
      </c>
      <c r="I286" s="405">
        <v>19974.80164727481</v>
      </c>
      <c r="J286" s="356">
        <f>'B) D RI'!U287</f>
        <v>21968.958276290676</v>
      </c>
      <c r="K286" s="62">
        <f t="shared" si="65"/>
        <v>30.278656097566156</v>
      </c>
      <c r="L286" s="33">
        <f>'B) D RI'!S287</f>
        <v>66</v>
      </c>
      <c r="M286" s="33">
        <f t="shared" si="58"/>
        <v>35.721343902433844</v>
      </c>
      <c r="N286" s="33">
        <f>'J) Plafonnement effort'!G285+'J) Plafonnement effort'!I285-'K) Plafonnement aide'!I285</f>
        <v>30.849155764420509</v>
      </c>
      <c r="O286" s="125">
        <f t="shared" si="59"/>
        <v>66.570499666854346</v>
      </c>
      <c r="P286" s="47">
        <f t="shared" si="60"/>
        <v>0</v>
      </c>
      <c r="Q286" s="55">
        <f t="shared" si="66"/>
        <v>0</v>
      </c>
      <c r="R286" s="145">
        <f t="shared" si="61"/>
        <v>66.570499666854346</v>
      </c>
      <c r="S286" s="125">
        <f t="shared" si="62"/>
        <v>0.57049966685434583</v>
      </c>
      <c r="T286" s="144">
        <f t="shared" si="64"/>
        <v>0</v>
      </c>
      <c r="V286" s="12"/>
    </row>
    <row r="287" spans="1:22" x14ac:dyDescent="0.25">
      <c r="A287" s="49">
        <f>'A) Base RI'!A288</f>
        <v>5905</v>
      </c>
      <c r="B287" s="352" t="str">
        <f>'A) Base RI'!B288</f>
        <v>Champvent</v>
      </c>
      <c r="C287" s="404">
        <v>394207.14246628096</v>
      </c>
      <c r="D287" s="404">
        <v>224821.23745662961</v>
      </c>
      <c r="E287" s="390">
        <v>0</v>
      </c>
      <c r="F287" s="390">
        <v>0</v>
      </c>
      <c r="G287" s="390">
        <v>0</v>
      </c>
      <c r="H287" s="404">
        <f t="shared" si="63"/>
        <v>619028.37992291059</v>
      </c>
      <c r="I287" s="405">
        <v>22958.275896270283</v>
      </c>
      <c r="J287" s="356">
        <f>'B) D RI'!U288</f>
        <v>23321.773448973479</v>
      </c>
      <c r="K287" s="62">
        <f t="shared" si="65"/>
        <v>26.963191082805817</v>
      </c>
      <c r="L287" s="33">
        <f>'B) D RI'!S288</f>
        <v>71</v>
      </c>
      <c r="M287" s="33">
        <f t="shared" si="58"/>
        <v>44.036808917194179</v>
      </c>
      <c r="N287" s="33">
        <f>'J) Plafonnement effort'!G286+'J) Plafonnement effort'!I286-'K) Plafonnement aide'!I286</f>
        <v>30.420974638156519</v>
      </c>
      <c r="O287" s="125">
        <f t="shared" si="59"/>
        <v>74.457783555350701</v>
      </c>
      <c r="P287" s="47">
        <f t="shared" si="60"/>
        <v>0</v>
      </c>
      <c r="Q287" s="55">
        <f t="shared" si="66"/>
        <v>0</v>
      </c>
      <c r="R287" s="145">
        <f t="shared" si="61"/>
        <v>74.457783555350701</v>
      </c>
      <c r="S287" s="125">
        <f t="shared" si="62"/>
        <v>3.4577835553507015</v>
      </c>
      <c r="T287" s="144">
        <f t="shared" si="64"/>
        <v>0</v>
      </c>
      <c r="V287" s="12"/>
    </row>
    <row r="288" spans="1:22" x14ac:dyDescent="0.25">
      <c r="A288" s="49">
        <f>'A) Base RI'!A289</f>
        <v>5907</v>
      </c>
      <c r="B288" s="352" t="str">
        <f>'A) Base RI'!B289</f>
        <v>Chavannes-le-Chêne</v>
      </c>
      <c r="C288" s="404">
        <v>132601.91981574937</v>
      </c>
      <c r="D288" s="404">
        <v>-13583.144532195874</v>
      </c>
      <c r="E288" s="390">
        <v>0</v>
      </c>
      <c r="F288" s="390">
        <v>0</v>
      </c>
      <c r="G288" s="390">
        <v>0</v>
      </c>
      <c r="H288" s="404">
        <f t="shared" si="63"/>
        <v>119018.77528355349</v>
      </c>
      <c r="I288" s="405">
        <v>8069.3635983781451</v>
      </c>
      <c r="J288" s="356">
        <f>'B) D RI'!U289</f>
        <v>9479.6278585348446</v>
      </c>
      <c r="K288" s="62">
        <f t="shared" si="65"/>
        <v>14.749462436848797</v>
      </c>
      <c r="L288" s="33">
        <f>'B) D RI'!S289</f>
        <v>78</v>
      </c>
      <c r="M288" s="33">
        <f t="shared" si="58"/>
        <v>63.250537563151205</v>
      </c>
      <c r="N288" s="33">
        <f>'J) Plafonnement effort'!G287+'J) Plafonnement effort'!I287-'K) Plafonnement aide'!I287</f>
        <v>10.936626990715043</v>
      </c>
      <c r="O288" s="125">
        <f t="shared" si="59"/>
        <v>74.187164553866253</v>
      </c>
      <c r="P288" s="47">
        <f t="shared" si="60"/>
        <v>0</v>
      </c>
      <c r="Q288" s="55">
        <f t="shared" si="66"/>
        <v>0</v>
      </c>
      <c r="R288" s="145">
        <f t="shared" si="61"/>
        <v>74.187164553866253</v>
      </c>
      <c r="S288" s="125">
        <f t="shared" si="62"/>
        <v>-3.8128354461337466</v>
      </c>
      <c r="T288" s="144">
        <f t="shared" si="64"/>
        <v>0</v>
      </c>
      <c r="V288" s="12"/>
    </row>
    <row r="289" spans="1:22" x14ac:dyDescent="0.25">
      <c r="A289" s="49">
        <f>'A) Base RI'!A290</f>
        <v>5908</v>
      </c>
      <c r="B289" s="352" t="str">
        <f>'A) Base RI'!B290</f>
        <v>Chêne-Pâquier</v>
      </c>
      <c r="C289" s="404">
        <v>88527.875121946796</v>
      </c>
      <c r="D289" s="404">
        <v>-32374.53483487435</v>
      </c>
      <c r="E289" s="390">
        <v>0</v>
      </c>
      <c r="F289" s="390">
        <v>0</v>
      </c>
      <c r="G289" s="390">
        <v>-6950.5701205209762</v>
      </c>
      <c r="H289" s="404">
        <f t="shared" si="63"/>
        <v>49202.770166551469</v>
      </c>
      <c r="I289" s="405">
        <v>3150.4766446398044</v>
      </c>
      <c r="J289" s="356">
        <f>'B) D RI'!U290</f>
        <v>3375.521749976027</v>
      </c>
      <c r="K289" s="62">
        <f t="shared" si="65"/>
        <v>15.61756385347743</v>
      </c>
      <c r="L289" s="33">
        <f>'B) D RI'!S290</f>
        <v>79</v>
      </c>
      <c r="M289" s="33">
        <f t="shared" si="58"/>
        <v>63.382436146522572</v>
      </c>
      <c r="N289" s="33">
        <f>'J) Plafonnement effort'!G288+'J) Plafonnement effort'!I288-'K) Plafonnement aide'!I288</f>
        <v>-3.6279343134544968</v>
      </c>
      <c r="O289" s="125">
        <f t="shared" si="59"/>
        <v>59.754501833068076</v>
      </c>
      <c r="P289" s="47">
        <f t="shared" si="60"/>
        <v>0</v>
      </c>
      <c r="Q289" s="55">
        <f t="shared" si="66"/>
        <v>0</v>
      </c>
      <c r="R289" s="145">
        <f t="shared" si="61"/>
        <v>59.754501833068076</v>
      </c>
      <c r="S289" s="125">
        <f t="shared" si="62"/>
        <v>-19.245498166931924</v>
      </c>
      <c r="T289" s="144">
        <f t="shared" si="64"/>
        <v>0</v>
      </c>
      <c r="V289" s="12"/>
    </row>
    <row r="290" spans="1:22" x14ac:dyDescent="0.25">
      <c r="A290" s="49">
        <f>'A) Base RI'!A291</f>
        <v>5909</v>
      </c>
      <c r="B290" s="352" t="str">
        <f>'A) Base RI'!B291</f>
        <v>Cheseaux-Noréaz</v>
      </c>
      <c r="C290" s="404">
        <v>588435.06923300552</v>
      </c>
      <c r="D290" s="404">
        <v>566386.12118010235</v>
      </c>
      <c r="E290" s="390">
        <v>0</v>
      </c>
      <c r="F290" s="390">
        <v>0</v>
      </c>
      <c r="G290" s="390">
        <v>0</v>
      </c>
      <c r="H290" s="404">
        <f t="shared" si="63"/>
        <v>1154821.1904131079</v>
      </c>
      <c r="I290" s="405">
        <v>32363.863960310864</v>
      </c>
      <c r="J290" s="356">
        <f>'B) D RI'!U291</f>
        <v>32341.35221867514</v>
      </c>
      <c r="K290" s="62">
        <f t="shared" si="65"/>
        <v>35.682426295862342</v>
      </c>
      <c r="L290" s="33">
        <f>'B) D RI'!S291</f>
        <v>70</v>
      </c>
      <c r="M290" s="33">
        <f t="shared" si="58"/>
        <v>34.317573704137658</v>
      </c>
      <c r="N290" s="33">
        <f>'J) Plafonnement effort'!G289+'J) Plafonnement effort'!I289-'K) Plafonnement aide'!I289</f>
        <v>31.740927240193891</v>
      </c>
      <c r="O290" s="125">
        <f t="shared" si="59"/>
        <v>66.058500944331541</v>
      </c>
      <c r="P290" s="47">
        <f t="shared" si="60"/>
        <v>0</v>
      </c>
      <c r="Q290" s="55">
        <f t="shared" si="66"/>
        <v>0</v>
      </c>
      <c r="R290" s="145">
        <f t="shared" si="61"/>
        <v>66.058500944331541</v>
      </c>
      <c r="S290" s="125">
        <f t="shared" si="62"/>
        <v>-3.9414990556684586</v>
      </c>
      <c r="T290" s="144">
        <f t="shared" si="64"/>
        <v>0</v>
      </c>
      <c r="V290" s="12"/>
    </row>
    <row r="291" spans="1:22" x14ac:dyDescent="0.25">
      <c r="A291" s="49">
        <f>'A) Base RI'!A292</f>
        <v>5910</v>
      </c>
      <c r="B291" s="352" t="str">
        <f>'A) Base RI'!B292</f>
        <v>Cronay</v>
      </c>
      <c r="C291" s="404">
        <v>161948.78203098095</v>
      </c>
      <c r="D291" s="404">
        <v>-42993.048494385788</v>
      </c>
      <c r="E291" s="390">
        <v>0</v>
      </c>
      <c r="F291" s="390">
        <v>0</v>
      </c>
      <c r="G291" s="390">
        <v>0</v>
      </c>
      <c r="H291" s="404">
        <f t="shared" si="63"/>
        <v>118955.73353659516</v>
      </c>
      <c r="I291" s="405">
        <v>9609.1535349412279</v>
      </c>
      <c r="J291" s="356">
        <f>'B) D RI'!U292</f>
        <v>10197.986044276999</v>
      </c>
      <c r="K291" s="62">
        <f t="shared" si="65"/>
        <v>12.37941855170105</v>
      </c>
      <c r="L291" s="33">
        <f>'B) D RI'!S292</f>
        <v>79</v>
      </c>
      <c r="M291" s="33">
        <f t="shared" ref="M291:M313" si="67">L291-K291</f>
        <v>66.62058144829895</v>
      </c>
      <c r="N291" s="33">
        <f>'J) Plafonnement effort'!G290+'J) Plafonnement effort'!I290-'K) Plafonnement aide'!I290</f>
        <v>18.417077665817736</v>
      </c>
      <c r="O291" s="125">
        <f t="shared" si="59"/>
        <v>85.037659114116678</v>
      </c>
      <c r="P291" s="47">
        <f t="shared" si="60"/>
        <v>0</v>
      </c>
      <c r="Q291" s="55">
        <f t="shared" si="66"/>
        <v>0</v>
      </c>
      <c r="R291" s="145">
        <f t="shared" si="61"/>
        <v>85.037659114116678</v>
      </c>
      <c r="S291" s="125">
        <f t="shared" si="62"/>
        <v>6.0376591141166784</v>
      </c>
      <c r="T291" s="144">
        <f t="shared" si="64"/>
        <v>0</v>
      </c>
      <c r="V291" s="12"/>
    </row>
    <row r="292" spans="1:22" x14ac:dyDescent="0.25">
      <c r="A292" s="49">
        <f>'A) Base RI'!A293</f>
        <v>5911</v>
      </c>
      <c r="B292" s="352" t="str">
        <f>'A) Base RI'!B293</f>
        <v>Cuarny</v>
      </c>
      <c r="C292" s="404">
        <v>134090.32363220234</v>
      </c>
      <c r="D292" s="404">
        <v>7651.4538963514788</v>
      </c>
      <c r="E292" s="390">
        <v>0</v>
      </c>
      <c r="F292" s="390">
        <v>0</v>
      </c>
      <c r="G292" s="390">
        <v>0</v>
      </c>
      <c r="H292" s="404">
        <f t="shared" si="63"/>
        <v>141741.77752855382</v>
      </c>
      <c r="I292" s="405">
        <v>6836.3467697278311</v>
      </c>
      <c r="J292" s="356">
        <f>'B) D RI'!U293</f>
        <v>7835.2176584022027</v>
      </c>
      <c r="K292" s="62">
        <f t="shared" si="65"/>
        <v>20.733555845382732</v>
      </c>
      <c r="L292" s="33">
        <f>'B) D RI'!S293</f>
        <v>79</v>
      </c>
      <c r="M292" s="33">
        <f t="shared" si="67"/>
        <v>58.266444154617268</v>
      </c>
      <c r="N292" s="33">
        <f>'J) Plafonnement effort'!G291+'J) Plafonnement effort'!I291-'K) Plafonnement aide'!I291</f>
        <v>18.44603037254166</v>
      </c>
      <c r="O292" s="125">
        <f t="shared" si="59"/>
        <v>76.712474527158932</v>
      </c>
      <c r="P292" s="47">
        <f t="shared" si="60"/>
        <v>0</v>
      </c>
      <c r="Q292" s="55">
        <f t="shared" si="66"/>
        <v>0</v>
      </c>
      <c r="R292" s="145">
        <f t="shared" si="61"/>
        <v>76.712474527158932</v>
      </c>
      <c r="S292" s="125">
        <f t="shared" si="62"/>
        <v>-2.2875254728410681</v>
      </c>
      <c r="T292" s="144">
        <f t="shared" si="64"/>
        <v>0</v>
      </c>
      <c r="V292" s="12"/>
    </row>
    <row r="293" spans="1:22" x14ac:dyDescent="0.25">
      <c r="A293" s="49">
        <f>'A) Base RI'!A294</f>
        <v>5912</v>
      </c>
      <c r="B293" s="352" t="str">
        <f>'A) Base RI'!B294</f>
        <v>Démoret</v>
      </c>
      <c r="C293" s="404">
        <v>48266.377458524803</v>
      </c>
      <c r="D293" s="404">
        <v>-37197.765477817629</v>
      </c>
      <c r="E293" s="390">
        <v>0</v>
      </c>
      <c r="F293" s="390">
        <v>0</v>
      </c>
      <c r="G293" s="390">
        <v>0</v>
      </c>
      <c r="H293" s="404">
        <f t="shared" si="63"/>
        <v>11068.611980707174</v>
      </c>
      <c r="I293" s="405">
        <v>3133.4473385194956</v>
      </c>
      <c r="J293" s="356">
        <f>'B) D RI'!U294</f>
        <v>3963.3385142217253</v>
      </c>
      <c r="K293" s="62">
        <f t="shared" si="65"/>
        <v>3.5324072131803939</v>
      </c>
      <c r="L293" s="33">
        <f>'B) D RI'!S294</f>
        <v>81</v>
      </c>
      <c r="M293" s="33">
        <f t="shared" si="67"/>
        <v>77.467592786819608</v>
      </c>
      <c r="N293" s="33">
        <f>'J) Plafonnement effort'!G292+'J) Plafonnement effort'!I292-'K) Plafonnement aide'!I292</f>
        <v>4.8416426959876855</v>
      </c>
      <c r="O293" s="125">
        <f t="shared" si="59"/>
        <v>82.309235482807296</v>
      </c>
      <c r="P293" s="47">
        <f t="shared" si="60"/>
        <v>0</v>
      </c>
      <c r="Q293" s="55">
        <f t="shared" si="66"/>
        <v>0</v>
      </c>
      <c r="R293" s="145">
        <f t="shared" si="61"/>
        <v>82.309235482807296</v>
      </c>
      <c r="S293" s="125">
        <f t="shared" si="62"/>
        <v>1.3092354828072956</v>
      </c>
      <c r="T293" s="144">
        <f t="shared" si="64"/>
        <v>0</v>
      </c>
      <c r="V293" s="12"/>
    </row>
    <row r="294" spans="1:22" x14ac:dyDescent="0.25">
      <c r="A294" s="49">
        <f>'A) Base RI'!A295</f>
        <v>5913</v>
      </c>
      <c r="B294" s="352" t="str">
        <f>'A) Base RI'!B295</f>
        <v>Donneloye</v>
      </c>
      <c r="C294" s="404">
        <v>390130.09705546405</v>
      </c>
      <c r="D294" s="404">
        <v>-35418.514863042219</v>
      </c>
      <c r="E294" s="390">
        <v>0</v>
      </c>
      <c r="F294" s="390">
        <v>0</v>
      </c>
      <c r="G294" s="390">
        <v>0</v>
      </c>
      <c r="H294" s="404">
        <f t="shared" si="63"/>
        <v>354711.58219242183</v>
      </c>
      <c r="I294" s="405">
        <v>20110.628715820858</v>
      </c>
      <c r="J294" s="356">
        <f>'B) D RI'!U295</f>
        <v>21560.051293940251</v>
      </c>
      <c r="K294" s="62">
        <f t="shared" si="65"/>
        <v>17.638015559074656</v>
      </c>
      <c r="L294" s="33">
        <f>'B) D RI'!S295</f>
        <v>73</v>
      </c>
      <c r="M294" s="33">
        <f t="shared" si="67"/>
        <v>55.36198444092534</v>
      </c>
      <c r="N294" s="33">
        <f>'J) Plafonnement effort'!G293+'J) Plafonnement effort'!I293-'K) Plafonnement aide'!I293</f>
        <v>15.635361951983324</v>
      </c>
      <c r="O294" s="125">
        <f t="shared" si="59"/>
        <v>70.997346392908668</v>
      </c>
      <c r="P294" s="47">
        <f t="shared" si="60"/>
        <v>0</v>
      </c>
      <c r="Q294" s="55">
        <f t="shared" si="66"/>
        <v>0</v>
      </c>
      <c r="R294" s="145">
        <f t="shared" si="61"/>
        <v>70.997346392908668</v>
      </c>
      <c r="S294" s="125">
        <f t="shared" si="62"/>
        <v>-2.0026536070913323</v>
      </c>
      <c r="T294" s="144">
        <f t="shared" si="64"/>
        <v>0</v>
      </c>
      <c r="V294" s="12"/>
    </row>
    <row r="295" spans="1:22" x14ac:dyDescent="0.25">
      <c r="A295" s="49">
        <f>'A) Base RI'!A296</f>
        <v>5914</v>
      </c>
      <c r="B295" s="352" t="str">
        <f>'A) Base RI'!B296</f>
        <v>Ependes</v>
      </c>
      <c r="C295" s="404">
        <v>164968.63258815807</v>
      </c>
      <c r="D295" s="404">
        <v>-1458.2672156677872</v>
      </c>
      <c r="E295" s="390">
        <v>0</v>
      </c>
      <c r="F295" s="390">
        <v>0</v>
      </c>
      <c r="G295" s="390">
        <v>0</v>
      </c>
      <c r="H295" s="404">
        <f t="shared" si="63"/>
        <v>163510.36537249028</v>
      </c>
      <c r="I295" s="405">
        <v>9482.8279280120751</v>
      </c>
      <c r="J295" s="356">
        <f>'B) D RI'!U296</f>
        <v>10120.059426352072</v>
      </c>
      <c r="K295" s="62">
        <f t="shared" si="65"/>
        <v>17.242785233873548</v>
      </c>
      <c r="L295" s="33">
        <f>'B) D RI'!S296</f>
        <v>75</v>
      </c>
      <c r="M295" s="33">
        <f t="shared" si="67"/>
        <v>57.757214766126452</v>
      </c>
      <c r="N295" s="33">
        <f>'J) Plafonnement effort'!G294+'J) Plafonnement effort'!I294-'K) Plafonnement aide'!I294</f>
        <v>13.347567197017081</v>
      </c>
      <c r="O295" s="125">
        <f t="shared" si="59"/>
        <v>71.104781963143537</v>
      </c>
      <c r="P295" s="47">
        <f t="shared" si="60"/>
        <v>0</v>
      </c>
      <c r="Q295" s="55">
        <f t="shared" si="66"/>
        <v>0</v>
      </c>
      <c r="R295" s="145">
        <f t="shared" si="61"/>
        <v>71.104781963143537</v>
      </c>
      <c r="S295" s="125">
        <f t="shared" si="62"/>
        <v>-3.8952180368564626</v>
      </c>
      <c r="T295" s="144">
        <f t="shared" si="64"/>
        <v>0</v>
      </c>
      <c r="V295" s="12"/>
    </row>
    <row r="296" spans="1:22" x14ac:dyDescent="0.25">
      <c r="A296" s="49">
        <f>'A) Base RI'!A297</f>
        <v>5919</v>
      </c>
      <c r="B296" s="352" t="str">
        <f>'A) Base RI'!B297</f>
        <v>Mathod</v>
      </c>
      <c r="C296" s="404">
        <v>370939.34709494532</v>
      </c>
      <c r="D296" s="404">
        <v>58898.958925591141</v>
      </c>
      <c r="E296" s="390">
        <v>0</v>
      </c>
      <c r="F296" s="390">
        <v>0</v>
      </c>
      <c r="G296" s="390">
        <v>0</v>
      </c>
      <c r="H296" s="404">
        <f t="shared" si="63"/>
        <v>429838.30602053646</v>
      </c>
      <c r="I296" s="405">
        <v>17110.918111251427</v>
      </c>
      <c r="J296" s="356">
        <f>'B) D RI'!U297</f>
        <v>17424.35283843397</v>
      </c>
      <c r="K296" s="62">
        <f t="shared" si="65"/>
        <v>25.12070382347822</v>
      </c>
      <c r="L296" s="33">
        <f>'B) D RI'!S297</f>
        <v>72</v>
      </c>
      <c r="M296" s="33">
        <f t="shared" si="67"/>
        <v>46.879296176521777</v>
      </c>
      <c r="N296" s="33">
        <f>'J) Plafonnement effort'!G295+'J) Plafonnement effort'!I295-'K) Plafonnement aide'!I295</f>
        <v>15.339366517129875</v>
      </c>
      <c r="O296" s="125">
        <f t="shared" si="59"/>
        <v>62.218662693651652</v>
      </c>
      <c r="P296" s="47">
        <f t="shared" si="60"/>
        <v>0</v>
      </c>
      <c r="Q296" s="55">
        <f t="shared" si="66"/>
        <v>0</v>
      </c>
      <c r="R296" s="145">
        <f t="shared" si="61"/>
        <v>62.218662693651652</v>
      </c>
      <c r="S296" s="125">
        <f t="shared" si="62"/>
        <v>-9.7813373063483482</v>
      </c>
      <c r="T296" s="144">
        <f t="shared" si="64"/>
        <v>0</v>
      </c>
      <c r="V296" s="12"/>
    </row>
    <row r="297" spans="1:22" x14ac:dyDescent="0.25">
      <c r="A297" s="49">
        <f>'A) Base RI'!A298</f>
        <v>5921</v>
      </c>
      <c r="B297" s="352" t="str">
        <f>'A) Base RI'!B298</f>
        <v>Molondin</v>
      </c>
      <c r="C297" s="404">
        <v>91344.410715616978</v>
      </c>
      <c r="D297" s="404">
        <v>-61985.59385360076</v>
      </c>
      <c r="E297" s="390">
        <v>0</v>
      </c>
      <c r="F297" s="390">
        <v>0</v>
      </c>
      <c r="G297" s="390">
        <v>0</v>
      </c>
      <c r="H297" s="404">
        <f t="shared" si="63"/>
        <v>29358.816862016218</v>
      </c>
      <c r="I297" s="405">
        <v>5222.6425850785827</v>
      </c>
      <c r="J297" s="356">
        <f>'B) D RI'!U298</f>
        <v>5647.9358760030909</v>
      </c>
      <c r="K297" s="62">
        <f t="shared" si="65"/>
        <v>5.6214486026472876</v>
      </c>
      <c r="L297" s="33">
        <f>'B) D RI'!S298</f>
        <v>81</v>
      </c>
      <c r="M297" s="33">
        <f t="shared" si="67"/>
        <v>75.378551397352709</v>
      </c>
      <c r="N297" s="33">
        <f>'J) Plafonnement effort'!G296+'J) Plafonnement effort'!I296-'K) Plafonnement aide'!I296</f>
        <v>2.3929278980404645</v>
      </c>
      <c r="O297" s="125">
        <f t="shared" si="59"/>
        <v>77.771479295393178</v>
      </c>
      <c r="P297" s="47">
        <f t="shared" si="60"/>
        <v>0</v>
      </c>
      <c r="Q297" s="55">
        <f t="shared" si="66"/>
        <v>0</v>
      </c>
      <c r="R297" s="145">
        <f t="shared" si="61"/>
        <v>77.771479295393178</v>
      </c>
      <c r="S297" s="125">
        <f t="shared" si="62"/>
        <v>-3.2285207046068223</v>
      </c>
      <c r="T297" s="144">
        <f t="shared" si="64"/>
        <v>0</v>
      </c>
      <c r="V297" s="12"/>
    </row>
    <row r="298" spans="1:22" x14ac:dyDescent="0.25">
      <c r="A298" s="49">
        <f>'A) Base RI'!A299</f>
        <v>5922</v>
      </c>
      <c r="B298" s="352" t="str">
        <f>'A) Base RI'!B299</f>
        <v>Montagny-près-Yverdon</v>
      </c>
      <c r="C298" s="404">
        <v>822751.57118385436</v>
      </c>
      <c r="D298" s="404">
        <v>629589.28431120899</v>
      </c>
      <c r="E298" s="390">
        <v>0</v>
      </c>
      <c r="F298" s="390">
        <v>0</v>
      </c>
      <c r="G298" s="390">
        <v>0</v>
      </c>
      <c r="H298" s="404">
        <f t="shared" si="63"/>
        <v>1452340.8554950634</v>
      </c>
      <c r="I298" s="405">
        <v>35584.669450199006</v>
      </c>
      <c r="J298" s="356">
        <f>'B) D RI'!U299</f>
        <v>35984.463355398897</v>
      </c>
      <c r="K298" s="62">
        <f t="shared" si="65"/>
        <v>40.813667175625291</v>
      </c>
      <c r="L298" s="33">
        <f>'B) D RI'!S299</f>
        <v>65</v>
      </c>
      <c r="M298" s="33">
        <f t="shared" si="67"/>
        <v>24.186332824374709</v>
      </c>
      <c r="N298" s="33">
        <f>'J) Plafonnement effort'!G297+'J) Plafonnement effort'!I297-'K) Plafonnement aide'!I297</f>
        <v>31.810201044162923</v>
      </c>
      <c r="O298" s="125">
        <f t="shared" si="59"/>
        <v>55.996533868537632</v>
      </c>
      <c r="P298" s="47">
        <f t="shared" si="60"/>
        <v>0</v>
      </c>
      <c r="Q298" s="55">
        <f t="shared" si="66"/>
        <v>0</v>
      </c>
      <c r="R298" s="145">
        <f t="shared" si="61"/>
        <v>55.996533868537632</v>
      </c>
      <c r="S298" s="125">
        <f t="shared" si="62"/>
        <v>-9.0034661314623676</v>
      </c>
      <c r="T298" s="144">
        <f t="shared" si="64"/>
        <v>0</v>
      </c>
      <c r="V298" s="12"/>
    </row>
    <row r="299" spans="1:22" x14ac:dyDescent="0.25">
      <c r="A299" s="49">
        <f>'A) Base RI'!A300</f>
        <v>5923</v>
      </c>
      <c r="B299" s="352" t="str">
        <f>'A) Base RI'!B300</f>
        <v>Oppens</v>
      </c>
      <c r="C299" s="404">
        <v>96323.688759003082</v>
      </c>
      <c r="D299" s="404">
        <v>-13910.018416776322</v>
      </c>
      <c r="E299" s="390">
        <v>0</v>
      </c>
      <c r="F299" s="390">
        <v>0</v>
      </c>
      <c r="G299" s="390">
        <v>0</v>
      </c>
      <c r="H299" s="404">
        <f t="shared" si="63"/>
        <v>82413.67034222676</v>
      </c>
      <c r="I299" s="405">
        <v>5170.8107520197709</v>
      </c>
      <c r="J299" s="356">
        <f>'B) D RI'!U300</f>
        <v>5389.7298551743424</v>
      </c>
      <c r="K299" s="62">
        <f t="shared" si="65"/>
        <v>15.938249202029903</v>
      </c>
      <c r="L299" s="33">
        <f>'B) D RI'!S300</f>
        <v>81</v>
      </c>
      <c r="M299" s="33">
        <f t="shared" si="67"/>
        <v>65.061750797970092</v>
      </c>
      <c r="N299" s="33">
        <f>'J) Plafonnement effort'!G298+'J) Plafonnement effort'!I298-'K) Plafonnement aide'!I298</f>
        <v>8.6412238250828111</v>
      </c>
      <c r="O299" s="125">
        <f t="shared" si="59"/>
        <v>73.70297462305291</v>
      </c>
      <c r="P299" s="47">
        <f t="shared" si="60"/>
        <v>0</v>
      </c>
      <c r="Q299" s="55">
        <f t="shared" si="66"/>
        <v>0</v>
      </c>
      <c r="R299" s="145">
        <f t="shared" si="61"/>
        <v>73.70297462305291</v>
      </c>
      <c r="S299" s="125">
        <f t="shared" si="62"/>
        <v>-7.2970253769470901</v>
      </c>
      <c r="T299" s="144">
        <f t="shared" si="64"/>
        <v>0</v>
      </c>
      <c r="V299" s="12"/>
    </row>
    <row r="300" spans="1:22" x14ac:dyDescent="0.25">
      <c r="A300" s="49">
        <f>'A) Base RI'!A301</f>
        <v>5924</v>
      </c>
      <c r="B300" s="352" t="str">
        <f>'A) Base RI'!B301</f>
        <v>Orges</v>
      </c>
      <c r="C300" s="404">
        <v>180141.08211318852</v>
      </c>
      <c r="D300" s="404">
        <v>66648.819753432675</v>
      </c>
      <c r="E300" s="390">
        <v>0</v>
      </c>
      <c r="F300" s="390">
        <v>0</v>
      </c>
      <c r="G300" s="390">
        <v>0</v>
      </c>
      <c r="H300" s="404">
        <f t="shared" si="63"/>
        <v>246789.90186662119</v>
      </c>
      <c r="I300" s="405">
        <v>10275.510319946678</v>
      </c>
      <c r="J300" s="356">
        <f>'B) D RI'!U301</f>
        <v>11865.812404035813</v>
      </c>
      <c r="K300" s="62">
        <f t="shared" si="65"/>
        <v>24.017289086611697</v>
      </c>
      <c r="L300" s="33">
        <f>'B) D RI'!S301</f>
        <v>74</v>
      </c>
      <c r="M300" s="33">
        <f t="shared" si="67"/>
        <v>49.982710913388303</v>
      </c>
      <c r="N300" s="33">
        <f>'J) Plafonnement effort'!G299+'J) Plafonnement effort'!I299-'K) Plafonnement aide'!I299</f>
        <v>29.286732289428883</v>
      </c>
      <c r="O300" s="125">
        <f t="shared" si="59"/>
        <v>79.269443202817186</v>
      </c>
      <c r="P300" s="47">
        <f t="shared" si="60"/>
        <v>0</v>
      </c>
      <c r="Q300" s="55">
        <f t="shared" si="66"/>
        <v>0</v>
      </c>
      <c r="R300" s="145">
        <f t="shared" si="61"/>
        <v>79.269443202817186</v>
      </c>
      <c r="S300" s="125">
        <f t="shared" si="62"/>
        <v>5.269443202817186</v>
      </c>
      <c r="T300" s="144">
        <f t="shared" si="64"/>
        <v>0</v>
      </c>
      <c r="V300" s="12"/>
    </row>
    <row r="301" spans="1:22" x14ac:dyDescent="0.25">
      <c r="A301" s="49">
        <f>'A) Base RI'!A302</f>
        <v>5925</v>
      </c>
      <c r="B301" s="352" t="str">
        <f>'A) Base RI'!B302</f>
        <v>Orzens</v>
      </c>
      <c r="C301" s="404">
        <v>110894.60129718194</v>
      </c>
      <c r="D301" s="404">
        <v>8429.6852933313348</v>
      </c>
      <c r="E301" s="390">
        <v>0</v>
      </c>
      <c r="F301" s="390">
        <v>0</v>
      </c>
      <c r="G301" s="390">
        <v>0</v>
      </c>
      <c r="H301" s="404">
        <f t="shared" si="63"/>
        <v>119324.28659051328</v>
      </c>
      <c r="I301" s="405">
        <v>5564.160782501971</v>
      </c>
      <c r="J301" s="356">
        <f>'B) D RI'!U302</f>
        <v>5342.7421425482316</v>
      </c>
      <c r="K301" s="62">
        <f t="shared" si="65"/>
        <v>21.445154310738324</v>
      </c>
      <c r="L301" s="33">
        <f>'B) D RI'!S302</f>
        <v>79</v>
      </c>
      <c r="M301" s="33">
        <f t="shared" si="67"/>
        <v>57.554845689261676</v>
      </c>
      <c r="N301" s="33">
        <f>'J) Plafonnement effort'!G300+'J) Plafonnement effort'!I300-'K) Plafonnement aide'!I300</f>
        <v>20.62733263881999</v>
      </c>
      <c r="O301" s="125">
        <f t="shared" si="59"/>
        <v>78.182178328081662</v>
      </c>
      <c r="P301" s="47">
        <f t="shared" si="60"/>
        <v>0</v>
      </c>
      <c r="Q301" s="55">
        <f t="shared" si="66"/>
        <v>0</v>
      </c>
      <c r="R301" s="145">
        <f t="shared" si="61"/>
        <v>78.182178328081662</v>
      </c>
      <c r="S301" s="125">
        <f t="shared" si="62"/>
        <v>-0.81782167191833821</v>
      </c>
      <c r="T301" s="144">
        <f t="shared" si="64"/>
        <v>0</v>
      </c>
      <c r="V301" s="12"/>
    </row>
    <row r="302" spans="1:22" x14ac:dyDescent="0.25">
      <c r="A302" s="49">
        <f>'A) Base RI'!A303</f>
        <v>5926</v>
      </c>
      <c r="B302" s="352" t="str">
        <f>'A) Base RI'!B303</f>
        <v>Pomy</v>
      </c>
      <c r="C302" s="404">
        <v>437972.14875161223</v>
      </c>
      <c r="D302" s="404">
        <v>274248.99868024042</v>
      </c>
      <c r="E302" s="390">
        <v>0</v>
      </c>
      <c r="F302" s="390">
        <v>0</v>
      </c>
      <c r="G302" s="390">
        <v>0</v>
      </c>
      <c r="H302" s="404">
        <f t="shared" si="63"/>
        <v>712221.14743185265</v>
      </c>
      <c r="I302" s="405">
        <v>26594.76814227111</v>
      </c>
      <c r="J302" s="356">
        <f>'B) D RI'!U303</f>
        <v>27482.214843455455</v>
      </c>
      <c r="K302" s="62">
        <f t="shared" si="65"/>
        <v>26.780498465779488</v>
      </c>
      <c r="L302" s="33">
        <f>'B) D RI'!S303</f>
        <v>71</v>
      </c>
      <c r="M302" s="33">
        <f t="shared" si="67"/>
        <v>44.219501534220512</v>
      </c>
      <c r="N302" s="33">
        <f>'J) Plafonnement effort'!G301+'J) Plafonnement effort'!I301-'K) Plafonnement aide'!I301</f>
        <v>25.331792182983033</v>
      </c>
      <c r="O302" s="125">
        <f t="shared" si="59"/>
        <v>69.551293717203549</v>
      </c>
      <c r="P302" s="47">
        <f t="shared" si="60"/>
        <v>0</v>
      </c>
      <c r="Q302" s="55">
        <f t="shared" si="66"/>
        <v>0</v>
      </c>
      <c r="R302" s="145">
        <f t="shared" si="61"/>
        <v>69.551293717203549</v>
      </c>
      <c r="S302" s="125">
        <f t="shared" si="62"/>
        <v>-1.4487062827964508</v>
      </c>
      <c r="T302" s="144">
        <f t="shared" si="64"/>
        <v>0</v>
      </c>
      <c r="V302" s="12"/>
    </row>
    <row r="303" spans="1:22" x14ac:dyDescent="0.25">
      <c r="A303" s="49">
        <f>'A) Base RI'!A304</f>
        <v>5928</v>
      </c>
      <c r="B303" s="352" t="str">
        <f>'A) Base RI'!B304</f>
        <v>Rovray</v>
      </c>
      <c r="C303" s="404">
        <v>80977.979965083839</v>
      </c>
      <c r="D303" s="404">
        <v>-13765.673386372277</v>
      </c>
      <c r="E303" s="390">
        <v>0</v>
      </c>
      <c r="F303" s="390">
        <v>0</v>
      </c>
      <c r="G303" s="390">
        <v>0</v>
      </c>
      <c r="H303" s="404">
        <f t="shared" si="63"/>
        <v>67212.306578711563</v>
      </c>
      <c r="I303" s="405">
        <v>4332.6487869809371</v>
      </c>
      <c r="J303" s="356">
        <f>'B) D RI'!U304</f>
        <v>6003.0944827326612</v>
      </c>
      <c r="K303" s="62">
        <f t="shared" si="65"/>
        <v>15.512982907979078</v>
      </c>
      <c r="L303" s="33">
        <f>'B) D RI'!S304</f>
        <v>73</v>
      </c>
      <c r="M303" s="33">
        <f t="shared" si="67"/>
        <v>57.48701709202092</v>
      </c>
      <c r="N303" s="33">
        <f>'J) Plafonnement effort'!G302+'J) Plafonnement effort'!I302-'K) Plafonnement aide'!I302</f>
        <v>26.716886882290396</v>
      </c>
      <c r="O303" s="125">
        <f t="shared" si="59"/>
        <v>84.203903974311316</v>
      </c>
      <c r="P303" s="47">
        <f t="shared" si="60"/>
        <v>0</v>
      </c>
      <c r="Q303" s="55">
        <f t="shared" si="66"/>
        <v>0</v>
      </c>
      <c r="R303" s="145">
        <f t="shared" si="61"/>
        <v>84.203903974311316</v>
      </c>
      <c r="S303" s="125">
        <f t="shared" si="62"/>
        <v>11.203903974311316</v>
      </c>
      <c r="T303" s="144">
        <f t="shared" si="64"/>
        <v>0</v>
      </c>
      <c r="V303" s="12"/>
    </row>
    <row r="304" spans="1:22" x14ac:dyDescent="0.25">
      <c r="A304" s="49">
        <f>'A) Base RI'!A305</f>
        <v>5929</v>
      </c>
      <c r="B304" s="352" t="str">
        <f>'A) Base RI'!B305</f>
        <v>Suchy</v>
      </c>
      <c r="C304" s="404">
        <v>312578.56123780238</v>
      </c>
      <c r="D304" s="404">
        <v>82987.748591008421</v>
      </c>
      <c r="E304" s="390">
        <v>0</v>
      </c>
      <c r="F304" s="390">
        <v>0</v>
      </c>
      <c r="G304" s="390">
        <v>0</v>
      </c>
      <c r="H304" s="404">
        <f t="shared" si="63"/>
        <v>395566.3098288108</v>
      </c>
      <c r="I304" s="405">
        <v>17123.573212033476</v>
      </c>
      <c r="J304" s="356">
        <f>'B) D RI'!U305</f>
        <v>17215.501466609803</v>
      </c>
      <c r="K304" s="62">
        <f t="shared" si="65"/>
        <v>23.100687276580175</v>
      </c>
      <c r="L304" s="33">
        <f>'B) D RI'!S305</f>
        <v>70</v>
      </c>
      <c r="M304" s="33">
        <f t="shared" si="67"/>
        <v>46.899312723419825</v>
      </c>
      <c r="N304" s="33">
        <f>'J) Plafonnement effort'!G303+'J) Plafonnement effort'!I303-'K) Plafonnement aide'!I303</f>
        <v>20.920702650955729</v>
      </c>
      <c r="O304" s="125">
        <f t="shared" si="59"/>
        <v>67.820015374375558</v>
      </c>
      <c r="P304" s="47">
        <f t="shared" si="60"/>
        <v>0</v>
      </c>
      <c r="Q304" s="55">
        <f t="shared" si="66"/>
        <v>0</v>
      </c>
      <c r="R304" s="145">
        <f t="shared" si="61"/>
        <v>67.820015374375558</v>
      </c>
      <c r="S304" s="125">
        <f t="shared" si="62"/>
        <v>-2.1799846256244422</v>
      </c>
      <c r="T304" s="144">
        <f t="shared" si="64"/>
        <v>0</v>
      </c>
      <c r="V304" s="12"/>
    </row>
    <row r="305" spans="1:22" x14ac:dyDescent="0.25">
      <c r="A305" s="49">
        <f>'A) Base RI'!A306</f>
        <v>5930</v>
      </c>
      <c r="B305" s="352" t="str">
        <f>'A) Base RI'!B306</f>
        <v>Suscévaz</v>
      </c>
      <c r="C305" s="404">
        <v>120685.61109804217</v>
      </c>
      <c r="D305" s="404">
        <v>15627.355289139741</v>
      </c>
      <c r="E305" s="390">
        <v>0</v>
      </c>
      <c r="F305" s="390">
        <v>0</v>
      </c>
      <c r="G305" s="390">
        <v>0</v>
      </c>
      <c r="H305" s="404">
        <f t="shared" si="63"/>
        <v>136312.96638718189</v>
      </c>
      <c r="I305" s="405">
        <v>5845.0713540916349</v>
      </c>
      <c r="J305" s="356">
        <f>'B) D RI'!U306</f>
        <v>5858.9969932954782</v>
      </c>
      <c r="K305" s="62">
        <f t="shared" si="65"/>
        <v>23.321009809702467</v>
      </c>
      <c r="L305" s="33">
        <f>'B) D RI'!S306</f>
        <v>72</v>
      </c>
      <c r="M305" s="33">
        <f t="shared" si="67"/>
        <v>48.678990190297533</v>
      </c>
      <c r="N305" s="33">
        <f>'J) Plafonnement effort'!G304+'J) Plafonnement effort'!I304-'K) Plafonnement aide'!I304</f>
        <v>10.921669367715182</v>
      </c>
      <c r="O305" s="125">
        <f t="shared" si="59"/>
        <v>59.600659558012715</v>
      </c>
      <c r="P305" s="47">
        <f t="shared" si="60"/>
        <v>0</v>
      </c>
      <c r="Q305" s="55">
        <f t="shared" si="66"/>
        <v>0</v>
      </c>
      <c r="R305" s="145">
        <f t="shared" si="61"/>
        <v>59.600659558012715</v>
      </c>
      <c r="S305" s="125">
        <f t="shared" si="62"/>
        <v>-12.399340441987285</v>
      </c>
      <c r="T305" s="144">
        <f t="shared" si="64"/>
        <v>0</v>
      </c>
      <c r="V305" s="12"/>
    </row>
    <row r="306" spans="1:22" x14ac:dyDescent="0.25">
      <c r="A306" s="49">
        <f>'A) Base RI'!A307</f>
        <v>5931</v>
      </c>
      <c r="B306" s="352" t="str">
        <f>'A) Base RI'!B307</f>
        <v>Treycovagnes</v>
      </c>
      <c r="C306" s="404">
        <v>234354.54187592285</v>
      </c>
      <c r="D306" s="404">
        <v>12102.102071515721</v>
      </c>
      <c r="E306" s="390">
        <v>0</v>
      </c>
      <c r="F306" s="390">
        <v>0</v>
      </c>
      <c r="G306" s="390">
        <v>0</v>
      </c>
      <c r="H306" s="404">
        <f t="shared" si="63"/>
        <v>246456.64394743857</v>
      </c>
      <c r="I306" s="405">
        <v>12973.113986974873</v>
      </c>
      <c r="J306" s="356">
        <f>'B) D RI'!U307</f>
        <v>12172.811234031555</v>
      </c>
      <c r="K306" s="62">
        <f t="shared" si="65"/>
        <v>18.997493138107266</v>
      </c>
      <c r="L306" s="33">
        <f>'B) D RI'!S307</f>
        <v>75</v>
      </c>
      <c r="M306" s="33">
        <f t="shared" si="67"/>
        <v>56.002506861892734</v>
      </c>
      <c r="N306" s="33">
        <f>'J) Plafonnement effort'!G305+'J) Plafonnement effort'!I305-'K) Plafonnement aide'!I305</f>
        <v>12.153727854486265</v>
      </c>
      <c r="O306" s="125">
        <f t="shared" si="59"/>
        <v>68.156234716379004</v>
      </c>
      <c r="P306" s="47">
        <f t="shared" si="60"/>
        <v>0</v>
      </c>
      <c r="Q306" s="55">
        <f t="shared" si="66"/>
        <v>0</v>
      </c>
      <c r="R306" s="145">
        <f t="shared" si="61"/>
        <v>68.156234716379004</v>
      </c>
      <c r="S306" s="125">
        <f t="shared" si="62"/>
        <v>-6.8437652836209963</v>
      </c>
      <c r="T306" s="144">
        <f t="shared" si="64"/>
        <v>0</v>
      </c>
      <c r="V306" s="12"/>
    </row>
    <row r="307" spans="1:22" x14ac:dyDescent="0.25">
      <c r="A307" s="49">
        <f>'A) Base RI'!A308</f>
        <v>5932</v>
      </c>
      <c r="B307" s="352" t="str">
        <f>'A) Base RI'!B308</f>
        <v>Ursins</v>
      </c>
      <c r="C307" s="404">
        <v>126635.73028616305</v>
      </c>
      <c r="D307" s="404">
        <v>21461.184673452226</v>
      </c>
      <c r="E307" s="390">
        <v>0</v>
      </c>
      <c r="F307" s="390">
        <v>0</v>
      </c>
      <c r="G307" s="390">
        <v>0</v>
      </c>
      <c r="H307" s="404">
        <f t="shared" si="63"/>
        <v>148096.91495961527</v>
      </c>
      <c r="I307" s="405">
        <v>6686.217062317166</v>
      </c>
      <c r="J307" s="356">
        <f>'B) D RI'!U308</f>
        <v>8276.7755150217381</v>
      </c>
      <c r="K307" s="62">
        <f t="shared" si="65"/>
        <v>22.149582279384003</v>
      </c>
      <c r="L307" s="33">
        <f>'B) D RI'!S308</f>
        <v>77</v>
      </c>
      <c r="M307" s="33">
        <f t="shared" si="67"/>
        <v>54.850417720615994</v>
      </c>
      <c r="N307" s="33">
        <f>'J) Plafonnement effort'!G306+'J) Plafonnement effort'!I306-'K) Plafonnement aide'!I306</f>
        <v>27.190411519769317</v>
      </c>
      <c r="O307" s="125">
        <f t="shared" si="59"/>
        <v>82.040829240385307</v>
      </c>
      <c r="P307" s="47">
        <f t="shared" si="60"/>
        <v>0</v>
      </c>
      <c r="Q307" s="55">
        <f t="shared" si="66"/>
        <v>0</v>
      </c>
      <c r="R307" s="145">
        <f t="shared" si="61"/>
        <v>82.040829240385307</v>
      </c>
      <c r="S307" s="125">
        <f t="shared" si="62"/>
        <v>5.0408292403853068</v>
      </c>
      <c r="T307" s="144">
        <f t="shared" si="64"/>
        <v>0</v>
      </c>
      <c r="V307" s="12"/>
    </row>
    <row r="308" spans="1:22" x14ac:dyDescent="0.25">
      <c r="A308" s="49">
        <f>'A) Base RI'!A309</f>
        <v>5933</v>
      </c>
      <c r="B308" s="352" t="str">
        <f>'A) Base RI'!B309</f>
        <v>Valeyres-sous-Montagny</v>
      </c>
      <c r="C308" s="404">
        <v>395467.52983210795</v>
      </c>
      <c r="D308" s="404">
        <v>182938.31665762479</v>
      </c>
      <c r="E308" s="390">
        <v>0</v>
      </c>
      <c r="F308" s="390">
        <v>0</v>
      </c>
      <c r="G308" s="390">
        <v>0</v>
      </c>
      <c r="H308" s="404">
        <f t="shared" si="63"/>
        <v>578405.84648973274</v>
      </c>
      <c r="I308" s="405">
        <v>22631.763146204292</v>
      </c>
      <c r="J308" s="356">
        <f>'B) D RI'!U309</f>
        <v>22088.929559782136</v>
      </c>
      <c r="K308" s="62">
        <f t="shared" si="65"/>
        <v>25.557259624588315</v>
      </c>
      <c r="L308" s="33">
        <f>'B) D RI'!S309</f>
        <v>72</v>
      </c>
      <c r="M308" s="33">
        <f t="shared" si="67"/>
        <v>46.442740375411688</v>
      </c>
      <c r="N308" s="33">
        <f>'J) Plafonnement effort'!G307+'J) Plafonnement effort'!I307-'K) Plafonnement aide'!I307</f>
        <v>19.179657985619592</v>
      </c>
      <c r="O308" s="125">
        <f t="shared" si="59"/>
        <v>65.622398361031287</v>
      </c>
      <c r="P308" s="47">
        <f t="shared" si="60"/>
        <v>0</v>
      </c>
      <c r="Q308" s="55">
        <f t="shared" si="66"/>
        <v>0</v>
      </c>
      <c r="R308" s="145">
        <f t="shared" si="61"/>
        <v>65.622398361031287</v>
      </c>
      <c r="S308" s="125">
        <f t="shared" si="62"/>
        <v>-6.3776016389687129</v>
      </c>
      <c r="T308" s="144">
        <f t="shared" si="64"/>
        <v>0</v>
      </c>
      <c r="V308" s="12"/>
    </row>
    <row r="309" spans="1:22" x14ac:dyDescent="0.25">
      <c r="A309" s="49">
        <f>'A) Base RI'!A310</f>
        <v>5934</v>
      </c>
      <c r="B309" s="352" t="str">
        <f>'A) Base RI'!B310</f>
        <v>Valeyres-sous-Ursins</v>
      </c>
      <c r="C309" s="404">
        <v>119117.5354314978</v>
      </c>
      <c r="D309" s="404">
        <v>57589.455544400829</v>
      </c>
      <c r="E309" s="390">
        <v>0</v>
      </c>
      <c r="F309" s="390">
        <v>0</v>
      </c>
      <c r="G309" s="390">
        <v>0</v>
      </c>
      <c r="H309" s="404">
        <f t="shared" si="63"/>
        <v>176706.99097589863</v>
      </c>
      <c r="I309" s="405">
        <v>7641.8509852223033</v>
      </c>
      <c r="J309" s="356">
        <f>'B) D RI'!U310</f>
        <v>7547.3165822784813</v>
      </c>
      <c r="K309" s="62">
        <f t="shared" si="65"/>
        <v>23.123585021169866</v>
      </c>
      <c r="L309" s="33">
        <f>'B) D RI'!S310</f>
        <v>79</v>
      </c>
      <c r="M309" s="33">
        <f t="shared" si="67"/>
        <v>55.876414978830134</v>
      </c>
      <c r="N309" s="33">
        <f>'J) Plafonnement effort'!G308+'J) Plafonnement effort'!I308-'K) Plafonnement aide'!I308</f>
        <v>4.9093011546801044</v>
      </c>
      <c r="O309" s="125">
        <f t="shared" si="59"/>
        <v>60.785716133510235</v>
      </c>
      <c r="P309" s="47">
        <f t="shared" si="60"/>
        <v>0</v>
      </c>
      <c r="Q309" s="55">
        <f t="shared" si="66"/>
        <v>0</v>
      </c>
      <c r="R309" s="145">
        <f t="shared" si="61"/>
        <v>60.785716133510235</v>
      </c>
      <c r="S309" s="125">
        <f t="shared" si="62"/>
        <v>-18.214283866489765</v>
      </c>
      <c r="T309" s="144">
        <f t="shared" si="64"/>
        <v>0</v>
      </c>
      <c r="V309" s="12"/>
    </row>
    <row r="310" spans="1:22" x14ac:dyDescent="0.25">
      <c r="A310" s="49">
        <f>'A) Base RI'!A311</f>
        <v>5935</v>
      </c>
      <c r="B310" s="352" t="str">
        <f>'A) Base RI'!B311</f>
        <v>Villars-Epeney</v>
      </c>
      <c r="C310" s="404">
        <v>107445.69153390372</v>
      </c>
      <c r="D310" s="404">
        <v>100919.84632526938</v>
      </c>
      <c r="E310" s="390">
        <v>0</v>
      </c>
      <c r="F310" s="390">
        <v>0</v>
      </c>
      <c r="G310" s="390">
        <v>0</v>
      </c>
      <c r="H310" s="404">
        <f t="shared" si="63"/>
        <v>208365.53785917308</v>
      </c>
      <c r="I310" s="405">
        <v>5591.3819786059366</v>
      </c>
      <c r="J310" s="356">
        <f>'B) D RI'!U311</f>
        <v>4852.8368333333328</v>
      </c>
      <c r="K310" s="62">
        <f t="shared" si="65"/>
        <v>37.265480816090395</v>
      </c>
      <c r="L310" s="33">
        <f>'B) D RI'!S311</f>
        <v>60</v>
      </c>
      <c r="M310" s="33">
        <f t="shared" si="67"/>
        <v>22.734519183909605</v>
      </c>
      <c r="N310" s="33">
        <f>'J) Plafonnement effort'!G309+'J) Plafonnement effort'!I309-'K) Plafonnement aide'!I309</f>
        <v>32.421988390153587</v>
      </c>
      <c r="O310" s="125">
        <f t="shared" si="59"/>
        <v>55.156507574063191</v>
      </c>
      <c r="P310" s="47">
        <f t="shared" si="60"/>
        <v>0</v>
      </c>
      <c r="Q310" s="55">
        <f t="shared" si="66"/>
        <v>0</v>
      </c>
      <c r="R310" s="145">
        <f t="shared" si="61"/>
        <v>55.156507574063191</v>
      </c>
      <c r="S310" s="125">
        <f t="shared" si="62"/>
        <v>-4.8434924259368088</v>
      </c>
      <c r="T310" s="144">
        <f t="shared" si="64"/>
        <v>0</v>
      </c>
      <c r="V310" s="12"/>
    </row>
    <row r="311" spans="1:22" x14ac:dyDescent="0.25">
      <c r="A311" s="49">
        <f>'A) Base RI'!A312</f>
        <v>5937</v>
      </c>
      <c r="B311" s="352" t="str">
        <f>'A) Base RI'!B312</f>
        <v>Vugelles-La Mothe</v>
      </c>
      <c r="C311" s="404">
        <v>46287.360731257293</v>
      </c>
      <c r="D311" s="404">
        <v>-36222.190834389308</v>
      </c>
      <c r="E311" s="390">
        <v>0</v>
      </c>
      <c r="F311" s="390">
        <v>0</v>
      </c>
      <c r="G311" s="390">
        <v>0</v>
      </c>
      <c r="H311" s="404">
        <f t="shared" si="63"/>
        <v>10065.169896867985</v>
      </c>
      <c r="I311" s="405">
        <v>2402.7405651963004</v>
      </c>
      <c r="J311" s="356">
        <f>'B) D RI'!U312</f>
        <v>3013.5893429156713</v>
      </c>
      <c r="K311" s="62">
        <f t="shared" si="65"/>
        <v>4.1890373195766459</v>
      </c>
      <c r="L311" s="33">
        <f>'B) D RI'!S312</f>
        <v>70</v>
      </c>
      <c r="M311" s="33">
        <f t="shared" si="67"/>
        <v>65.810962680423359</v>
      </c>
      <c r="N311" s="33">
        <f>'J) Plafonnement effort'!G310+'J) Plafonnement effort'!I310-'K) Plafonnement aide'!I310</f>
        <v>4.8180299649682929</v>
      </c>
      <c r="O311" s="125">
        <f t="shared" si="59"/>
        <v>70.628992645391648</v>
      </c>
      <c r="P311" s="47">
        <f t="shared" si="60"/>
        <v>0</v>
      </c>
      <c r="Q311" s="55">
        <f t="shared" si="66"/>
        <v>0</v>
      </c>
      <c r="R311" s="145">
        <f t="shared" si="61"/>
        <v>70.628992645391648</v>
      </c>
      <c r="S311" s="125">
        <f t="shared" si="62"/>
        <v>0.6289926453916479</v>
      </c>
      <c r="T311" s="144">
        <f t="shared" si="64"/>
        <v>0</v>
      </c>
      <c r="V311" s="12"/>
    </row>
    <row r="312" spans="1:22" x14ac:dyDescent="0.25">
      <c r="A312" s="49">
        <f>'A) Base RI'!A313</f>
        <v>5938</v>
      </c>
      <c r="B312" s="352" t="str">
        <f>'A) Base RI'!B313</f>
        <v>Yverdon-les-Bains</v>
      </c>
      <c r="C312" s="404">
        <v>15122275.306108832</v>
      </c>
      <c r="D312" s="404">
        <v>-24619828.969910733</v>
      </c>
      <c r="E312" s="390">
        <v>3506790.8156932327</v>
      </c>
      <c r="F312" s="390">
        <v>0</v>
      </c>
      <c r="G312" s="390">
        <v>0</v>
      </c>
      <c r="H312" s="404">
        <f t="shared" si="63"/>
        <v>-5990762.8481086679</v>
      </c>
      <c r="I312" s="405">
        <v>748845.35601358349</v>
      </c>
      <c r="J312" s="356">
        <f>'B) D RI'!U313</f>
        <v>781659.36856013921</v>
      </c>
      <c r="K312" s="62">
        <f t="shared" si="65"/>
        <v>-8</v>
      </c>
      <c r="L312" s="33">
        <f>'B) D RI'!S313</f>
        <v>76.5</v>
      </c>
      <c r="M312" s="33">
        <f t="shared" si="67"/>
        <v>84.5</v>
      </c>
      <c r="N312" s="33">
        <f>'J) Plafonnement effort'!G311+'J) Plafonnement effort'!I311-'K) Plafonnement aide'!I311</f>
        <v>-20.459770160268818</v>
      </c>
      <c r="O312" s="125">
        <f t="shared" si="59"/>
        <v>64.040229839731182</v>
      </c>
      <c r="P312" s="47">
        <f t="shared" si="60"/>
        <v>0</v>
      </c>
      <c r="Q312" s="55">
        <f t="shared" si="66"/>
        <v>0</v>
      </c>
      <c r="R312" s="145">
        <f t="shared" si="61"/>
        <v>64.040229839731182</v>
      </c>
      <c r="S312" s="125">
        <f t="shared" si="62"/>
        <v>-12.459770160268818</v>
      </c>
      <c r="T312" s="144">
        <f t="shared" si="64"/>
        <v>0</v>
      </c>
      <c r="V312" s="12"/>
    </row>
    <row r="313" spans="1:22" x14ac:dyDescent="0.25">
      <c r="A313" s="50">
        <f>'A) Base RI'!A314</f>
        <v>5939</v>
      </c>
      <c r="B313" s="353" t="str">
        <f>'A) Base RI'!B314</f>
        <v>Yvonand</v>
      </c>
      <c r="C313" s="404">
        <v>1767460.5572357425</v>
      </c>
      <c r="D313" s="404">
        <v>-475781.31139298854</v>
      </c>
      <c r="E313" s="390">
        <v>0</v>
      </c>
      <c r="F313" s="390">
        <v>0</v>
      </c>
      <c r="G313" s="390">
        <v>0</v>
      </c>
      <c r="H313" s="404">
        <f t="shared" si="63"/>
        <v>1291679.2458427539</v>
      </c>
      <c r="I313" s="405">
        <v>91997.775281850787</v>
      </c>
      <c r="J313" s="357">
        <f>'B) D RI'!U314</f>
        <v>95019.586686348848</v>
      </c>
      <c r="K313" s="62">
        <f t="shared" si="65"/>
        <v>14.04033132198551</v>
      </c>
      <c r="L313" s="88">
        <f>'B) D RI'!S314</f>
        <v>73</v>
      </c>
      <c r="M313" s="88">
        <f t="shared" si="67"/>
        <v>58.959668678014488</v>
      </c>
      <c r="N313" s="88">
        <f>'J) Plafonnement effort'!G312+'J) Plafonnement effort'!I312-'K) Plafonnement aide'!I312</f>
        <v>13.429043997944959</v>
      </c>
      <c r="O313" s="127">
        <f t="shared" si="59"/>
        <v>72.388712675959454</v>
      </c>
      <c r="P313" s="47">
        <f t="shared" si="60"/>
        <v>0</v>
      </c>
      <c r="Q313" s="55">
        <f t="shared" si="66"/>
        <v>0</v>
      </c>
      <c r="R313" s="146">
        <f t="shared" si="61"/>
        <v>72.388712675959454</v>
      </c>
      <c r="S313" s="127">
        <f t="shared" si="62"/>
        <v>-0.61128732404054631</v>
      </c>
      <c r="T313" s="144">
        <f t="shared" si="64"/>
        <v>0</v>
      </c>
      <c r="V313" s="12"/>
    </row>
    <row r="314" spans="1:22" x14ac:dyDescent="0.25">
      <c r="A314" s="30"/>
      <c r="B314" s="118">
        <f>COUNTA(B6:B313)</f>
        <v>308</v>
      </c>
      <c r="C314" s="38">
        <f>SUM(C6:C313)</f>
        <v>824863599.99999928</v>
      </c>
      <c r="D314" s="300">
        <f t="shared" ref="D314:J314" si="68">SUM(D6:D313)</f>
        <v>171276891.62745216</v>
      </c>
      <c r="E314" s="300">
        <f t="shared" si="68"/>
        <v>4100045.1342997462</v>
      </c>
      <c r="F314" s="300">
        <f t="shared" si="68"/>
        <v>-13491767.483091028</v>
      </c>
      <c r="G314" s="300">
        <f t="shared" si="68"/>
        <v>-31254.357561127046</v>
      </c>
      <c r="H314" s="149">
        <f t="shared" si="68"/>
        <v>986717514.92109942</v>
      </c>
      <c r="I314" s="403">
        <f>SUM(I6:I313)</f>
        <v>35867504.311676666</v>
      </c>
      <c r="J314" s="96">
        <f t="shared" si="68"/>
        <v>37080520.101833388</v>
      </c>
      <c r="K314" s="59">
        <f>H314/I314</f>
        <v>27.510068900998878</v>
      </c>
      <c r="L314" s="19">
        <f>'B) D RI'!S315</f>
        <v>68.383409631227281</v>
      </c>
      <c r="M314" s="19"/>
      <c r="N314" s="19">
        <f>SUM(N6:N313)</f>
        <v>6701.1897773684768</v>
      </c>
      <c r="O314" s="97"/>
      <c r="P314" s="114"/>
      <c r="Q314" s="37">
        <f>SUM(Q6:Q313)</f>
        <v>-6354.4728311884946</v>
      </c>
      <c r="R314" s="117"/>
      <c r="S314" s="97"/>
      <c r="T314" s="148"/>
    </row>
    <row r="315" spans="1:22" x14ac:dyDescent="0.25">
      <c r="T315" s="22"/>
    </row>
    <row r="316" spans="1:22" s="6" customFormat="1" x14ac:dyDescent="0.25">
      <c r="K316" s="279"/>
      <c r="N316" s="15"/>
    </row>
    <row r="319" spans="1:22" s="6" customFormat="1" x14ac:dyDescent="0.25">
      <c r="K319" s="279"/>
      <c r="M319" s="279"/>
      <c r="N319" s="15"/>
      <c r="O319" s="279"/>
      <c r="P319" s="279"/>
    </row>
  </sheetData>
  <mergeCells count="17">
    <mergeCell ref="C3:I3"/>
    <mergeCell ref="C4:C5"/>
    <mergeCell ref="B4:B5"/>
    <mergeCell ref="A4:A5"/>
    <mergeCell ref="K4:K5"/>
    <mergeCell ref="E4:E5"/>
    <mergeCell ref="D4:D5"/>
    <mergeCell ref="S4:S5"/>
    <mergeCell ref="R4:R5"/>
    <mergeCell ref="Q4:Q5"/>
    <mergeCell ref="O4:O5"/>
    <mergeCell ref="N4:N5"/>
    <mergeCell ref="M4:M5"/>
    <mergeCell ref="L4:L5"/>
    <mergeCell ref="H4:H5"/>
    <mergeCell ref="G4:G5"/>
    <mergeCell ref="F4:F5"/>
  </mergeCells>
  <phoneticPr fontId="0" type="noConversion"/>
  <printOptions horizontalCentered="1"/>
  <pageMargins left="0" right="0" top="0" bottom="0" header="0.51181102362204722" footer="0.51181102362204722"/>
  <pageSetup paperSize="9" scale="63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>
    <tabColor rgb="FF00B050"/>
    <pageSetUpPr fitToPage="1"/>
  </sheetPr>
  <dimension ref="A1:V316"/>
  <sheetViews>
    <sheetView workbookViewId="0"/>
  </sheetViews>
  <sheetFormatPr baseColWidth="10" defaultColWidth="9.375" defaultRowHeight="15" x14ac:dyDescent="0.25"/>
  <cols>
    <col min="1" max="1" width="8.125" style="213" customWidth="1"/>
    <col min="2" max="2" width="17.875" style="213" bestFit="1" customWidth="1"/>
    <col min="3" max="3" width="9.875" style="213" customWidth="1"/>
    <col min="4" max="4" width="10.5" style="213" customWidth="1"/>
    <col min="5" max="5" width="5.625" style="213" bestFit="1" customWidth="1"/>
    <col min="6" max="6" width="12" style="213" bestFit="1" customWidth="1"/>
    <col min="7" max="7" width="10.875" style="213" bestFit="1" customWidth="1"/>
    <col min="8" max="8" width="12" style="213" bestFit="1" customWidth="1"/>
    <col min="9" max="9" width="13.625" style="213" customWidth="1"/>
    <col min="10" max="10" width="11.375" style="213" bestFit="1" customWidth="1"/>
    <col min="11" max="11" width="11.75" style="213" customWidth="1"/>
    <col min="12" max="12" width="11.375" style="213" bestFit="1" customWidth="1"/>
    <col min="13" max="13" width="9.75" style="213" bestFit="1" customWidth="1"/>
    <col min="14" max="14" width="11.375" style="213" bestFit="1" customWidth="1"/>
    <col min="15" max="15" width="10.75" style="213" bestFit="1" customWidth="1"/>
    <col min="16" max="16" width="13.125" style="215" customWidth="1"/>
    <col min="17" max="17" width="9.375" style="214"/>
    <col min="18" max="18" width="9.875" style="215" customWidth="1"/>
    <col min="19" max="19" width="11.75" style="215" bestFit="1" customWidth="1"/>
    <col min="20" max="22" width="9.375" style="214"/>
    <col min="23" max="249" width="9.375" style="213"/>
    <col min="250" max="250" width="5" style="213" customWidth="1"/>
    <col min="251" max="251" width="17.875" style="213" bestFit="1" customWidth="1"/>
    <col min="252" max="252" width="9.875" style="213" customWidth="1"/>
    <col min="253" max="253" width="8.875" style="213" customWidth="1"/>
    <col min="254" max="254" width="7.375" style="213" bestFit="1" customWidth="1"/>
    <col min="255" max="255" width="10.125" style="213" bestFit="1" customWidth="1"/>
    <col min="256" max="256" width="9.375" style="213"/>
    <col min="257" max="257" width="10.125" style="213" bestFit="1" customWidth="1"/>
    <col min="258" max="258" width="10.75" style="213" customWidth="1"/>
    <col min="259" max="261" width="9.375" style="213"/>
    <col min="262" max="263" width="10.75" style="213" customWidth="1"/>
    <col min="264" max="268" width="9.375" style="213"/>
    <col min="269" max="269" width="1.625" style="213" bestFit="1" customWidth="1"/>
    <col min="270" max="270" width="9.375" style="213"/>
    <col min="271" max="271" width="8.875" style="213" customWidth="1"/>
    <col min="272" max="272" width="13.125" style="213" customWidth="1"/>
    <col min="273" max="273" width="9.375" style="213"/>
    <col min="274" max="274" width="9.875" style="213" customWidth="1"/>
    <col min="275" max="275" width="11.75" style="213" bestFit="1" customWidth="1"/>
    <col min="276" max="505" width="9.375" style="213"/>
    <col min="506" max="506" width="5" style="213" customWidth="1"/>
    <col min="507" max="507" width="17.875" style="213" bestFit="1" customWidth="1"/>
    <col min="508" max="508" width="9.875" style="213" customWidth="1"/>
    <col min="509" max="509" width="8.875" style="213" customWidth="1"/>
    <col min="510" max="510" width="7.375" style="213" bestFit="1" customWidth="1"/>
    <col min="511" max="511" width="10.125" style="213" bestFit="1" customWidth="1"/>
    <col min="512" max="512" width="9.375" style="213"/>
    <col min="513" max="513" width="10.125" style="213" bestFit="1" customWidth="1"/>
    <col min="514" max="514" width="10.75" style="213" customWidth="1"/>
    <col min="515" max="517" width="9.375" style="213"/>
    <col min="518" max="519" width="10.75" style="213" customWidth="1"/>
    <col min="520" max="524" width="9.375" style="213"/>
    <col min="525" max="525" width="1.625" style="213" bestFit="1" customWidth="1"/>
    <col min="526" max="526" width="9.375" style="213"/>
    <col min="527" max="527" width="8.875" style="213" customWidth="1"/>
    <col min="528" max="528" width="13.125" style="213" customWidth="1"/>
    <col min="529" max="529" width="9.375" style="213"/>
    <col min="530" max="530" width="9.875" style="213" customWidth="1"/>
    <col min="531" max="531" width="11.75" style="213" bestFit="1" customWidth="1"/>
    <col min="532" max="761" width="9.375" style="213"/>
    <col min="762" max="762" width="5" style="213" customWidth="1"/>
    <col min="763" max="763" width="17.875" style="213" bestFit="1" customWidth="1"/>
    <col min="764" max="764" width="9.875" style="213" customWidth="1"/>
    <col min="765" max="765" width="8.875" style="213" customWidth="1"/>
    <col min="766" max="766" width="7.375" style="213" bestFit="1" customWidth="1"/>
    <col min="767" max="767" width="10.125" style="213" bestFit="1" customWidth="1"/>
    <col min="768" max="768" width="9.375" style="213"/>
    <col min="769" max="769" width="10.125" style="213" bestFit="1" customWidth="1"/>
    <col min="770" max="770" width="10.75" style="213" customWidth="1"/>
    <col min="771" max="773" width="9.375" style="213"/>
    <col min="774" max="775" width="10.75" style="213" customWidth="1"/>
    <col min="776" max="780" width="9.375" style="213"/>
    <col min="781" max="781" width="1.625" style="213" bestFit="1" customWidth="1"/>
    <col min="782" max="782" width="9.375" style="213"/>
    <col min="783" max="783" width="8.875" style="213" customWidth="1"/>
    <col min="784" max="784" width="13.125" style="213" customWidth="1"/>
    <col min="785" max="785" width="9.375" style="213"/>
    <col min="786" max="786" width="9.875" style="213" customWidth="1"/>
    <col min="787" max="787" width="11.75" style="213" bestFit="1" customWidth="1"/>
    <col min="788" max="1017" width="9.375" style="213"/>
    <col min="1018" max="1018" width="5" style="213" customWidth="1"/>
    <col min="1019" max="1019" width="17.875" style="213" bestFit="1" customWidth="1"/>
    <col min="1020" max="1020" width="9.875" style="213" customWidth="1"/>
    <col min="1021" max="1021" width="8.875" style="213" customWidth="1"/>
    <col min="1022" max="1022" width="7.375" style="213" bestFit="1" customWidth="1"/>
    <col min="1023" max="1023" width="10.125" style="213" bestFit="1" customWidth="1"/>
    <col min="1024" max="1024" width="9.375" style="213"/>
    <col min="1025" max="1025" width="10.125" style="213" bestFit="1" customWidth="1"/>
    <col min="1026" max="1026" width="10.75" style="213" customWidth="1"/>
    <col min="1027" max="1029" width="9.375" style="213"/>
    <col min="1030" max="1031" width="10.75" style="213" customWidth="1"/>
    <col min="1032" max="1036" width="9.375" style="213"/>
    <col min="1037" max="1037" width="1.625" style="213" bestFit="1" customWidth="1"/>
    <col min="1038" max="1038" width="9.375" style="213"/>
    <col min="1039" max="1039" width="8.875" style="213" customWidth="1"/>
    <col min="1040" max="1040" width="13.125" style="213" customWidth="1"/>
    <col min="1041" max="1041" width="9.375" style="213"/>
    <col min="1042" max="1042" width="9.875" style="213" customWidth="1"/>
    <col min="1043" max="1043" width="11.75" style="213" bestFit="1" customWidth="1"/>
    <col min="1044" max="1273" width="9.375" style="213"/>
    <col min="1274" max="1274" width="5" style="213" customWidth="1"/>
    <col min="1275" max="1275" width="17.875" style="213" bestFit="1" customWidth="1"/>
    <col min="1276" max="1276" width="9.875" style="213" customWidth="1"/>
    <col min="1277" max="1277" width="8.875" style="213" customWidth="1"/>
    <col min="1278" max="1278" width="7.375" style="213" bestFit="1" customWidth="1"/>
    <col min="1279" max="1279" width="10.125" style="213" bestFit="1" customWidth="1"/>
    <col min="1280" max="1280" width="9.375" style="213"/>
    <col min="1281" max="1281" width="10.125" style="213" bestFit="1" customWidth="1"/>
    <col min="1282" max="1282" width="10.75" style="213" customWidth="1"/>
    <col min="1283" max="1285" width="9.375" style="213"/>
    <col min="1286" max="1287" width="10.75" style="213" customWidth="1"/>
    <col min="1288" max="1292" width="9.375" style="213"/>
    <col min="1293" max="1293" width="1.625" style="213" bestFit="1" customWidth="1"/>
    <col min="1294" max="1294" width="9.375" style="213"/>
    <col min="1295" max="1295" width="8.875" style="213" customWidth="1"/>
    <col min="1296" max="1296" width="13.125" style="213" customWidth="1"/>
    <col min="1297" max="1297" width="9.375" style="213"/>
    <col min="1298" max="1298" width="9.875" style="213" customWidth="1"/>
    <col min="1299" max="1299" width="11.75" style="213" bestFit="1" customWidth="1"/>
    <col min="1300" max="1529" width="9.375" style="213"/>
    <col min="1530" max="1530" width="5" style="213" customWidth="1"/>
    <col min="1531" max="1531" width="17.875" style="213" bestFit="1" customWidth="1"/>
    <col min="1532" max="1532" width="9.875" style="213" customWidth="1"/>
    <col min="1533" max="1533" width="8.875" style="213" customWidth="1"/>
    <col min="1534" max="1534" width="7.375" style="213" bestFit="1" customWidth="1"/>
    <col min="1535" max="1535" width="10.125" style="213" bestFit="1" customWidth="1"/>
    <col min="1536" max="1536" width="9.375" style="213"/>
    <col min="1537" max="1537" width="10.125" style="213" bestFit="1" customWidth="1"/>
    <col min="1538" max="1538" width="10.75" style="213" customWidth="1"/>
    <col min="1539" max="1541" width="9.375" style="213"/>
    <col min="1542" max="1543" width="10.75" style="213" customWidth="1"/>
    <col min="1544" max="1548" width="9.375" style="213"/>
    <col min="1549" max="1549" width="1.625" style="213" bestFit="1" customWidth="1"/>
    <col min="1550" max="1550" width="9.375" style="213"/>
    <col min="1551" max="1551" width="8.875" style="213" customWidth="1"/>
    <col min="1552" max="1552" width="13.125" style="213" customWidth="1"/>
    <col min="1553" max="1553" width="9.375" style="213"/>
    <col min="1554" max="1554" width="9.875" style="213" customWidth="1"/>
    <col min="1555" max="1555" width="11.75" style="213" bestFit="1" customWidth="1"/>
    <col min="1556" max="1785" width="9.375" style="213"/>
    <col min="1786" max="1786" width="5" style="213" customWidth="1"/>
    <col min="1787" max="1787" width="17.875" style="213" bestFit="1" customWidth="1"/>
    <col min="1788" max="1788" width="9.875" style="213" customWidth="1"/>
    <col min="1789" max="1789" width="8.875" style="213" customWidth="1"/>
    <col min="1790" max="1790" width="7.375" style="213" bestFit="1" customWidth="1"/>
    <col min="1791" max="1791" width="10.125" style="213" bestFit="1" customWidth="1"/>
    <col min="1792" max="1792" width="9.375" style="213"/>
    <col min="1793" max="1793" width="10.125" style="213" bestFit="1" customWidth="1"/>
    <col min="1794" max="1794" width="10.75" style="213" customWidth="1"/>
    <col min="1795" max="1797" width="9.375" style="213"/>
    <col min="1798" max="1799" width="10.75" style="213" customWidth="1"/>
    <col min="1800" max="1804" width="9.375" style="213"/>
    <col min="1805" max="1805" width="1.625" style="213" bestFit="1" customWidth="1"/>
    <col min="1806" max="1806" width="9.375" style="213"/>
    <col min="1807" max="1807" width="8.875" style="213" customWidth="1"/>
    <col min="1808" max="1808" width="13.125" style="213" customWidth="1"/>
    <col min="1809" max="1809" width="9.375" style="213"/>
    <col min="1810" max="1810" width="9.875" style="213" customWidth="1"/>
    <col min="1811" max="1811" width="11.75" style="213" bestFit="1" customWidth="1"/>
    <col min="1812" max="2041" width="9.375" style="213"/>
    <col min="2042" max="2042" width="5" style="213" customWidth="1"/>
    <col min="2043" max="2043" width="17.875" style="213" bestFit="1" customWidth="1"/>
    <col min="2044" max="2044" width="9.875" style="213" customWidth="1"/>
    <col min="2045" max="2045" width="8.875" style="213" customWidth="1"/>
    <col min="2046" max="2046" width="7.375" style="213" bestFit="1" customWidth="1"/>
    <col min="2047" max="2047" width="10.125" style="213" bestFit="1" customWidth="1"/>
    <col min="2048" max="2048" width="9.375" style="213"/>
    <col min="2049" max="2049" width="10.125" style="213" bestFit="1" customWidth="1"/>
    <col min="2050" max="2050" width="10.75" style="213" customWidth="1"/>
    <col min="2051" max="2053" width="9.375" style="213"/>
    <col min="2054" max="2055" width="10.75" style="213" customWidth="1"/>
    <col min="2056" max="2060" width="9.375" style="213"/>
    <col min="2061" max="2061" width="1.625" style="213" bestFit="1" customWidth="1"/>
    <col min="2062" max="2062" width="9.375" style="213"/>
    <col min="2063" max="2063" width="8.875" style="213" customWidth="1"/>
    <col min="2064" max="2064" width="13.125" style="213" customWidth="1"/>
    <col min="2065" max="2065" width="9.375" style="213"/>
    <col min="2066" max="2066" width="9.875" style="213" customWidth="1"/>
    <col min="2067" max="2067" width="11.75" style="213" bestFit="1" customWidth="1"/>
    <col min="2068" max="2297" width="9.375" style="213"/>
    <col min="2298" max="2298" width="5" style="213" customWidth="1"/>
    <col min="2299" max="2299" width="17.875" style="213" bestFit="1" customWidth="1"/>
    <col min="2300" max="2300" width="9.875" style="213" customWidth="1"/>
    <col min="2301" max="2301" width="8.875" style="213" customWidth="1"/>
    <col min="2302" max="2302" width="7.375" style="213" bestFit="1" customWidth="1"/>
    <col min="2303" max="2303" width="10.125" style="213" bestFit="1" customWidth="1"/>
    <col min="2304" max="2304" width="9.375" style="213"/>
    <col min="2305" max="2305" width="10.125" style="213" bestFit="1" customWidth="1"/>
    <col min="2306" max="2306" width="10.75" style="213" customWidth="1"/>
    <col min="2307" max="2309" width="9.375" style="213"/>
    <col min="2310" max="2311" width="10.75" style="213" customWidth="1"/>
    <col min="2312" max="2316" width="9.375" style="213"/>
    <col min="2317" max="2317" width="1.625" style="213" bestFit="1" customWidth="1"/>
    <col min="2318" max="2318" width="9.375" style="213"/>
    <col min="2319" max="2319" width="8.875" style="213" customWidth="1"/>
    <col min="2320" max="2320" width="13.125" style="213" customWidth="1"/>
    <col min="2321" max="2321" width="9.375" style="213"/>
    <col min="2322" max="2322" width="9.875" style="213" customWidth="1"/>
    <col min="2323" max="2323" width="11.75" style="213" bestFit="1" customWidth="1"/>
    <col min="2324" max="2553" width="9.375" style="213"/>
    <col min="2554" max="2554" width="5" style="213" customWidth="1"/>
    <col min="2555" max="2555" width="17.875" style="213" bestFit="1" customWidth="1"/>
    <col min="2556" max="2556" width="9.875" style="213" customWidth="1"/>
    <col min="2557" max="2557" width="8.875" style="213" customWidth="1"/>
    <col min="2558" max="2558" width="7.375" style="213" bestFit="1" customWidth="1"/>
    <col min="2559" max="2559" width="10.125" style="213" bestFit="1" customWidth="1"/>
    <col min="2560" max="2560" width="9.375" style="213"/>
    <col min="2561" max="2561" width="10.125" style="213" bestFit="1" customWidth="1"/>
    <col min="2562" max="2562" width="10.75" style="213" customWidth="1"/>
    <col min="2563" max="2565" width="9.375" style="213"/>
    <col min="2566" max="2567" width="10.75" style="213" customWidth="1"/>
    <col min="2568" max="2572" width="9.375" style="213"/>
    <col min="2573" max="2573" width="1.625" style="213" bestFit="1" customWidth="1"/>
    <col min="2574" max="2574" width="9.375" style="213"/>
    <col min="2575" max="2575" width="8.875" style="213" customWidth="1"/>
    <col min="2576" max="2576" width="13.125" style="213" customWidth="1"/>
    <col min="2577" max="2577" width="9.375" style="213"/>
    <col min="2578" max="2578" width="9.875" style="213" customWidth="1"/>
    <col min="2579" max="2579" width="11.75" style="213" bestFit="1" customWidth="1"/>
    <col min="2580" max="2809" width="9.375" style="213"/>
    <col min="2810" max="2810" width="5" style="213" customWidth="1"/>
    <col min="2811" max="2811" width="17.875" style="213" bestFit="1" customWidth="1"/>
    <col min="2812" max="2812" width="9.875" style="213" customWidth="1"/>
    <col min="2813" max="2813" width="8.875" style="213" customWidth="1"/>
    <col min="2814" max="2814" width="7.375" style="213" bestFit="1" customWidth="1"/>
    <col min="2815" max="2815" width="10.125" style="213" bestFit="1" customWidth="1"/>
    <col min="2816" max="2816" width="9.375" style="213"/>
    <col min="2817" max="2817" width="10.125" style="213" bestFit="1" customWidth="1"/>
    <col min="2818" max="2818" width="10.75" style="213" customWidth="1"/>
    <col min="2819" max="2821" width="9.375" style="213"/>
    <col min="2822" max="2823" width="10.75" style="213" customWidth="1"/>
    <col min="2824" max="2828" width="9.375" style="213"/>
    <col min="2829" max="2829" width="1.625" style="213" bestFit="1" customWidth="1"/>
    <col min="2830" max="2830" width="9.375" style="213"/>
    <col min="2831" max="2831" width="8.875" style="213" customWidth="1"/>
    <col min="2832" max="2832" width="13.125" style="213" customWidth="1"/>
    <col min="2833" max="2833" width="9.375" style="213"/>
    <col min="2834" max="2834" width="9.875" style="213" customWidth="1"/>
    <col min="2835" max="2835" width="11.75" style="213" bestFit="1" customWidth="1"/>
    <col min="2836" max="3065" width="9.375" style="213"/>
    <col min="3066" max="3066" width="5" style="213" customWidth="1"/>
    <col min="3067" max="3067" width="17.875" style="213" bestFit="1" customWidth="1"/>
    <col min="3068" max="3068" width="9.875" style="213" customWidth="1"/>
    <col min="3069" max="3069" width="8.875" style="213" customWidth="1"/>
    <col min="3070" max="3070" width="7.375" style="213" bestFit="1" customWidth="1"/>
    <col min="3071" max="3071" width="10.125" style="213" bestFit="1" customWidth="1"/>
    <col min="3072" max="3072" width="9.375" style="213"/>
    <col min="3073" max="3073" width="10.125" style="213" bestFit="1" customWidth="1"/>
    <col min="3074" max="3074" width="10.75" style="213" customWidth="1"/>
    <col min="3075" max="3077" width="9.375" style="213"/>
    <col min="3078" max="3079" width="10.75" style="213" customWidth="1"/>
    <col min="3080" max="3084" width="9.375" style="213"/>
    <col min="3085" max="3085" width="1.625" style="213" bestFit="1" customWidth="1"/>
    <col min="3086" max="3086" width="9.375" style="213"/>
    <col min="3087" max="3087" width="8.875" style="213" customWidth="1"/>
    <col min="3088" max="3088" width="13.125" style="213" customWidth="1"/>
    <col min="3089" max="3089" width="9.375" style="213"/>
    <col min="3090" max="3090" width="9.875" style="213" customWidth="1"/>
    <col min="3091" max="3091" width="11.75" style="213" bestFit="1" customWidth="1"/>
    <col min="3092" max="3321" width="9.375" style="213"/>
    <col min="3322" max="3322" width="5" style="213" customWidth="1"/>
    <col min="3323" max="3323" width="17.875" style="213" bestFit="1" customWidth="1"/>
    <col min="3324" max="3324" width="9.875" style="213" customWidth="1"/>
    <col min="3325" max="3325" width="8.875" style="213" customWidth="1"/>
    <col min="3326" max="3326" width="7.375" style="213" bestFit="1" customWidth="1"/>
    <col min="3327" max="3327" width="10.125" style="213" bestFit="1" customWidth="1"/>
    <col min="3328" max="3328" width="9.375" style="213"/>
    <col min="3329" max="3329" width="10.125" style="213" bestFit="1" customWidth="1"/>
    <col min="3330" max="3330" width="10.75" style="213" customWidth="1"/>
    <col min="3331" max="3333" width="9.375" style="213"/>
    <col min="3334" max="3335" width="10.75" style="213" customWidth="1"/>
    <col min="3336" max="3340" width="9.375" style="213"/>
    <col min="3341" max="3341" width="1.625" style="213" bestFit="1" customWidth="1"/>
    <col min="3342" max="3342" width="9.375" style="213"/>
    <col min="3343" max="3343" width="8.875" style="213" customWidth="1"/>
    <col min="3344" max="3344" width="13.125" style="213" customWidth="1"/>
    <col min="3345" max="3345" width="9.375" style="213"/>
    <col min="3346" max="3346" width="9.875" style="213" customWidth="1"/>
    <col min="3347" max="3347" width="11.75" style="213" bestFit="1" customWidth="1"/>
    <col min="3348" max="3577" width="9.375" style="213"/>
    <col min="3578" max="3578" width="5" style="213" customWidth="1"/>
    <col min="3579" max="3579" width="17.875" style="213" bestFit="1" customWidth="1"/>
    <col min="3580" max="3580" width="9.875" style="213" customWidth="1"/>
    <col min="3581" max="3581" width="8.875" style="213" customWidth="1"/>
    <col min="3582" max="3582" width="7.375" style="213" bestFit="1" customWidth="1"/>
    <col min="3583" max="3583" width="10.125" style="213" bestFit="1" customWidth="1"/>
    <col min="3584" max="3584" width="9.375" style="213"/>
    <col min="3585" max="3585" width="10.125" style="213" bestFit="1" customWidth="1"/>
    <col min="3586" max="3586" width="10.75" style="213" customWidth="1"/>
    <col min="3587" max="3589" width="9.375" style="213"/>
    <col min="3590" max="3591" width="10.75" style="213" customWidth="1"/>
    <col min="3592" max="3596" width="9.375" style="213"/>
    <col min="3597" max="3597" width="1.625" style="213" bestFit="1" customWidth="1"/>
    <col min="3598" max="3598" width="9.375" style="213"/>
    <col min="3599" max="3599" width="8.875" style="213" customWidth="1"/>
    <col min="3600" max="3600" width="13.125" style="213" customWidth="1"/>
    <col min="3601" max="3601" width="9.375" style="213"/>
    <col min="3602" max="3602" width="9.875" style="213" customWidth="1"/>
    <col min="3603" max="3603" width="11.75" style="213" bestFit="1" customWidth="1"/>
    <col min="3604" max="3833" width="9.375" style="213"/>
    <col min="3834" max="3834" width="5" style="213" customWidth="1"/>
    <col min="3835" max="3835" width="17.875" style="213" bestFit="1" customWidth="1"/>
    <col min="3836" max="3836" width="9.875" style="213" customWidth="1"/>
    <col min="3837" max="3837" width="8.875" style="213" customWidth="1"/>
    <col min="3838" max="3838" width="7.375" style="213" bestFit="1" customWidth="1"/>
    <col min="3839" max="3839" width="10.125" style="213" bestFit="1" customWidth="1"/>
    <col min="3840" max="3840" width="9.375" style="213"/>
    <col min="3841" max="3841" width="10.125" style="213" bestFit="1" customWidth="1"/>
    <col min="3842" max="3842" width="10.75" style="213" customWidth="1"/>
    <col min="3843" max="3845" width="9.375" style="213"/>
    <col min="3846" max="3847" width="10.75" style="213" customWidth="1"/>
    <col min="3848" max="3852" width="9.375" style="213"/>
    <col min="3853" max="3853" width="1.625" style="213" bestFit="1" customWidth="1"/>
    <col min="3854" max="3854" width="9.375" style="213"/>
    <col min="3855" max="3855" width="8.875" style="213" customWidth="1"/>
    <col min="3856" max="3856" width="13.125" style="213" customWidth="1"/>
    <col min="3857" max="3857" width="9.375" style="213"/>
    <col min="3858" max="3858" width="9.875" style="213" customWidth="1"/>
    <col min="3859" max="3859" width="11.75" style="213" bestFit="1" customWidth="1"/>
    <col min="3860" max="4089" width="9.375" style="213"/>
    <col min="4090" max="4090" width="5" style="213" customWidth="1"/>
    <col min="4091" max="4091" width="17.875" style="213" bestFit="1" customWidth="1"/>
    <col min="4092" max="4092" width="9.875" style="213" customWidth="1"/>
    <col min="4093" max="4093" width="8.875" style="213" customWidth="1"/>
    <col min="4094" max="4094" width="7.375" style="213" bestFit="1" customWidth="1"/>
    <col min="4095" max="4095" width="10.125" style="213" bestFit="1" customWidth="1"/>
    <col min="4096" max="4096" width="9.375" style="213"/>
    <col min="4097" max="4097" width="10.125" style="213" bestFit="1" customWidth="1"/>
    <col min="4098" max="4098" width="10.75" style="213" customWidth="1"/>
    <col min="4099" max="4101" width="9.375" style="213"/>
    <col min="4102" max="4103" width="10.75" style="213" customWidth="1"/>
    <col min="4104" max="4108" width="9.375" style="213"/>
    <col min="4109" max="4109" width="1.625" style="213" bestFit="1" customWidth="1"/>
    <col min="4110" max="4110" width="9.375" style="213"/>
    <col min="4111" max="4111" width="8.875" style="213" customWidth="1"/>
    <col min="4112" max="4112" width="13.125" style="213" customWidth="1"/>
    <col min="4113" max="4113" width="9.375" style="213"/>
    <col min="4114" max="4114" width="9.875" style="213" customWidth="1"/>
    <col min="4115" max="4115" width="11.75" style="213" bestFit="1" customWidth="1"/>
    <col min="4116" max="4345" width="9.375" style="213"/>
    <col min="4346" max="4346" width="5" style="213" customWidth="1"/>
    <col min="4347" max="4347" width="17.875" style="213" bestFit="1" customWidth="1"/>
    <col min="4348" max="4348" width="9.875" style="213" customWidth="1"/>
    <col min="4349" max="4349" width="8.875" style="213" customWidth="1"/>
    <col min="4350" max="4350" width="7.375" style="213" bestFit="1" customWidth="1"/>
    <col min="4351" max="4351" width="10.125" style="213" bestFit="1" customWidth="1"/>
    <col min="4352" max="4352" width="9.375" style="213"/>
    <col min="4353" max="4353" width="10.125" style="213" bestFit="1" customWidth="1"/>
    <col min="4354" max="4354" width="10.75" style="213" customWidth="1"/>
    <col min="4355" max="4357" width="9.375" style="213"/>
    <col min="4358" max="4359" width="10.75" style="213" customWidth="1"/>
    <col min="4360" max="4364" width="9.375" style="213"/>
    <col min="4365" max="4365" width="1.625" style="213" bestFit="1" customWidth="1"/>
    <col min="4366" max="4366" width="9.375" style="213"/>
    <col min="4367" max="4367" width="8.875" style="213" customWidth="1"/>
    <col min="4368" max="4368" width="13.125" style="213" customWidth="1"/>
    <col min="4369" max="4369" width="9.375" style="213"/>
    <col min="4370" max="4370" width="9.875" style="213" customWidth="1"/>
    <col min="4371" max="4371" width="11.75" style="213" bestFit="1" customWidth="1"/>
    <col min="4372" max="4601" width="9.375" style="213"/>
    <col min="4602" max="4602" width="5" style="213" customWidth="1"/>
    <col min="4603" max="4603" width="17.875" style="213" bestFit="1" customWidth="1"/>
    <col min="4604" max="4604" width="9.875" style="213" customWidth="1"/>
    <col min="4605" max="4605" width="8.875" style="213" customWidth="1"/>
    <col min="4606" max="4606" width="7.375" style="213" bestFit="1" customWidth="1"/>
    <col min="4607" max="4607" width="10.125" style="213" bestFit="1" customWidth="1"/>
    <col min="4608" max="4608" width="9.375" style="213"/>
    <col min="4609" max="4609" width="10.125" style="213" bestFit="1" customWidth="1"/>
    <col min="4610" max="4610" width="10.75" style="213" customWidth="1"/>
    <col min="4611" max="4613" width="9.375" style="213"/>
    <col min="4614" max="4615" width="10.75" style="213" customWidth="1"/>
    <col min="4616" max="4620" width="9.375" style="213"/>
    <col min="4621" max="4621" width="1.625" style="213" bestFit="1" customWidth="1"/>
    <col min="4622" max="4622" width="9.375" style="213"/>
    <col min="4623" max="4623" width="8.875" style="213" customWidth="1"/>
    <col min="4624" max="4624" width="13.125" style="213" customWidth="1"/>
    <col min="4625" max="4625" width="9.375" style="213"/>
    <col min="4626" max="4626" width="9.875" style="213" customWidth="1"/>
    <col min="4627" max="4627" width="11.75" style="213" bestFit="1" customWidth="1"/>
    <col min="4628" max="4857" width="9.375" style="213"/>
    <col min="4858" max="4858" width="5" style="213" customWidth="1"/>
    <col min="4859" max="4859" width="17.875" style="213" bestFit="1" customWidth="1"/>
    <col min="4860" max="4860" width="9.875" style="213" customWidth="1"/>
    <col min="4861" max="4861" width="8.875" style="213" customWidth="1"/>
    <col min="4862" max="4862" width="7.375" style="213" bestFit="1" customWidth="1"/>
    <col min="4863" max="4863" width="10.125" style="213" bestFit="1" customWidth="1"/>
    <col min="4864" max="4864" width="9.375" style="213"/>
    <col min="4865" max="4865" width="10.125" style="213" bestFit="1" customWidth="1"/>
    <col min="4866" max="4866" width="10.75" style="213" customWidth="1"/>
    <col min="4867" max="4869" width="9.375" style="213"/>
    <col min="4870" max="4871" width="10.75" style="213" customWidth="1"/>
    <col min="4872" max="4876" width="9.375" style="213"/>
    <col min="4877" max="4877" width="1.625" style="213" bestFit="1" customWidth="1"/>
    <col min="4878" max="4878" width="9.375" style="213"/>
    <col min="4879" max="4879" width="8.875" style="213" customWidth="1"/>
    <col min="4880" max="4880" width="13.125" style="213" customWidth="1"/>
    <col min="4881" max="4881" width="9.375" style="213"/>
    <col min="4882" max="4882" width="9.875" style="213" customWidth="1"/>
    <col min="4883" max="4883" width="11.75" style="213" bestFit="1" customWidth="1"/>
    <col min="4884" max="5113" width="9.375" style="213"/>
    <col min="5114" max="5114" width="5" style="213" customWidth="1"/>
    <col min="5115" max="5115" width="17.875" style="213" bestFit="1" customWidth="1"/>
    <col min="5116" max="5116" width="9.875" style="213" customWidth="1"/>
    <col min="5117" max="5117" width="8.875" style="213" customWidth="1"/>
    <col min="5118" max="5118" width="7.375" style="213" bestFit="1" customWidth="1"/>
    <col min="5119" max="5119" width="10.125" style="213" bestFit="1" customWidth="1"/>
    <col min="5120" max="5120" width="9.375" style="213"/>
    <col min="5121" max="5121" width="10.125" style="213" bestFit="1" customWidth="1"/>
    <col min="5122" max="5122" width="10.75" style="213" customWidth="1"/>
    <col min="5123" max="5125" width="9.375" style="213"/>
    <col min="5126" max="5127" width="10.75" style="213" customWidth="1"/>
    <col min="5128" max="5132" width="9.375" style="213"/>
    <col min="5133" max="5133" width="1.625" style="213" bestFit="1" customWidth="1"/>
    <col min="5134" max="5134" width="9.375" style="213"/>
    <col min="5135" max="5135" width="8.875" style="213" customWidth="1"/>
    <col min="5136" max="5136" width="13.125" style="213" customWidth="1"/>
    <col min="5137" max="5137" width="9.375" style="213"/>
    <col min="5138" max="5138" width="9.875" style="213" customWidth="1"/>
    <col min="5139" max="5139" width="11.75" style="213" bestFit="1" customWidth="1"/>
    <col min="5140" max="5369" width="9.375" style="213"/>
    <col min="5370" max="5370" width="5" style="213" customWidth="1"/>
    <col min="5371" max="5371" width="17.875" style="213" bestFit="1" customWidth="1"/>
    <col min="5372" max="5372" width="9.875" style="213" customWidth="1"/>
    <col min="5373" max="5373" width="8.875" style="213" customWidth="1"/>
    <col min="5374" max="5374" width="7.375" style="213" bestFit="1" customWidth="1"/>
    <col min="5375" max="5375" width="10.125" style="213" bestFit="1" customWidth="1"/>
    <col min="5376" max="5376" width="9.375" style="213"/>
    <col min="5377" max="5377" width="10.125" style="213" bestFit="1" customWidth="1"/>
    <col min="5378" max="5378" width="10.75" style="213" customWidth="1"/>
    <col min="5379" max="5381" width="9.375" style="213"/>
    <col min="5382" max="5383" width="10.75" style="213" customWidth="1"/>
    <col min="5384" max="5388" width="9.375" style="213"/>
    <col min="5389" max="5389" width="1.625" style="213" bestFit="1" customWidth="1"/>
    <col min="5390" max="5390" width="9.375" style="213"/>
    <col min="5391" max="5391" width="8.875" style="213" customWidth="1"/>
    <col min="5392" max="5392" width="13.125" style="213" customWidth="1"/>
    <col min="5393" max="5393" width="9.375" style="213"/>
    <col min="5394" max="5394" width="9.875" style="213" customWidth="1"/>
    <col min="5395" max="5395" width="11.75" style="213" bestFit="1" customWidth="1"/>
    <col min="5396" max="5625" width="9.375" style="213"/>
    <col min="5626" max="5626" width="5" style="213" customWidth="1"/>
    <col min="5627" max="5627" width="17.875" style="213" bestFit="1" customWidth="1"/>
    <col min="5628" max="5628" width="9.875" style="213" customWidth="1"/>
    <col min="5629" max="5629" width="8.875" style="213" customWidth="1"/>
    <col min="5630" max="5630" width="7.375" style="213" bestFit="1" customWidth="1"/>
    <col min="5631" max="5631" width="10.125" style="213" bestFit="1" customWidth="1"/>
    <col min="5632" max="5632" width="9.375" style="213"/>
    <col min="5633" max="5633" width="10.125" style="213" bestFit="1" customWidth="1"/>
    <col min="5634" max="5634" width="10.75" style="213" customWidth="1"/>
    <col min="5635" max="5637" width="9.375" style="213"/>
    <col min="5638" max="5639" width="10.75" style="213" customWidth="1"/>
    <col min="5640" max="5644" width="9.375" style="213"/>
    <col min="5645" max="5645" width="1.625" style="213" bestFit="1" customWidth="1"/>
    <col min="5646" max="5646" width="9.375" style="213"/>
    <col min="5647" max="5647" width="8.875" style="213" customWidth="1"/>
    <col min="5648" max="5648" width="13.125" style="213" customWidth="1"/>
    <col min="5649" max="5649" width="9.375" style="213"/>
    <col min="5650" max="5650" width="9.875" style="213" customWidth="1"/>
    <col min="5651" max="5651" width="11.75" style="213" bestFit="1" customWidth="1"/>
    <col min="5652" max="5881" width="9.375" style="213"/>
    <col min="5882" max="5882" width="5" style="213" customWidth="1"/>
    <col min="5883" max="5883" width="17.875" style="213" bestFit="1" customWidth="1"/>
    <col min="5884" max="5884" width="9.875" style="213" customWidth="1"/>
    <col min="5885" max="5885" width="8.875" style="213" customWidth="1"/>
    <col min="5886" max="5886" width="7.375" style="213" bestFit="1" customWidth="1"/>
    <col min="5887" max="5887" width="10.125" style="213" bestFit="1" customWidth="1"/>
    <col min="5888" max="5888" width="9.375" style="213"/>
    <col min="5889" max="5889" width="10.125" style="213" bestFit="1" customWidth="1"/>
    <col min="5890" max="5890" width="10.75" style="213" customWidth="1"/>
    <col min="5891" max="5893" width="9.375" style="213"/>
    <col min="5894" max="5895" width="10.75" style="213" customWidth="1"/>
    <col min="5896" max="5900" width="9.375" style="213"/>
    <col min="5901" max="5901" width="1.625" style="213" bestFit="1" customWidth="1"/>
    <col min="5902" max="5902" width="9.375" style="213"/>
    <col min="5903" max="5903" width="8.875" style="213" customWidth="1"/>
    <col min="5904" max="5904" width="13.125" style="213" customWidth="1"/>
    <col min="5905" max="5905" width="9.375" style="213"/>
    <col min="5906" max="5906" width="9.875" style="213" customWidth="1"/>
    <col min="5907" max="5907" width="11.75" style="213" bestFit="1" customWidth="1"/>
    <col min="5908" max="6137" width="9.375" style="213"/>
    <col min="6138" max="6138" width="5" style="213" customWidth="1"/>
    <col min="6139" max="6139" width="17.875" style="213" bestFit="1" customWidth="1"/>
    <col min="6140" max="6140" width="9.875" style="213" customWidth="1"/>
    <col min="6141" max="6141" width="8.875" style="213" customWidth="1"/>
    <col min="6142" max="6142" width="7.375" style="213" bestFit="1" customWidth="1"/>
    <col min="6143" max="6143" width="10.125" style="213" bestFit="1" customWidth="1"/>
    <col min="6144" max="6144" width="9.375" style="213"/>
    <col min="6145" max="6145" width="10.125" style="213" bestFit="1" customWidth="1"/>
    <col min="6146" max="6146" width="10.75" style="213" customWidth="1"/>
    <col min="6147" max="6149" width="9.375" style="213"/>
    <col min="6150" max="6151" width="10.75" style="213" customWidth="1"/>
    <col min="6152" max="6156" width="9.375" style="213"/>
    <col min="6157" max="6157" width="1.625" style="213" bestFit="1" customWidth="1"/>
    <col min="6158" max="6158" width="9.375" style="213"/>
    <col min="6159" max="6159" width="8.875" style="213" customWidth="1"/>
    <col min="6160" max="6160" width="13.125" style="213" customWidth="1"/>
    <col min="6161" max="6161" width="9.375" style="213"/>
    <col min="6162" max="6162" width="9.875" style="213" customWidth="1"/>
    <col min="6163" max="6163" width="11.75" style="213" bestFit="1" customWidth="1"/>
    <col min="6164" max="6393" width="9.375" style="213"/>
    <col min="6394" max="6394" width="5" style="213" customWidth="1"/>
    <col min="6395" max="6395" width="17.875" style="213" bestFit="1" customWidth="1"/>
    <col min="6396" max="6396" width="9.875" style="213" customWidth="1"/>
    <col min="6397" max="6397" width="8.875" style="213" customWidth="1"/>
    <col min="6398" max="6398" width="7.375" style="213" bestFit="1" customWidth="1"/>
    <col min="6399" max="6399" width="10.125" style="213" bestFit="1" customWidth="1"/>
    <col min="6400" max="6400" width="9.375" style="213"/>
    <col min="6401" max="6401" width="10.125" style="213" bestFit="1" customWidth="1"/>
    <col min="6402" max="6402" width="10.75" style="213" customWidth="1"/>
    <col min="6403" max="6405" width="9.375" style="213"/>
    <col min="6406" max="6407" width="10.75" style="213" customWidth="1"/>
    <col min="6408" max="6412" width="9.375" style="213"/>
    <col min="6413" max="6413" width="1.625" style="213" bestFit="1" customWidth="1"/>
    <col min="6414" max="6414" width="9.375" style="213"/>
    <col min="6415" max="6415" width="8.875" style="213" customWidth="1"/>
    <col min="6416" max="6416" width="13.125" style="213" customWidth="1"/>
    <col min="6417" max="6417" width="9.375" style="213"/>
    <col min="6418" max="6418" width="9.875" style="213" customWidth="1"/>
    <col min="6419" max="6419" width="11.75" style="213" bestFit="1" customWidth="1"/>
    <col min="6420" max="6649" width="9.375" style="213"/>
    <col min="6650" max="6650" width="5" style="213" customWidth="1"/>
    <col min="6651" max="6651" width="17.875" style="213" bestFit="1" customWidth="1"/>
    <col min="6652" max="6652" width="9.875" style="213" customWidth="1"/>
    <col min="6653" max="6653" width="8.875" style="213" customWidth="1"/>
    <col min="6654" max="6654" width="7.375" style="213" bestFit="1" customWidth="1"/>
    <col min="6655" max="6655" width="10.125" style="213" bestFit="1" customWidth="1"/>
    <col min="6656" max="6656" width="9.375" style="213"/>
    <col min="6657" max="6657" width="10.125" style="213" bestFit="1" customWidth="1"/>
    <col min="6658" max="6658" width="10.75" style="213" customWidth="1"/>
    <col min="6659" max="6661" width="9.375" style="213"/>
    <col min="6662" max="6663" width="10.75" style="213" customWidth="1"/>
    <col min="6664" max="6668" width="9.375" style="213"/>
    <col min="6669" max="6669" width="1.625" style="213" bestFit="1" customWidth="1"/>
    <col min="6670" max="6670" width="9.375" style="213"/>
    <col min="6671" max="6671" width="8.875" style="213" customWidth="1"/>
    <col min="6672" max="6672" width="13.125" style="213" customWidth="1"/>
    <col min="6673" max="6673" width="9.375" style="213"/>
    <col min="6674" max="6674" width="9.875" style="213" customWidth="1"/>
    <col min="6675" max="6675" width="11.75" style="213" bestFit="1" customWidth="1"/>
    <col min="6676" max="6905" width="9.375" style="213"/>
    <col min="6906" max="6906" width="5" style="213" customWidth="1"/>
    <col min="6907" max="6907" width="17.875" style="213" bestFit="1" customWidth="1"/>
    <col min="6908" max="6908" width="9.875" style="213" customWidth="1"/>
    <col min="6909" max="6909" width="8.875" style="213" customWidth="1"/>
    <col min="6910" max="6910" width="7.375" style="213" bestFit="1" customWidth="1"/>
    <col min="6911" max="6911" width="10.125" style="213" bestFit="1" customWidth="1"/>
    <col min="6912" max="6912" width="9.375" style="213"/>
    <col min="6913" max="6913" width="10.125" style="213" bestFit="1" customWidth="1"/>
    <col min="6914" max="6914" width="10.75" style="213" customWidth="1"/>
    <col min="6915" max="6917" width="9.375" style="213"/>
    <col min="6918" max="6919" width="10.75" style="213" customWidth="1"/>
    <col min="6920" max="6924" width="9.375" style="213"/>
    <col min="6925" max="6925" width="1.625" style="213" bestFit="1" customWidth="1"/>
    <col min="6926" max="6926" width="9.375" style="213"/>
    <col min="6927" max="6927" width="8.875" style="213" customWidth="1"/>
    <col min="6928" max="6928" width="13.125" style="213" customWidth="1"/>
    <col min="6929" max="6929" width="9.375" style="213"/>
    <col min="6930" max="6930" width="9.875" style="213" customWidth="1"/>
    <col min="6931" max="6931" width="11.75" style="213" bestFit="1" customWidth="1"/>
    <col min="6932" max="7161" width="9.375" style="213"/>
    <col min="7162" max="7162" width="5" style="213" customWidth="1"/>
    <col min="7163" max="7163" width="17.875" style="213" bestFit="1" customWidth="1"/>
    <col min="7164" max="7164" width="9.875" style="213" customWidth="1"/>
    <col min="7165" max="7165" width="8.875" style="213" customWidth="1"/>
    <col min="7166" max="7166" width="7.375" style="213" bestFit="1" customWidth="1"/>
    <col min="7167" max="7167" width="10.125" style="213" bestFit="1" customWidth="1"/>
    <col min="7168" max="7168" width="9.375" style="213"/>
    <col min="7169" max="7169" width="10.125" style="213" bestFit="1" customWidth="1"/>
    <col min="7170" max="7170" width="10.75" style="213" customWidth="1"/>
    <col min="7171" max="7173" width="9.375" style="213"/>
    <col min="7174" max="7175" width="10.75" style="213" customWidth="1"/>
    <col min="7176" max="7180" width="9.375" style="213"/>
    <col min="7181" max="7181" width="1.625" style="213" bestFit="1" customWidth="1"/>
    <col min="7182" max="7182" width="9.375" style="213"/>
    <col min="7183" max="7183" width="8.875" style="213" customWidth="1"/>
    <col min="7184" max="7184" width="13.125" style="213" customWidth="1"/>
    <col min="7185" max="7185" width="9.375" style="213"/>
    <col min="7186" max="7186" width="9.875" style="213" customWidth="1"/>
    <col min="7187" max="7187" width="11.75" style="213" bestFit="1" customWidth="1"/>
    <col min="7188" max="7417" width="9.375" style="213"/>
    <col min="7418" max="7418" width="5" style="213" customWidth="1"/>
    <col min="7419" max="7419" width="17.875" style="213" bestFit="1" customWidth="1"/>
    <col min="7420" max="7420" width="9.875" style="213" customWidth="1"/>
    <col min="7421" max="7421" width="8.875" style="213" customWidth="1"/>
    <col min="7422" max="7422" width="7.375" style="213" bestFit="1" customWidth="1"/>
    <col min="7423" max="7423" width="10.125" style="213" bestFit="1" customWidth="1"/>
    <col min="7424" max="7424" width="9.375" style="213"/>
    <col min="7425" max="7425" width="10.125" style="213" bestFit="1" customWidth="1"/>
    <col min="7426" max="7426" width="10.75" style="213" customWidth="1"/>
    <col min="7427" max="7429" width="9.375" style="213"/>
    <col min="7430" max="7431" width="10.75" style="213" customWidth="1"/>
    <col min="7432" max="7436" width="9.375" style="213"/>
    <col min="7437" max="7437" width="1.625" style="213" bestFit="1" customWidth="1"/>
    <col min="7438" max="7438" width="9.375" style="213"/>
    <col min="7439" max="7439" width="8.875" style="213" customWidth="1"/>
    <col min="7440" max="7440" width="13.125" style="213" customWidth="1"/>
    <col min="7441" max="7441" width="9.375" style="213"/>
    <col min="7442" max="7442" width="9.875" style="213" customWidth="1"/>
    <col min="7443" max="7443" width="11.75" style="213" bestFit="1" customWidth="1"/>
    <col min="7444" max="7673" width="9.375" style="213"/>
    <col min="7674" max="7674" width="5" style="213" customWidth="1"/>
    <col min="7675" max="7675" width="17.875" style="213" bestFit="1" customWidth="1"/>
    <col min="7676" max="7676" width="9.875" style="213" customWidth="1"/>
    <col min="7677" max="7677" width="8.875" style="213" customWidth="1"/>
    <col min="7678" max="7678" width="7.375" style="213" bestFit="1" customWidth="1"/>
    <col min="7679" max="7679" width="10.125" style="213" bestFit="1" customWidth="1"/>
    <col min="7680" max="7680" width="9.375" style="213"/>
    <col min="7681" max="7681" width="10.125" style="213" bestFit="1" customWidth="1"/>
    <col min="7682" max="7682" width="10.75" style="213" customWidth="1"/>
    <col min="7683" max="7685" width="9.375" style="213"/>
    <col min="7686" max="7687" width="10.75" style="213" customWidth="1"/>
    <col min="7688" max="7692" width="9.375" style="213"/>
    <col min="7693" max="7693" width="1.625" style="213" bestFit="1" customWidth="1"/>
    <col min="7694" max="7694" width="9.375" style="213"/>
    <col min="7695" max="7695" width="8.875" style="213" customWidth="1"/>
    <col min="7696" max="7696" width="13.125" style="213" customWidth="1"/>
    <col min="7697" max="7697" width="9.375" style="213"/>
    <col min="7698" max="7698" width="9.875" style="213" customWidth="1"/>
    <col min="7699" max="7699" width="11.75" style="213" bestFit="1" customWidth="1"/>
    <col min="7700" max="7929" width="9.375" style="213"/>
    <col min="7930" max="7930" width="5" style="213" customWidth="1"/>
    <col min="7931" max="7931" width="17.875" style="213" bestFit="1" customWidth="1"/>
    <col min="7932" max="7932" width="9.875" style="213" customWidth="1"/>
    <col min="7933" max="7933" width="8.875" style="213" customWidth="1"/>
    <col min="7934" max="7934" width="7.375" style="213" bestFit="1" customWidth="1"/>
    <col min="7935" max="7935" width="10.125" style="213" bestFit="1" customWidth="1"/>
    <col min="7936" max="7936" width="9.375" style="213"/>
    <col min="7937" max="7937" width="10.125" style="213" bestFit="1" customWidth="1"/>
    <col min="7938" max="7938" width="10.75" style="213" customWidth="1"/>
    <col min="7939" max="7941" width="9.375" style="213"/>
    <col min="7942" max="7943" width="10.75" style="213" customWidth="1"/>
    <col min="7944" max="7948" width="9.375" style="213"/>
    <col min="7949" max="7949" width="1.625" style="213" bestFit="1" customWidth="1"/>
    <col min="7950" max="7950" width="9.375" style="213"/>
    <col min="7951" max="7951" width="8.875" style="213" customWidth="1"/>
    <col min="7952" max="7952" width="13.125" style="213" customWidth="1"/>
    <col min="7953" max="7953" width="9.375" style="213"/>
    <col min="7954" max="7954" width="9.875" style="213" customWidth="1"/>
    <col min="7955" max="7955" width="11.75" style="213" bestFit="1" customWidth="1"/>
    <col min="7956" max="8185" width="9.375" style="213"/>
    <col min="8186" max="8186" width="5" style="213" customWidth="1"/>
    <col min="8187" max="8187" width="17.875" style="213" bestFit="1" customWidth="1"/>
    <col min="8188" max="8188" width="9.875" style="213" customWidth="1"/>
    <col min="8189" max="8189" width="8.875" style="213" customWidth="1"/>
    <col min="8190" max="8190" width="7.375" style="213" bestFit="1" customWidth="1"/>
    <col min="8191" max="8191" width="10.125" style="213" bestFit="1" customWidth="1"/>
    <col min="8192" max="8192" width="9.375" style="213"/>
    <col min="8193" max="8193" width="10.125" style="213" bestFit="1" customWidth="1"/>
    <col min="8194" max="8194" width="10.75" style="213" customWidth="1"/>
    <col min="8195" max="8197" width="9.375" style="213"/>
    <col min="8198" max="8199" width="10.75" style="213" customWidth="1"/>
    <col min="8200" max="8204" width="9.375" style="213"/>
    <col min="8205" max="8205" width="1.625" style="213" bestFit="1" customWidth="1"/>
    <col min="8206" max="8206" width="9.375" style="213"/>
    <col min="8207" max="8207" width="8.875" style="213" customWidth="1"/>
    <col min="8208" max="8208" width="13.125" style="213" customWidth="1"/>
    <col min="8209" max="8209" width="9.375" style="213"/>
    <col min="8210" max="8210" width="9.875" style="213" customWidth="1"/>
    <col min="8211" max="8211" width="11.75" style="213" bestFit="1" customWidth="1"/>
    <col min="8212" max="8441" width="9.375" style="213"/>
    <col min="8442" max="8442" width="5" style="213" customWidth="1"/>
    <col min="8443" max="8443" width="17.875" style="213" bestFit="1" customWidth="1"/>
    <col min="8444" max="8444" width="9.875" style="213" customWidth="1"/>
    <col min="8445" max="8445" width="8.875" style="213" customWidth="1"/>
    <col min="8446" max="8446" width="7.375" style="213" bestFit="1" customWidth="1"/>
    <col min="8447" max="8447" width="10.125" style="213" bestFit="1" customWidth="1"/>
    <col min="8448" max="8448" width="9.375" style="213"/>
    <col min="8449" max="8449" width="10.125" style="213" bestFit="1" customWidth="1"/>
    <col min="8450" max="8450" width="10.75" style="213" customWidth="1"/>
    <col min="8451" max="8453" width="9.375" style="213"/>
    <col min="8454" max="8455" width="10.75" style="213" customWidth="1"/>
    <col min="8456" max="8460" width="9.375" style="213"/>
    <col min="8461" max="8461" width="1.625" style="213" bestFit="1" customWidth="1"/>
    <col min="8462" max="8462" width="9.375" style="213"/>
    <col min="8463" max="8463" width="8.875" style="213" customWidth="1"/>
    <col min="8464" max="8464" width="13.125" style="213" customWidth="1"/>
    <col min="8465" max="8465" width="9.375" style="213"/>
    <col min="8466" max="8466" width="9.875" style="213" customWidth="1"/>
    <col min="8467" max="8467" width="11.75" style="213" bestFit="1" customWidth="1"/>
    <col min="8468" max="8697" width="9.375" style="213"/>
    <col min="8698" max="8698" width="5" style="213" customWidth="1"/>
    <col min="8699" max="8699" width="17.875" style="213" bestFit="1" customWidth="1"/>
    <col min="8700" max="8700" width="9.875" style="213" customWidth="1"/>
    <col min="8701" max="8701" width="8.875" style="213" customWidth="1"/>
    <col min="8702" max="8702" width="7.375" style="213" bestFit="1" customWidth="1"/>
    <col min="8703" max="8703" width="10.125" style="213" bestFit="1" customWidth="1"/>
    <col min="8704" max="8704" width="9.375" style="213"/>
    <col min="8705" max="8705" width="10.125" style="213" bestFit="1" customWidth="1"/>
    <col min="8706" max="8706" width="10.75" style="213" customWidth="1"/>
    <col min="8707" max="8709" width="9.375" style="213"/>
    <col min="8710" max="8711" width="10.75" style="213" customWidth="1"/>
    <col min="8712" max="8716" width="9.375" style="213"/>
    <col min="8717" max="8717" width="1.625" style="213" bestFit="1" customWidth="1"/>
    <col min="8718" max="8718" width="9.375" style="213"/>
    <col min="8719" max="8719" width="8.875" style="213" customWidth="1"/>
    <col min="8720" max="8720" width="13.125" style="213" customWidth="1"/>
    <col min="8721" max="8721" width="9.375" style="213"/>
    <col min="8722" max="8722" width="9.875" style="213" customWidth="1"/>
    <col min="8723" max="8723" width="11.75" style="213" bestFit="1" customWidth="1"/>
    <col min="8724" max="8953" width="9.375" style="213"/>
    <col min="8954" max="8954" width="5" style="213" customWidth="1"/>
    <col min="8955" max="8955" width="17.875" style="213" bestFit="1" customWidth="1"/>
    <col min="8956" max="8956" width="9.875" style="213" customWidth="1"/>
    <col min="8957" max="8957" width="8.875" style="213" customWidth="1"/>
    <col min="8958" max="8958" width="7.375" style="213" bestFit="1" customWidth="1"/>
    <col min="8959" max="8959" width="10.125" style="213" bestFit="1" customWidth="1"/>
    <col min="8960" max="8960" width="9.375" style="213"/>
    <col min="8961" max="8961" width="10.125" style="213" bestFit="1" customWidth="1"/>
    <col min="8962" max="8962" width="10.75" style="213" customWidth="1"/>
    <col min="8963" max="8965" width="9.375" style="213"/>
    <col min="8966" max="8967" width="10.75" style="213" customWidth="1"/>
    <col min="8968" max="8972" width="9.375" style="213"/>
    <col min="8973" max="8973" width="1.625" style="213" bestFit="1" customWidth="1"/>
    <col min="8974" max="8974" width="9.375" style="213"/>
    <col min="8975" max="8975" width="8.875" style="213" customWidth="1"/>
    <col min="8976" max="8976" width="13.125" style="213" customWidth="1"/>
    <col min="8977" max="8977" width="9.375" style="213"/>
    <col min="8978" max="8978" width="9.875" style="213" customWidth="1"/>
    <col min="8979" max="8979" width="11.75" style="213" bestFit="1" customWidth="1"/>
    <col min="8980" max="9209" width="9.375" style="213"/>
    <col min="9210" max="9210" width="5" style="213" customWidth="1"/>
    <col min="9211" max="9211" width="17.875" style="213" bestFit="1" customWidth="1"/>
    <col min="9212" max="9212" width="9.875" style="213" customWidth="1"/>
    <col min="9213" max="9213" width="8.875" style="213" customWidth="1"/>
    <col min="9214" max="9214" width="7.375" style="213" bestFit="1" customWidth="1"/>
    <col min="9215" max="9215" width="10.125" style="213" bestFit="1" customWidth="1"/>
    <col min="9216" max="9216" width="9.375" style="213"/>
    <col min="9217" max="9217" width="10.125" style="213" bestFit="1" customWidth="1"/>
    <col min="9218" max="9218" width="10.75" style="213" customWidth="1"/>
    <col min="9219" max="9221" width="9.375" style="213"/>
    <col min="9222" max="9223" width="10.75" style="213" customWidth="1"/>
    <col min="9224" max="9228" width="9.375" style="213"/>
    <col min="9229" max="9229" width="1.625" style="213" bestFit="1" customWidth="1"/>
    <col min="9230" max="9230" width="9.375" style="213"/>
    <col min="9231" max="9231" width="8.875" style="213" customWidth="1"/>
    <col min="9232" max="9232" width="13.125" style="213" customWidth="1"/>
    <col min="9233" max="9233" width="9.375" style="213"/>
    <col min="9234" max="9234" width="9.875" style="213" customWidth="1"/>
    <col min="9235" max="9235" width="11.75" style="213" bestFit="1" customWidth="1"/>
    <col min="9236" max="9465" width="9.375" style="213"/>
    <col min="9466" max="9466" width="5" style="213" customWidth="1"/>
    <col min="9467" max="9467" width="17.875" style="213" bestFit="1" customWidth="1"/>
    <col min="9468" max="9468" width="9.875" style="213" customWidth="1"/>
    <col min="9469" max="9469" width="8.875" style="213" customWidth="1"/>
    <col min="9470" max="9470" width="7.375" style="213" bestFit="1" customWidth="1"/>
    <col min="9471" max="9471" width="10.125" style="213" bestFit="1" customWidth="1"/>
    <col min="9472" max="9472" width="9.375" style="213"/>
    <col min="9473" max="9473" width="10.125" style="213" bestFit="1" customWidth="1"/>
    <col min="9474" max="9474" width="10.75" style="213" customWidth="1"/>
    <col min="9475" max="9477" width="9.375" style="213"/>
    <col min="9478" max="9479" width="10.75" style="213" customWidth="1"/>
    <col min="9480" max="9484" width="9.375" style="213"/>
    <col min="9485" max="9485" width="1.625" style="213" bestFit="1" customWidth="1"/>
    <col min="9486" max="9486" width="9.375" style="213"/>
    <col min="9487" max="9487" width="8.875" style="213" customWidth="1"/>
    <col min="9488" max="9488" width="13.125" style="213" customWidth="1"/>
    <col min="9489" max="9489" width="9.375" style="213"/>
    <col min="9490" max="9490" width="9.875" style="213" customWidth="1"/>
    <col min="9491" max="9491" width="11.75" style="213" bestFit="1" customWidth="1"/>
    <col min="9492" max="9721" width="9.375" style="213"/>
    <col min="9722" max="9722" width="5" style="213" customWidth="1"/>
    <col min="9723" max="9723" width="17.875" style="213" bestFit="1" customWidth="1"/>
    <col min="9724" max="9724" width="9.875" style="213" customWidth="1"/>
    <col min="9725" max="9725" width="8.875" style="213" customWidth="1"/>
    <col min="9726" max="9726" width="7.375" style="213" bestFit="1" customWidth="1"/>
    <col min="9727" max="9727" width="10.125" style="213" bestFit="1" customWidth="1"/>
    <col min="9728" max="9728" width="9.375" style="213"/>
    <col min="9729" max="9729" width="10.125" style="213" bestFit="1" customWidth="1"/>
    <col min="9730" max="9730" width="10.75" style="213" customWidth="1"/>
    <col min="9731" max="9733" width="9.375" style="213"/>
    <col min="9734" max="9735" width="10.75" style="213" customWidth="1"/>
    <col min="9736" max="9740" width="9.375" style="213"/>
    <col min="9741" max="9741" width="1.625" style="213" bestFit="1" customWidth="1"/>
    <col min="9742" max="9742" width="9.375" style="213"/>
    <col min="9743" max="9743" width="8.875" style="213" customWidth="1"/>
    <col min="9744" max="9744" width="13.125" style="213" customWidth="1"/>
    <col min="9745" max="9745" width="9.375" style="213"/>
    <col min="9746" max="9746" width="9.875" style="213" customWidth="1"/>
    <col min="9747" max="9747" width="11.75" style="213" bestFit="1" customWidth="1"/>
    <col min="9748" max="9977" width="9.375" style="213"/>
    <col min="9978" max="9978" width="5" style="213" customWidth="1"/>
    <col min="9979" max="9979" width="17.875" style="213" bestFit="1" customWidth="1"/>
    <col min="9980" max="9980" width="9.875" style="213" customWidth="1"/>
    <col min="9981" max="9981" width="8.875" style="213" customWidth="1"/>
    <col min="9982" max="9982" width="7.375" style="213" bestFit="1" customWidth="1"/>
    <col min="9983" max="9983" width="10.125" style="213" bestFit="1" customWidth="1"/>
    <col min="9984" max="9984" width="9.375" style="213"/>
    <col min="9985" max="9985" width="10.125" style="213" bestFit="1" customWidth="1"/>
    <col min="9986" max="9986" width="10.75" style="213" customWidth="1"/>
    <col min="9987" max="9989" width="9.375" style="213"/>
    <col min="9990" max="9991" width="10.75" style="213" customWidth="1"/>
    <col min="9992" max="9996" width="9.375" style="213"/>
    <col min="9997" max="9997" width="1.625" style="213" bestFit="1" customWidth="1"/>
    <col min="9998" max="9998" width="9.375" style="213"/>
    <col min="9999" max="9999" width="8.875" style="213" customWidth="1"/>
    <col min="10000" max="10000" width="13.125" style="213" customWidth="1"/>
    <col min="10001" max="10001" width="9.375" style="213"/>
    <col min="10002" max="10002" width="9.875" style="213" customWidth="1"/>
    <col min="10003" max="10003" width="11.75" style="213" bestFit="1" customWidth="1"/>
    <col min="10004" max="10233" width="9.375" style="213"/>
    <col min="10234" max="10234" width="5" style="213" customWidth="1"/>
    <col min="10235" max="10235" width="17.875" style="213" bestFit="1" customWidth="1"/>
    <col min="10236" max="10236" width="9.875" style="213" customWidth="1"/>
    <col min="10237" max="10237" width="8.875" style="213" customWidth="1"/>
    <col min="10238" max="10238" width="7.375" style="213" bestFit="1" customWidth="1"/>
    <col min="10239" max="10239" width="10.125" style="213" bestFit="1" customWidth="1"/>
    <col min="10240" max="10240" width="9.375" style="213"/>
    <col min="10241" max="10241" width="10.125" style="213" bestFit="1" customWidth="1"/>
    <col min="10242" max="10242" width="10.75" style="213" customWidth="1"/>
    <col min="10243" max="10245" width="9.375" style="213"/>
    <col min="10246" max="10247" width="10.75" style="213" customWidth="1"/>
    <col min="10248" max="10252" width="9.375" style="213"/>
    <col min="10253" max="10253" width="1.625" style="213" bestFit="1" customWidth="1"/>
    <col min="10254" max="10254" width="9.375" style="213"/>
    <col min="10255" max="10255" width="8.875" style="213" customWidth="1"/>
    <col min="10256" max="10256" width="13.125" style="213" customWidth="1"/>
    <col min="10257" max="10257" width="9.375" style="213"/>
    <col min="10258" max="10258" width="9.875" style="213" customWidth="1"/>
    <col min="10259" max="10259" width="11.75" style="213" bestFit="1" customWidth="1"/>
    <col min="10260" max="10489" width="9.375" style="213"/>
    <col min="10490" max="10490" width="5" style="213" customWidth="1"/>
    <col min="10491" max="10491" width="17.875" style="213" bestFit="1" customWidth="1"/>
    <col min="10492" max="10492" width="9.875" style="213" customWidth="1"/>
    <col min="10493" max="10493" width="8.875" style="213" customWidth="1"/>
    <col min="10494" max="10494" width="7.375" style="213" bestFit="1" customWidth="1"/>
    <col min="10495" max="10495" width="10.125" style="213" bestFit="1" customWidth="1"/>
    <col min="10496" max="10496" width="9.375" style="213"/>
    <col min="10497" max="10497" width="10.125" style="213" bestFit="1" customWidth="1"/>
    <col min="10498" max="10498" width="10.75" style="213" customWidth="1"/>
    <col min="10499" max="10501" width="9.375" style="213"/>
    <col min="10502" max="10503" width="10.75" style="213" customWidth="1"/>
    <col min="10504" max="10508" width="9.375" style="213"/>
    <col min="10509" max="10509" width="1.625" style="213" bestFit="1" customWidth="1"/>
    <col min="10510" max="10510" width="9.375" style="213"/>
    <col min="10511" max="10511" width="8.875" style="213" customWidth="1"/>
    <col min="10512" max="10512" width="13.125" style="213" customWidth="1"/>
    <col min="10513" max="10513" width="9.375" style="213"/>
    <col min="10514" max="10514" width="9.875" style="213" customWidth="1"/>
    <col min="10515" max="10515" width="11.75" style="213" bestFit="1" customWidth="1"/>
    <col min="10516" max="10745" width="9.375" style="213"/>
    <col min="10746" max="10746" width="5" style="213" customWidth="1"/>
    <col min="10747" max="10747" width="17.875" style="213" bestFit="1" customWidth="1"/>
    <col min="10748" max="10748" width="9.875" style="213" customWidth="1"/>
    <col min="10749" max="10749" width="8.875" style="213" customWidth="1"/>
    <col min="10750" max="10750" width="7.375" style="213" bestFit="1" customWidth="1"/>
    <col min="10751" max="10751" width="10.125" style="213" bestFit="1" customWidth="1"/>
    <col min="10752" max="10752" width="9.375" style="213"/>
    <col min="10753" max="10753" width="10.125" style="213" bestFit="1" customWidth="1"/>
    <col min="10754" max="10754" width="10.75" style="213" customWidth="1"/>
    <col min="10755" max="10757" width="9.375" style="213"/>
    <col min="10758" max="10759" width="10.75" style="213" customWidth="1"/>
    <col min="10760" max="10764" width="9.375" style="213"/>
    <col min="10765" max="10765" width="1.625" style="213" bestFit="1" customWidth="1"/>
    <col min="10766" max="10766" width="9.375" style="213"/>
    <col min="10767" max="10767" width="8.875" style="213" customWidth="1"/>
    <col min="10768" max="10768" width="13.125" style="213" customWidth="1"/>
    <col min="10769" max="10769" width="9.375" style="213"/>
    <col min="10770" max="10770" width="9.875" style="213" customWidth="1"/>
    <col min="10771" max="10771" width="11.75" style="213" bestFit="1" customWidth="1"/>
    <col min="10772" max="11001" width="9.375" style="213"/>
    <col min="11002" max="11002" width="5" style="213" customWidth="1"/>
    <col min="11003" max="11003" width="17.875" style="213" bestFit="1" customWidth="1"/>
    <col min="11004" max="11004" width="9.875" style="213" customWidth="1"/>
    <col min="11005" max="11005" width="8.875" style="213" customWidth="1"/>
    <col min="11006" max="11006" width="7.375" style="213" bestFit="1" customWidth="1"/>
    <col min="11007" max="11007" width="10.125" style="213" bestFit="1" customWidth="1"/>
    <col min="11008" max="11008" width="9.375" style="213"/>
    <col min="11009" max="11009" width="10.125" style="213" bestFit="1" customWidth="1"/>
    <col min="11010" max="11010" width="10.75" style="213" customWidth="1"/>
    <col min="11011" max="11013" width="9.375" style="213"/>
    <col min="11014" max="11015" width="10.75" style="213" customWidth="1"/>
    <col min="11016" max="11020" width="9.375" style="213"/>
    <col min="11021" max="11021" width="1.625" style="213" bestFit="1" customWidth="1"/>
    <col min="11022" max="11022" width="9.375" style="213"/>
    <col min="11023" max="11023" width="8.875" style="213" customWidth="1"/>
    <col min="11024" max="11024" width="13.125" style="213" customWidth="1"/>
    <col min="11025" max="11025" width="9.375" style="213"/>
    <col min="11026" max="11026" width="9.875" style="213" customWidth="1"/>
    <col min="11027" max="11027" width="11.75" style="213" bestFit="1" customWidth="1"/>
    <col min="11028" max="11257" width="9.375" style="213"/>
    <col min="11258" max="11258" width="5" style="213" customWidth="1"/>
    <col min="11259" max="11259" width="17.875" style="213" bestFit="1" customWidth="1"/>
    <col min="11260" max="11260" width="9.875" style="213" customWidth="1"/>
    <col min="11261" max="11261" width="8.875" style="213" customWidth="1"/>
    <col min="11262" max="11262" width="7.375" style="213" bestFit="1" customWidth="1"/>
    <col min="11263" max="11263" width="10.125" style="213" bestFit="1" customWidth="1"/>
    <col min="11264" max="11264" width="9.375" style="213"/>
    <col min="11265" max="11265" width="10.125" style="213" bestFit="1" customWidth="1"/>
    <col min="11266" max="11266" width="10.75" style="213" customWidth="1"/>
    <col min="11267" max="11269" width="9.375" style="213"/>
    <col min="11270" max="11271" width="10.75" style="213" customWidth="1"/>
    <col min="11272" max="11276" width="9.375" style="213"/>
    <col min="11277" max="11277" width="1.625" style="213" bestFit="1" customWidth="1"/>
    <col min="11278" max="11278" width="9.375" style="213"/>
    <col min="11279" max="11279" width="8.875" style="213" customWidth="1"/>
    <col min="11280" max="11280" width="13.125" style="213" customWidth="1"/>
    <col min="11281" max="11281" width="9.375" style="213"/>
    <col min="11282" max="11282" width="9.875" style="213" customWidth="1"/>
    <col min="11283" max="11283" width="11.75" style="213" bestFit="1" customWidth="1"/>
    <col min="11284" max="11513" width="9.375" style="213"/>
    <col min="11514" max="11514" width="5" style="213" customWidth="1"/>
    <col min="11515" max="11515" width="17.875" style="213" bestFit="1" customWidth="1"/>
    <col min="11516" max="11516" width="9.875" style="213" customWidth="1"/>
    <col min="11517" max="11517" width="8.875" style="213" customWidth="1"/>
    <col min="11518" max="11518" width="7.375" style="213" bestFit="1" customWidth="1"/>
    <col min="11519" max="11519" width="10.125" style="213" bestFit="1" customWidth="1"/>
    <col min="11520" max="11520" width="9.375" style="213"/>
    <col min="11521" max="11521" width="10.125" style="213" bestFit="1" customWidth="1"/>
    <col min="11522" max="11522" width="10.75" style="213" customWidth="1"/>
    <col min="11523" max="11525" width="9.375" style="213"/>
    <col min="11526" max="11527" width="10.75" style="213" customWidth="1"/>
    <col min="11528" max="11532" width="9.375" style="213"/>
    <col min="11533" max="11533" width="1.625" style="213" bestFit="1" customWidth="1"/>
    <col min="11534" max="11534" width="9.375" style="213"/>
    <col min="11535" max="11535" width="8.875" style="213" customWidth="1"/>
    <col min="11536" max="11536" width="13.125" style="213" customWidth="1"/>
    <col min="11537" max="11537" width="9.375" style="213"/>
    <col min="11538" max="11538" width="9.875" style="213" customWidth="1"/>
    <col min="11539" max="11539" width="11.75" style="213" bestFit="1" customWidth="1"/>
    <col min="11540" max="11769" width="9.375" style="213"/>
    <col min="11770" max="11770" width="5" style="213" customWidth="1"/>
    <col min="11771" max="11771" width="17.875" style="213" bestFit="1" customWidth="1"/>
    <col min="11772" max="11772" width="9.875" style="213" customWidth="1"/>
    <col min="11773" max="11773" width="8.875" style="213" customWidth="1"/>
    <col min="11774" max="11774" width="7.375" style="213" bestFit="1" customWidth="1"/>
    <col min="11775" max="11775" width="10.125" style="213" bestFit="1" customWidth="1"/>
    <col min="11776" max="11776" width="9.375" style="213"/>
    <col min="11777" max="11777" width="10.125" style="213" bestFit="1" customWidth="1"/>
    <col min="11778" max="11778" width="10.75" style="213" customWidth="1"/>
    <col min="11779" max="11781" width="9.375" style="213"/>
    <col min="11782" max="11783" width="10.75" style="213" customWidth="1"/>
    <col min="11784" max="11788" width="9.375" style="213"/>
    <col min="11789" max="11789" width="1.625" style="213" bestFit="1" customWidth="1"/>
    <col min="11790" max="11790" width="9.375" style="213"/>
    <col min="11791" max="11791" width="8.875" style="213" customWidth="1"/>
    <col min="11792" max="11792" width="13.125" style="213" customWidth="1"/>
    <col min="11793" max="11793" width="9.375" style="213"/>
    <col min="11794" max="11794" width="9.875" style="213" customWidth="1"/>
    <col min="11795" max="11795" width="11.75" style="213" bestFit="1" customWidth="1"/>
    <col min="11796" max="12025" width="9.375" style="213"/>
    <col min="12026" max="12026" width="5" style="213" customWidth="1"/>
    <col min="12027" max="12027" width="17.875" style="213" bestFit="1" customWidth="1"/>
    <col min="12028" max="12028" width="9.875" style="213" customWidth="1"/>
    <col min="12029" max="12029" width="8.875" style="213" customWidth="1"/>
    <col min="12030" max="12030" width="7.375" style="213" bestFit="1" customWidth="1"/>
    <col min="12031" max="12031" width="10.125" style="213" bestFit="1" customWidth="1"/>
    <col min="12032" max="12032" width="9.375" style="213"/>
    <col min="12033" max="12033" width="10.125" style="213" bestFit="1" customWidth="1"/>
    <col min="12034" max="12034" width="10.75" style="213" customWidth="1"/>
    <col min="12035" max="12037" width="9.375" style="213"/>
    <col min="12038" max="12039" width="10.75" style="213" customWidth="1"/>
    <col min="12040" max="12044" width="9.375" style="213"/>
    <col min="12045" max="12045" width="1.625" style="213" bestFit="1" customWidth="1"/>
    <col min="12046" max="12046" width="9.375" style="213"/>
    <col min="12047" max="12047" width="8.875" style="213" customWidth="1"/>
    <col min="12048" max="12048" width="13.125" style="213" customWidth="1"/>
    <col min="12049" max="12049" width="9.375" style="213"/>
    <col min="12050" max="12050" width="9.875" style="213" customWidth="1"/>
    <col min="12051" max="12051" width="11.75" style="213" bestFit="1" customWidth="1"/>
    <col min="12052" max="12281" width="9.375" style="213"/>
    <col min="12282" max="12282" width="5" style="213" customWidth="1"/>
    <col min="12283" max="12283" width="17.875" style="213" bestFit="1" customWidth="1"/>
    <col min="12284" max="12284" width="9.875" style="213" customWidth="1"/>
    <col min="12285" max="12285" width="8.875" style="213" customWidth="1"/>
    <col min="12286" max="12286" width="7.375" style="213" bestFit="1" customWidth="1"/>
    <col min="12287" max="12287" width="10.125" style="213" bestFit="1" customWidth="1"/>
    <col min="12288" max="12288" width="9.375" style="213"/>
    <col min="12289" max="12289" width="10.125" style="213" bestFit="1" customWidth="1"/>
    <col min="12290" max="12290" width="10.75" style="213" customWidth="1"/>
    <col min="12291" max="12293" width="9.375" style="213"/>
    <col min="12294" max="12295" width="10.75" style="213" customWidth="1"/>
    <col min="12296" max="12300" width="9.375" style="213"/>
    <col min="12301" max="12301" width="1.625" style="213" bestFit="1" customWidth="1"/>
    <col min="12302" max="12302" width="9.375" style="213"/>
    <col min="12303" max="12303" width="8.875" style="213" customWidth="1"/>
    <col min="12304" max="12304" width="13.125" style="213" customWidth="1"/>
    <col min="12305" max="12305" width="9.375" style="213"/>
    <col min="12306" max="12306" width="9.875" style="213" customWidth="1"/>
    <col min="12307" max="12307" width="11.75" style="213" bestFit="1" customWidth="1"/>
    <col min="12308" max="12537" width="9.375" style="213"/>
    <col min="12538" max="12538" width="5" style="213" customWidth="1"/>
    <col min="12539" max="12539" width="17.875" style="213" bestFit="1" customWidth="1"/>
    <col min="12540" max="12540" width="9.875" style="213" customWidth="1"/>
    <col min="12541" max="12541" width="8.875" style="213" customWidth="1"/>
    <col min="12542" max="12542" width="7.375" style="213" bestFit="1" customWidth="1"/>
    <col min="12543" max="12543" width="10.125" style="213" bestFit="1" customWidth="1"/>
    <col min="12544" max="12544" width="9.375" style="213"/>
    <col min="12545" max="12545" width="10.125" style="213" bestFit="1" customWidth="1"/>
    <col min="12546" max="12546" width="10.75" style="213" customWidth="1"/>
    <col min="12547" max="12549" width="9.375" style="213"/>
    <col min="12550" max="12551" width="10.75" style="213" customWidth="1"/>
    <col min="12552" max="12556" width="9.375" style="213"/>
    <col min="12557" max="12557" width="1.625" style="213" bestFit="1" customWidth="1"/>
    <col min="12558" max="12558" width="9.375" style="213"/>
    <col min="12559" max="12559" width="8.875" style="213" customWidth="1"/>
    <col min="12560" max="12560" width="13.125" style="213" customWidth="1"/>
    <col min="12561" max="12561" width="9.375" style="213"/>
    <col min="12562" max="12562" width="9.875" style="213" customWidth="1"/>
    <col min="12563" max="12563" width="11.75" style="213" bestFit="1" customWidth="1"/>
    <col min="12564" max="12793" width="9.375" style="213"/>
    <col min="12794" max="12794" width="5" style="213" customWidth="1"/>
    <col min="12795" max="12795" width="17.875" style="213" bestFit="1" customWidth="1"/>
    <col min="12796" max="12796" width="9.875" style="213" customWidth="1"/>
    <col min="12797" max="12797" width="8.875" style="213" customWidth="1"/>
    <col min="12798" max="12798" width="7.375" style="213" bestFit="1" customWidth="1"/>
    <col min="12799" max="12799" width="10.125" style="213" bestFit="1" customWidth="1"/>
    <col min="12800" max="12800" width="9.375" style="213"/>
    <col min="12801" max="12801" width="10.125" style="213" bestFit="1" customWidth="1"/>
    <col min="12802" max="12802" width="10.75" style="213" customWidth="1"/>
    <col min="12803" max="12805" width="9.375" style="213"/>
    <col min="12806" max="12807" width="10.75" style="213" customWidth="1"/>
    <col min="12808" max="12812" width="9.375" style="213"/>
    <col min="12813" max="12813" width="1.625" style="213" bestFit="1" customWidth="1"/>
    <col min="12814" max="12814" width="9.375" style="213"/>
    <col min="12815" max="12815" width="8.875" style="213" customWidth="1"/>
    <col min="12816" max="12816" width="13.125" style="213" customWidth="1"/>
    <col min="12817" max="12817" width="9.375" style="213"/>
    <col min="12818" max="12818" width="9.875" style="213" customWidth="1"/>
    <col min="12819" max="12819" width="11.75" style="213" bestFit="1" customWidth="1"/>
    <col min="12820" max="13049" width="9.375" style="213"/>
    <col min="13050" max="13050" width="5" style="213" customWidth="1"/>
    <col min="13051" max="13051" width="17.875" style="213" bestFit="1" customWidth="1"/>
    <col min="13052" max="13052" width="9.875" style="213" customWidth="1"/>
    <col min="13053" max="13053" width="8.875" style="213" customWidth="1"/>
    <col min="13054" max="13054" width="7.375" style="213" bestFit="1" customWidth="1"/>
    <col min="13055" max="13055" width="10.125" style="213" bestFit="1" customWidth="1"/>
    <col min="13056" max="13056" width="9.375" style="213"/>
    <col min="13057" max="13057" width="10.125" style="213" bestFit="1" customWidth="1"/>
    <col min="13058" max="13058" width="10.75" style="213" customWidth="1"/>
    <col min="13059" max="13061" width="9.375" style="213"/>
    <col min="13062" max="13063" width="10.75" style="213" customWidth="1"/>
    <col min="13064" max="13068" width="9.375" style="213"/>
    <col min="13069" max="13069" width="1.625" style="213" bestFit="1" customWidth="1"/>
    <col min="13070" max="13070" width="9.375" style="213"/>
    <col min="13071" max="13071" width="8.875" style="213" customWidth="1"/>
    <col min="13072" max="13072" width="13.125" style="213" customWidth="1"/>
    <col min="13073" max="13073" width="9.375" style="213"/>
    <col min="13074" max="13074" width="9.875" style="213" customWidth="1"/>
    <col min="13075" max="13075" width="11.75" style="213" bestFit="1" customWidth="1"/>
    <col min="13076" max="13305" width="9.375" style="213"/>
    <col min="13306" max="13306" width="5" style="213" customWidth="1"/>
    <col min="13307" max="13307" width="17.875" style="213" bestFit="1" customWidth="1"/>
    <col min="13308" max="13308" width="9.875" style="213" customWidth="1"/>
    <col min="13309" max="13309" width="8.875" style="213" customWidth="1"/>
    <col min="13310" max="13310" width="7.375" style="213" bestFit="1" customWidth="1"/>
    <col min="13311" max="13311" width="10.125" style="213" bestFit="1" customWidth="1"/>
    <col min="13312" max="13312" width="9.375" style="213"/>
    <col min="13313" max="13313" width="10.125" style="213" bestFit="1" customWidth="1"/>
    <col min="13314" max="13314" width="10.75" style="213" customWidth="1"/>
    <col min="13315" max="13317" width="9.375" style="213"/>
    <col min="13318" max="13319" width="10.75" style="213" customWidth="1"/>
    <col min="13320" max="13324" width="9.375" style="213"/>
    <col min="13325" max="13325" width="1.625" style="213" bestFit="1" customWidth="1"/>
    <col min="13326" max="13326" width="9.375" style="213"/>
    <col min="13327" max="13327" width="8.875" style="213" customWidth="1"/>
    <col min="13328" max="13328" width="13.125" style="213" customWidth="1"/>
    <col min="13329" max="13329" width="9.375" style="213"/>
    <col min="13330" max="13330" width="9.875" style="213" customWidth="1"/>
    <col min="13331" max="13331" width="11.75" style="213" bestFit="1" customWidth="1"/>
    <col min="13332" max="13561" width="9.375" style="213"/>
    <col min="13562" max="13562" width="5" style="213" customWidth="1"/>
    <col min="13563" max="13563" width="17.875" style="213" bestFit="1" customWidth="1"/>
    <col min="13564" max="13564" width="9.875" style="213" customWidth="1"/>
    <col min="13565" max="13565" width="8.875" style="213" customWidth="1"/>
    <col min="13566" max="13566" width="7.375" style="213" bestFit="1" customWidth="1"/>
    <col min="13567" max="13567" width="10.125" style="213" bestFit="1" customWidth="1"/>
    <col min="13568" max="13568" width="9.375" style="213"/>
    <col min="13569" max="13569" width="10.125" style="213" bestFit="1" customWidth="1"/>
    <col min="13570" max="13570" width="10.75" style="213" customWidth="1"/>
    <col min="13571" max="13573" width="9.375" style="213"/>
    <col min="13574" max="13575" width="10.75" style="213" customWidth="1"/>
    <col min="13576" max="13580" width="9.375" style="213"/>
    <col min="13581" max="13581" width="1.625" style="213" bestFit="1" customWidth="1"/>
    <col min="13582" max="13582" width="9.375" style="213"/>
    <col min="13583" max="13583" width="8.875" style="213" customWidth="1"/>
    <col min="13584" max="13584" width="13.125" style="213" customWidth="1"/>
    <col min="13585" max="13585" width="9.375" style="213"/>
    <col min="13586" max="13586" width="9.875" style="213" customWidth="1"/>
    <col min="13587" max="13587" width="11.75" style="213" bestFit="1" customWidth="1"/>
    <col min="13588" max="13817" width="9.375" style="213"/>
    <col min="13818" max="13818" width="5" style="213" customWidth="1"/>
    <col min="13819" max="13819" width="17.875" style="213" bestFit="1" customWidth="1"/>
    <col min="13820" max="13820" width="9.875" style="213" customWidth="1"/>
    <col min="13821" max="13821" width="8.875" style="213" customWidth="1"/>
    <col min="13822" max="13822" width="7.375" style="213" bestFit="1" customWidth="1"/>
    <col min="13823" max="13823" width="10.125" style="213" bestFit="1" customWidth="1"/>
    <col min="13824" max="13824" width="9.375" style="213"/>
    <col min="13825" max="13825" width="10.125" style="213" bestFit="1" customWidth="1"/>
    <col min="13826" max="13826" width="10.75" style="213" customWidth="1"/>
    <col min="13827" max="13829" width="9.375" style="213"/>
    <col min="13830" max="13831" width="10.75" style="213" customWidth="1"/>
    <col min="13832" max="13836" width="9.375" style="213"/>
    <col min="13837" max="13837" width="1.625" style="213" bestFit="1" customWidth="1"/>
    <col min="13838" max="13838" width="9.375" style="213"/>
    <col min="13839" max="13839" width="8.875" style="213" customWidth="1"/>
    <col min="13840" max="13840" width="13.125" style="213" customWidth="1"/>
    <col min="13841" max="13841" width="9.375" style="213"/>
    <col min="13842" max="13842" width="9.875" style="213" customWidth="1"/>
    <col min="13843" max="13843" width="11.75" style="213" bestFit="1" customWidth="1"/>
    <col min="13844" max="14073" width="9.375" style="213"/>
    <col min="14074" max="14074" width="5" style="213" customWidth="1"/>
    <col min="14075" max="14075" width="17.875" style="213" bestFit="1" customWidth="1"/>
    <col min="14076" max="14076" width="9.875" style="213" customWidth="1"/>
    <col min="14077" max="14077" width="8.875" style="213" customWidth="1"/>
    <col min="14078" max="14078" width="7.375" style="213" bestFit="1" customWidth="1"/>
    <col min="14079" max="14079" width="10.125" style="213" bestFit="1" customWidth="1"/>
    <col min="14080" max="14080" width="9.375" style="213"/>
    <col min="14081" max="14081" width="10.125" style="213" bestFit="1" customWidth="1"/>
    <col min="14082" max="14082" width="10.75" style="213" customWidth="1"/>
    <col min="14083" max="14085" width="9.375" style="213"/>
    <col min="14086" max="14087" width="10.75" style="213" customWidth="1"/>
    <col min="14088" max="14092" width="9.375" style="213"/>
    <col min="14093" max="14093" width="1.625" style="213" bestFit="1" customWidth="1"/>
    <col min="14094" max="14094" width="9.375" style="213"/>
    <col min="14095" max="14095" width="8.875" style="213" customWidth="1"/>
    <col min="14096" max="14096" width="13.125" style="213" customWidth="1"/>
    <col min="14097" max="14097" width="9.375" style="213"/>
    <col min="14098" max="14098" width="9.875" style="213" customWidth="1"/>
    <col min="14099" max="14099" width="11.75" style="213" bestFit="1" customWidth="1"/>
    <col min="14100" max="14329" width="9.375" style="213"/>
    <col min="14330" max="14330" width="5" style="213" customWidth="1"/>
    <col min="14331" max="14331" width="17.875" style="213" bestFit="1" customWidth="1"/>
    <col min="14332" max="14332" width="9.875" style="213" customWidth="1"/>
    <col min="14333" max="14333" width="8.875" style="213" customWidth="1"/>
    <col min="14334" max="14334" width="7.375" style="213" bestFit="1" customWidth="1"/>
    <col min="14335" max="14335" width="10.125" style="213" bestFit="1" customWidth="1"/>
    <col min="14336" max="14336" width="9.375" style="213"/>
    <col min="14337" max="14337" width="10.125" style="213" bestFit="1" customWidth="1"/>
    <col min="14338" max="14338" width="10.75" style="213" customWidth="1"/>
    <col min="14339" max="14341" width="9.375" style="213"/>
    <col min="14342" max="14343" width="10.75" style="213" customWidth="1"/>
    <col min="14344" max="14348" width="9.375" style="213"/>
    <col min="14349" max="14349" width="1.625" style="213" bestFit="1" customWidth="1"/>
    <col min="14350" max="14350" width="9.375" style="213"/>
    <col min="14351" max="14351" width="8.875" style="213" customWidth="1"/>
    <col min="14352" max="14352" width="13.125" style="213" customWidth="1"/>
    <col min="14353" max="14353" width="9.375" style="213"/>
    <col min="14354" max="14354" width="9.875" style="213" customWidth="1"/>
    <col min="14355" max="14355" width="11.75" style="213" bestFit="1" customWidth="1"/>
    <col min="14356" max="14585" width="9.375" style="213"/>
    <col min="14586" max="14586" width="5" style="213" customWidth="1"/>
    <col min="14587" max="14587" width="17.875" style="213" bestFit="1" customWidth="1"/>
    <col min="14588" max="14588" width="9.875" style="213" customWidth="1"/>
    <col min="14589" max="14589" width="8.875" style="213" customWidth="1"/>
    <col min="14590" max="14590" width="7.375" style="213" bestFit="1" customWidth="1"/>
    <col min="14591" max="14591" width="10.125" style="213" bestFit="1" customWidth="1"/>
    <col min="14592" max="14592" width="9.375" style="213"/>
    <col min="14593" max="14593" width="10.125" style="213" bestFit="1" customWidth="1"/>
    <col min="14594" max="14594" width="10.75" style="213" customWidth="1"/>
    <col min="14595" max="14597" width="9.375" style="213"/>
    <col min="14598" max="14599" width="10.75" style="213" customWidth="1"/>
    <col min="14600" max="14604" width="9.375" style="213"/>
    <col min="14605" max="14605" width="1.625" style="213" bestFit="1" customWidth="1"/>
    <col min="14606" max="14606" width="9.375" style="213"/>
    <col min="14607" max="14607" width="8.875" style="213" customWidth="1"/>
    <col min="14608" max="14608" width="13.125" style="213" customWidth="1"/>
    <col min="14609" max="14609" width="9.375" style="213"/>
    <col min="14610" max="14610" width="9.875" style="213" customWidth="1"/>
    <col min="14611" max="14611" width="11.75" style="213" bestFit="1" customWidth="1"/>
    <col min="14612" max="14841" width="9.375" style="213"/>
    <col min="14842" max="14842" width="5" style="213" customWidth="1"/>
    <col min="14843" max="14843" width="17.875" style="213" bestFit="1" customWidth="1"/>
    <col min="14844" max="14844" width="9.875" style="213" customWidth="1"/>
    <col min="14845" max="14845" width="8.875" style="213" customWidth="1"/>
    <col min="14846" max="14846" width="7.375" style="213" bestFit="1" customWidth="1"/>
    <col min="14847" max="14847" width="10.125" style="213" bestFit="1" customWidth="1"/>
    <col min="14848" max="14848" width="9.375" style="213"/>
    <col min="14849" max="14849" width="10.125" style="213" bestFit="1" customWidth="1"/>
    <col min="14850" max="14850" width="10.75" style="213" customWidth="1"/>
    <col min="14851" max="14853" width="9.375" style="213"/>
    <col min="14854" max="14855" width="10.75" style="213" customWidth="1"/>
    <col min="14856" max="14860" width="9.375" style="213"/>
    <col min="14861" max="14861" width="1.625" style="213" bestFit="1" customWidth="1"/>
    <col min="14862" max="14862" width="9.375" style="213"/>
    <col min="14863" max="14863" width="8.875" style="213" customWidth="1"/>
    <col min="14864" max="14864" width="13.125" style="213" customWidth="1"/>
    <col min="14865" max="14865" width="9.375" style="213"/>
    <col min="14866" max="14866" width="9.875" style="213" customWidth="1"/>
    <col min="14867" max="14867" width="11.75" style="213" bestFit="1" customWidth="1"/>
    <col min="14868" max="15097" width="9.375" style="213"/>
    <col min="15098" max="15098" width="5" style="213" customWidth="1"/>
    <col min="15099" max="15099" width="17.875" style="213" bestFit="1" customWidth="1"/>
    <col min="15100" max="15100" width="9.875" style="213" customWidth="1"/>
    <col min="15101" max="15101" width="8.875" style="213" customWidth="1"/>
    <col min="15102" max="15102" width="7.375" style="213" bestFit="1" customWidth="1"/>
    <col min="15103" max="15103" width="10.125" style="213" bestFit="1" customWidth="1"/>
    <col min="15104" max="15104" width="9.375" style="213"/>
    <col min="15105" max="15105" width="10.125" style="213" bestFit="1" customWidth="1"/>
    <col min="15106" max="15106" width="10.75" style="213" customWidth="1"/>
    <col min="15107" max="15109" width="9.375" style="213"/>
    <col min="15110" max="15111" width="10.75" style="213" customWidth="1"/>
    <col min="15112" max="15116" width="9.375" style="213"/>
    <col min="15117" max="15117" width="1.625" style="213" bestFit="1" customWidth="1"/>
    <col min="15118" max="15118" width="9.375" style="213"/>
    <col min="15119" max="15119" width="8.875" style="213" customWidth="1"/>
    <col min="15120" max="15120" width="13.125" style="213" customWidth="1"/>
    <col min="15121" max="15121" width="9.375" style="213"/>
    <col min="15122" max="15122" width="9.875" style="213" customWidth="1"/>
    <col min="15123" max="15123" width="11.75" style="213" bestFit="1" customWidth="1"/>
    <col min="15124" max="15353" width="9.375" style="213"/>
    <col min="15354" max="15354" width="5" style="213" customWidth="1"/>
    <col min="15355" max="15355" width="17.875" style="213" bestFit="1" customWidth="1"/>
    <col min="15356" max="15356" width="9.875" style="213" customWidth="1"/>
    <col min="15357" max="15357" width="8.875" style="213" customWidth="1"/>
    <col min="15358" max="15358" width="7.375" style="213" bestFit="1" customWidth="1"/>
    <col min="15359" max="15359" width="10.125" style="213" bestFit="1" customWidth="1"/>
    <col min="15360" max="15360" width="9.375" style="213"/>
    <col min="15361" max="15361" width="10.125" style="213" bestFit="1" customWidth="1"/>
    <col min="15362" max="15362" width="10.75" style="213" customWidth="1"/>
    <col min="15363" max="15365" width="9.375" style="213"/>
    <col min="15366" max="15367" width="10.75" style="213" customWidth="1"/>
    <col min="15368" max="15372" width="9.375" style="213"/>
    <col min="15373" max="15373" width="1.625" style="213" bestFit="1" customWidth="1"/>
    <col min="15374" max="15374" width="9.375" style="213"/>
    <col min="15375" max="15375" width="8.875" style="213" customWidth="1"/>
    <col min="15376" max="15376" width="13.125" style="213" customWidth="1"/>
    <col min="15377" max="15377" width="9.375" style="213"/>
    <col min="15378" max="15378" width="9.875" style="213" customWidth="1"/>
    <col min="15379" max="15379" width="11.75" style="213" bestFit="1" customWidth="1"/>
    <col min="15380" max="15609" width="9.375" style="213"/>
    <col min="15610" max="15610" width="5" style="213" customWidth="1"/>
    <col min="15611" max="15611" width="17.875" style="213" bestFit="1" customWidth="1"/>
    <col min="15612" max="15612" width="9.875" style="213" customWidth="1"/>
    <col min="15613" max="15613" width="8.875" style="213" customWidth="1"/>
    <col min="15614" max="15614" width="7.375" style="213" bestFit="1" customWidth="1"/>
    <col min="15615" max="15615" width="10.125" style="213" bestFit="1" customWidth="1"/>
    <col min="15616" max="15616" width="9.375" style="213"/>
    <col min="15617" max="15617" width="10.125" style="213" bestFit="1" customWidth="1"/>
    <col min="15618" max="15618" width="10.75" style="213" customWidth="1"/>
    <col min="15619" max="15621" width="9.375" style="213"/>
    <col min="15622" max="15623" width="10.75" style="213" customWidth="1"/>
    <col min="15624" max="15628" width="9.375" style="213"/>
    <col min="15629" max="15629" width="1.625" style="213" bestFit="1" customWidth="1"/>
    <col min="15630" max="15630" width="9.375" style="213"/>
    <col min="15631" max="15631" width="8.875" style="213" customWidth="1"/>
    <col min="15632" max="15632" width="13.125" style="213" customWidth="1"/>
    <col min="15633" max="15633" width="9.375" style="213"/>
    <col min="15634" max="15634" width="9.875" style="213" customWidth="1"/>
    <col min="15635" max="15635" width="11.75" style="213" bestFit="1" customWidth="1"/>
    <col min="15636" max="15865" width="9.375" style="213"/>
    <col min="15866" max="15866" width="5" style="213" customWidth="1"/>
    <col min="15867" max="15867" width="17.875" style="213" bestFit="1" customWidth="1"/>
    <col min="15868" max="15868" width="9.875" style="213" customWidth="1"/>
    <col min="15869" max="15869" width="8.875" style="213" customWidth="1"/>
    <col min="15870" max="15870" width="7.375" style="213" bestFit="1" customWidth="1"/>
    <col min="15871" max="15871" width="10.125" style="213" bestFit="1" customWidth="1"/>
    <col min="15872" max="15872" width="9.375" style="213"/>
    <col min="15873" max="15873" width="10.125" style="213" bestFit="1" customWidth="1"/>
    <col min="15874" max="15874" width="10.75" style="213" customWidth="1"/>
    <col min="15875" max="15877" width="9.375" style="213"/>
    <col min="15878" max="15879" width="10.75" style="213" customWidth="1"/>
    <col min="15880" max="15884" width="9.375" style="213"/>
    <col min="15885" max="15885" width="1.625" style="213" bestFit="1" customWidth="1"/>
    <col min="15886" max="15886" width="9.375" style="213"/>
    <col min="15887" max="15887" width="8.875" style="213" customWidth="1"/>
    <col min="15888" max="15888" width="13.125" style="213" customWidth="1"/>
    <col min="15889" max="15889" width="9.375" style="213"/>
    <col min="15890" max="15890" width="9.875" style="213" customWidth="1"/>
    <col min="15891" max="15891" width="11.75" style="213" bestFit="1" customWidth="1"/>
    <col min="15892" max="16121" width="9.375" style="213"/>
    <col min="16122" max="16122" width="5" style="213" customWidth="1"/>
    <col min="16123" max="16123" width="17.875" style="213" bestFit="1" customWidth="1"/>
    <col min="16124" max="16124" width="9.875" style="213" customWidth="1"/>
    <col min="16125" max="16125" width="8.875" style="213" customWidth="1"/>
    <col min="16126" max="16126" width="7.375" style="213" bestFit="1" customWidth="1"/>
    <col min="16127" max="16127" width="10.125" style="213" bestFit="1" customWidth="1"/>
    <col min="16128" max="16128" width="9.375" style="213"/>
    <col min="16129" max="16129" width="10.125" style="213" bestFit="1" customWidth="1"/>
    <col min="16130" max="16130" width="10.75" style="213" customWidth="1"/>
    <col min="16131" max="16133" width="9.375" style="213"/>
    <col min="16134" max="16135" width="10.75" style="213" customWidth="1"/>
    <col min="16136" max="16140" width="9.375" style="213"/>
    <col min="16141" max="16141" width="1.625" style="213" bestFit="1" customWidth="1"/>
    <col min="16142" max="16142" width="9.375" style="213"/>
    <col min="16143" max="16143" width="8.875" style="213" customWidth="1"/>
    <col min="16144" max="16144" width="13.125" style="213" customWidth="1"/>
    <col min="16145" max="16145" width="9.375" style="213"/>
    <col min="16146" max="16146" width="9.875" style="213" customWidth="1"/>
    <col min="16147" max="16147" width="11.75" style="213" bestFit="1" customWidth="1"/>
    <col min="16148" max="16384" width="9.375" style="213"/>
  </cols>
  <sheetData>
    <row r="1" spans="1:22" s="43" customFormat="1" ht="21" x14ac:dyDescent="0.2">
      <c r="A1" s="202" t="s">
        <v>488</v>
      </c>
      <c r="B1" s="42"/>
      <c r="C1" s="42"/>
      <c r="D1" s="208"/>
      <c r="E1" s="208"/>
      <c r="F1" s="208"/>
      <c r="G1" s="208"/>
      <c r="H1" s="209"/>
      <c r="I1" s="209"/>
      <c r="J1" s="209"/>
      <c r="K1" s="209"/>
      <c r="L1" s="209"/>
      <c r="M1" s="209"/>
      <c r="O1" s="209"/>
      <c r="P1" s="210"/>
      <c r="Q1" s="56"/>
      <c r="R1" s="210"/>
      <c r="S1" s="210"/>
      <c r="T1" s="56"/>
      <c r="U1" s="56"/>
      <c r="V1" s="56"/>
    </row>
    <row r="2" spans="1:22" s="53" customFormat="1" ht="21" x14ac:dyDescent="0.35">
      <c r="A2" s="25" t="str">
        <f>Paramètres!B5</f>
        <v>Acomptes 2021</v>
      </c>
      <c r="P2" s="212"/>
      <c r="Q2" s="211"/>
      <c r="R2" s="212"/>
      <c r="S2" s="212"/>
      <c r="T2" s="211"/>
      <c r="U2" s="211"/>
      <c r="V2" s="211"/>
    </row>
    <row r="4" spans="1:22" s="225" customFormat="1" ht="120" x14ac:dyDescent="0.2">
      <c r="A4" s="525" t="s">
        <v>46</v>
      </c>
      <c r="B4" s="525" t="s">
        <v>95</v>
      </c>
      <c r="C4" s="525" t="s">
        <v>483</v>
      </c>
      <c r="D4" s="525" t="s">
        <v>303</v>
      </c>
      <c r="E4" s="525" t="s">
        <v>479</v>
      </c>
      <c r="F4" s="525" t="s">
        <v>484</v>
      </c>
      <c r="G4" s="525" t="s">
        <v>449</v>
      </c>
      <c r="H4" s="527" t="s">
        <v>340</v>
      </c>
      <c r="I4" s="228" t="s">
        <v>489</v>
      </c>
      <c r="J4" s="525" t="s">
        <v>531</v>
      </c>
      <c r="K4" s="525" t="s">
        <v>485</v>
      </c>
      <c r="L4" s="525" t="s">
        <v>486</v>
      </c>
      <c r="M4" s="525" t="s">
        <v>541</v>
      </c>
      <c r="N4" s="228" t="s">
        <v>540</v>
      </c>
      <c r="O4" s="525" t="s">
        <v>487</v>
      </c>
      <c r="P4" s="223"/>
      <c r="Q4" s="222"/>
      <c r="R4" s="223"/>
      <c r="S4" s="224"/>
      <c r="T4" s="222"/>
      <c r="U4" s="222"/>
      <c r="V4" s="222"/>
    </row>
    <row r="5" spans="1:22" s="225" customFormat="1" x14ac:dyDescent="0.2">
      <c r="A5" s="526"/>
      <c r="B5" s="526"/>
      <c r="C5" s="526"/>
      <c r="D5" s="526"/>
      <c r="E5" s="526"/>
      <c r="F5" s="526"/>
      <c r="G5" s="526"/>
      <c r="H5" s="528"/>
      <c r="I5" s="437">
        <f>Paramètres!B66</f>
        <v>2</v>
      </c>
      <c r="J5" s="526"/>
      <c r="K5" s="526"/>
      <c r="L5" s="526"/>
      <c r="M5" s="526"/>
      <c r="N5" s="436">
        <f>+N314/M314</f>
        <v>1.2850971235505477</v>
      </c>
      <c r="O5" s="526"/>
      <c r="P5" s="224"/>
      <c r="Q5" s="222"/>
      <c r="R5" s="224"/>
      <c r="S5" s="224"/>
      <c r="T5" s="222"/>
      <c r="U5" s="222"/>
      <c r="V5" s="222"/>
    </row>
    <row r="6" spans="1:22" x14ac:dyDescent="0.25">
      <c r="A6" s="305">
        <f>'A) Base RI'!A7</f>
        <v>5401</v>
      </c>
      <c r="B6" s="226" t="str">
        <f>'A) Base RI'!B7</f>
        <v>Aigle</v>
      </c>
      <c r="C6" s="242">
        <v>1</v>
      </c>
      <c r="D6" s="216">
        <f>'B) D RI'!AA7</f>
        <v>10217</v>
      </c>
      <c r="E6" s="217">
        <f>'B) D RI'!S7</f>
        <v>67.5</v>
      </c>
      <c r="F6" s="10">
        <f>'B) D RI'!R7</f>
        <v>18478601.069364443</v>
      </c>
      <c r="G6" s="10">
        <f>'B) D RI'!U7</f>
        <v>273757.05287947325</v>
      </c>
      <c r="H6" s="41">
        <f>'B) D RI'!T7</f>
        <v>16477280.902697777</v>
      </c>
      <c r="I6" s="54">
        <f>+H6/E6*$I$5</f>
        <v>488215.73045030452</v>
      </c>
      <c r="J6" s="86">
        <f t="shared" ref="J6:J36" si="0">+$I$314/$D$314*D6</f>
        <v>869838.11698114744</v>
      </c>
      <c r="K6" s="54">
        <f t="shared" ref="K6:K68" si="1">IF(C6=1,0,IF(J6&gt;I6,I6,J6))</f>
        <v>0</v>
      </c>
      <c r="L6" s="54">
        <f>+J6-K6</f>
        <v>869838.11698114744</v>
      </c>
      <c r="M6" s="54">
        <f>'D) Ecrêtage'!C5</f>
        <v>273757.05287947325</v>
      </c>
      <c r="N6" s="54">
        <f t="shared" ref="N6:N36" si="2">+$N$5*M6</f>
        <v>351804.40120708628</v>
      </c>
      <c r="O6" s="100">
        <f>+N6+K6</f>
        <v>351804.40120708628</v>
      </c>
      <c r="P6" s="429"/>
      <c r="Q6" s="219"/>
      <c r="T6" s="220"/>
    </row>
    <row r="7" spans="1:22" x14ac:dyDescent="0.25">
      <c r="A7" s="306">
        <f>'A) Base RI'!A8</f>
        <v>5402</v>
      </c>
      <c r="B7" s="227" t="str">
        <f>'A) Base RI'!B8</f>
        <v>Bex</v>
      </c>
      <c r="C7" s="243">
        <v>1</v>
      </c>
      <c r="D7" s="216">
        <f>'B) D RI'!AA8</f>
        <v>7869</v>
      </c>
      <c r="E7" s="217">
        <f>'B) D RI'!S8</f>
        <v>71</v>
      </c>
      <c r="F7" s="10">
        <f>'B) D RI'!R8</f>
        <v>13149301.530495444</v>
      </c>
      <c r="G7" s="10">
        <f>'B) D RI'!U8</f>
        <v>185201.4300069781</v>
      </c>
      <c r="H7" s="41">
        <f>'B) D RI'!T8</f>
        <v>11771572.510495443</v>
      </c>
      <c r="I7" s="10">
        <f t="shared" ref="I7:I69" si="3">+H7/E7*$I$5</f>
        <v>331593.59184494207</v>
      </c>
      <c r="J7" s="31">
        <f t="shared" si="0"/>
        <v>669937.96050941071</v>
      </c>
      <c r="K7" s="10">
        <f t="shared" si="1"/>
        <v>0</v>
      </c>
      <c r="L7" s="10">
        <f t="shared" ref="L7:L69" si="4">+J7-K7</f>
        <v>669937.96050941071</v>
      </c>
      <c r="M7" s="10">
        <f>'D) Ecrêtage'!C6</f>
        <v>185201.4300069781</v>
      </c>
      <c r="N7" s="10">
        <f t="shared" si="2"/>
        <v>238001.82497941566</v>
      </c>
      <c r="O7" s="55">
        <f t="shared" ref="O7:O68" si="5">+N7+K7</f>
        <v>238001.82497941566</v>
      </c>
      <c r="P7" s="218"/>
      <c r="Q7" s="219"/>
      <c r="T7" s="220"/>
    </row>
    <row r="8" spans="1:22" x14ac:dyDescent="0.25">
      <c r="A8" s="306">
        <f>'A) Base RI'!A9</f>
        <v>5403</v>
      </c>
      <c r="B8" s="227" t="str">
        <f>'A) Base RI'!B9</f>
        <v>Chessel</v>
      </c>
      <c r="C8" s="243">
        <v>0</v>
      </c>
      <c r="D8" s="216">
        <f>'B) D RI'!AA9</f>
        <v>429</v>
      </c>
      <c r="E8" s="217">
        <f>'B) D RI'!S9</f>
        <v>74</v>
      </c>
      <c r="F8" s="10">
        <f>'B) D RI'!R9</f>
        <v>791043.76929966535</v>
      </c>
      <c r="G8" s="10">
        <f>'B) D RI'!U9</f>
        <v>10689.780666211695</v>
      </c>
      <c r="H8" s="41">
        <f>'B) D RI'!T9</f>
        <v>719742.36929966533</v>
      </c>
      <c r="I8" s="10">
        <f t="shared" si="3"/>
        <v>19452.496467558522</v>
      </c>
      <c r="J8" s="31">
        <f t="shared" si="0"/>
        <v>36523.495368984266</v>
      </c>
      <c r="K8" s="10">
        <f t="shared" si="1"/>
        <v>19452.496467558522</v>
      </c>
      <c r="L8" s="10">
        <f t="shared" si="4"/>
        <v>17070.998901425744</v>
      </c>
      <c r="M8" s="10">
        <f>'D) Ecrêtage'!C7</f>
        <v>10689.780666211695</v>
      </c>
      <c r="N8" s="10">
        <f t="shared" si="2"/>
        <v>13737.406385534907</v>
      </c>
      <c r="O8" s="55">
        <f t="shared" si="5"/>
        <v>33189.90285309343</v>
      </c>
      <c r="P8" s="430"/>
      <c r="Q8" s="219"/>
      <c r="T8" s="220"/>
    </row>
    <row r="9" spans="1:22" x14ac:dyDescent="0.25">
      <c r="A9" s="306">
        <f>'A) Base RI'!A10</f>
        <v>5404</v>
      </c>
      <c r="B9" s="227" t="str">
        <f>'A) Base RI'!B10</f>
        <v>Corbeyrier</v>
      </c>
      <c r="C9" s="243">
        <v>0</v>
      </c>
      <c r="D9" s="216">
        <f>'B) D RI'!AA10</f>
        <v>437</v>
      </c>
      <c r="E9" s="217">
        <f>'B) D RI'!S10</f>
        <v>74</v>
      </c>
      <c r="F9" s="10">
        <f>'B) D RI'!R10</f>
        <v>1079788.8221718133</v>
      </c>
      <c r="G9" s="10">
        <f>'B) D RI'!U10</f>
        <v>14591.74084015964</v>
      </c>
      <c r="H9" s="41">
        <f>'B) D RI'!T10</f>
        <v>995962.63883847999</v>
      </c>
      <c r="I9" s="10">
        <f t="shared" si="3"/>
        <v>26917.909157796756</v>
      </c>
      <c r="J9" s="31">
        <f t="shared" si="0"/>
        <v>37204.586191715905</v>
      </c>
      <c r="K9" s="10">
        <f t="shared" si="1"/>
        <v>26917.909157796756</v>
      </c>
      <c r="L9" s="10">
        <f t="shared" si="4"/>
        <v>10286.67703391915</v>
      </c>
      <c r="M9" s="10">
        <f>'D) Ecrêtage'!C8</f>
        <v>14591.74084015964</v>
      </c>
      <c r="N9" s="10">
        <f t="shared" si="2"/>
        <v>18751.804181284206</v>
      </c>
      <c r="O9" s="55">
        <f t="shared" si="5"/>
        <v>45669.713339080961</v>
      </c>
      <c r="P9" s="218"/>
      <c r="Q9" s="219"/>
      <c r="T9" s="220"/>
    </row>
    <row r="10" spans="1:22" x14ac:dyDescent="0.25">
      <c r="A10" s="306">
        <f>'A) Base RI'!A11</f>
        <v>5405</v>
      </c>
      <c r="B10" s="227" t="str">
        <f>'A) Base RI'!B11</f>
        <v>Gryon</v>
      </c>
      <c r="C10" s="243">
        <v>0</v>
      </c>
      <c r="D10" s="216">
        <f>'B) D RI'!AA11</f>
        <v>1347</v>
      </c>
      <c r="E10" s="217">
        <f>'B) D RI'!S11</f>
        <v>75</v>
      </c>
      <c r="F10" s="10">
        <f>'B) D RI'!R11</f>
        <v>4922184.3953486737</v>
      </c>
      <c r="G10" s="10">
        <f>'B) D RI'!U11</f>
        <v>65629.125271315643</v>
      </c>
      <c r="H10" s="41">
        <f>'B) D RI'!T11</f>
        <v>4391012.1286820062</v>
      </c>
      <c r="I10" s="10">
        <f t="shared" si="3"/>
        <v>117093.6567648535</v>
      </c>
      <c r="J10" s="31">
        <f t="shared" si="0"/>
        <v>114678.66727744011</v>
      </c>
      <c r="K10" s="10">
        <f t="shared" si="1"/>
        <v>114678.66727744011</v>
      </c>
      <c r="L10" s="10">
        <f t="shared" si="4"/>
        <v>0</v>
      </c>
      <c r="M10" s="10">
        <f>'D) Ecrêtage'!C9</f>
        <v>65629.125271315643</v>
      </c>
      <c r="N10" s="10">
        <f t="shared" si="2"/>
        <v>84339.800107306291</v>
      </c>
      <c r="O10" s="55">
        <f t="shared" si="5"/>
        <v>199018.46738474641</v>
      </c>
      <c r="P10" s="218"/>
      <c r="Q10" s="219"/>
      <c r="T10" s="220"/>
    </row>
    <row r="11" spans="1:22" x14ac:dyDescent="0.25">
      <c r="A11" s="306">
        <f>'A) Base RI'!A12</f>
        <v>5406</v>
      </c>
      <c r="B11" s="227" t="str">
        <f>'A) Base RI'!B12</f>
        <v>Lavey-Morcles</v>
      </c>
      <c r="C11" s="243">
        <v>0</v>
      </c>
      <c r="D11" s="216">
        <f>'B) D RI'!AA12</f>
        <v>931</v>
      </c>
      <c r="E11" s="217">
        <f>'B) D RI'!S12</f>
        <v>71</v>
      </c>
      <c r="F11" s="10">
        <f>'B) D RI'!R12</f>
        <v>1748660.8920316712</v>
      </c>
      <c r="G11" s="10">
        <f>'B) D RI'!U12</f>
        <v>24629.026648333398</v>
      </c>
      <c r="H11" s="41">
        <f>'B) D RI'!T12</f>
        <v>1589407.749723979</v>
      </c>
      <c r="I11" s="10">
        <f t="shared" si="3"/>
        <v>44772.049287999413</v>
      </c>
      <c r="J11" s="31">
        <f t="shared" si="0"/>
        <v>79261.944495394753</v>
      </c>
      <c r="K11" s="10">
        <f t="shared" si="1"/>
        <v>44772.049287999413</v>
      </c>
      <c r="L11" s="10">
        <f t="shared" si="4"/>
        <v>34489.895207395341</v>
      </c>
      <c r="M11" s="10">
        <f>'D) Ecrêtage'!C10</f>
        <v>24629.026648333398</v>
      </c>
      <c r="N11" s="10">
        <f t="shared" si="2"/>
        <v>31650.691301623036</v>
      </c>
      <c r="O11" s="55">
        <f t="shared" si="5"/>
        <v>76422.740589622452</v>
      </c>
      <c r="P11" s="218"/>
      <c r="Q11" s="219"/>
      <c r="T11" s="220"/>
    </row>
    <row r="12" spans="1:22" x14ac:dyDescent="0.25">
      <c r="A12" s="306">
        <f>'A) Base RI'!A13</f>
        <v>5407</v>
      </c>
      <c r="B12" s="227" t="str">
        <f>'A) Base RI'!B13</f>
        <v>Leysin</v>
      </c>
      <c r="C12" s="243">
        <v>0</v>
      </c>
      <c r="D12" s="216">
        <f>'B) D RI'!AA13</f>
        <v>3776</v>
      </c>
      <c r="E12" s="217">
        <f>'B) D RI'!S13</f>
        <v>78</v>
      </c>
      <c r="F12" s="10">
        <f>'B) D RI'!R13</f>
        <v>6941176.991457832</v>
      </c>
      <c r="G12" s="10">
        <f>'B) D RI'!U13</f>
        <v>88989.44860843374</v>
      </c>
      <c r="H12" s="41">
        <f>'B) D RI'!T13</f>
        <v>6077165.4581244988</v>
      </c>
      <c r="I12" s="10">
        <f t="shared" si="3"/>
        <v>155824.75533652562</v>
      </c>
      <c r="J12" s="31">
        <f t="shared" si="0"/>
        <v>321474.86832933471</v>
      </c>
      <c r="K12" s="10">
        <f t="shared" si="1"/>
        <v>155824.75533652562</v>
      </c>
      <c r="L12" s="10">
        <f t="shared" si="4"/>
        <v>165650.1129928091</v>
      </c>
      <c r="M12" s="10">
        <f>'D) Ecrêtage'!C11</f>
        <v>88989.44860843374</v>
      </c>
      <c r="N12" s="10">
        <f t="shared" si="2"/>
        <v>114360.08443304749</v>
      </c>
      <c r="O12" s="55">
        <f t="shared" si="5"/>
        <v>270184.83976957313</v>
      </c>
      <c r="P12" s="218"/>
      <c r="Q12" s="219"/>
      <c r="T12" s="220"/>
    </row>
    <row r="13" spans="1:22" x14ac:dyDescent="0.25">
      <c r="A13" s="306">
        <f>'A) Base RI'!A14</f>
        <v>5408</v>
      </c>
      <c r="B13" s="227" t="str">
        <f>'A) Base RI'!B14</f>
        <v>Noville</v>
      </c>
      <c r="C13" s="243">
        <v>0</v>
      </c>
      <c r="D13" s="216">
        <f>'B) D RI'!AA14</f>
        <v>1167</v>
      </c>
      <c r="E13" s="217">
        <f>'B) D RI'!S14</f>
        <v>78.5</v>
      </c>
      <c r="F13" s="10">
        <f>'B) D RI'!R14</f>
        <v>2219237.3733333331</v>
      </c>
      <c r="G13" s="10">
        <f>'B) D RI'!U14</f>
        <v>28270.539787685771</v>
      </c>
      <c r="H13" s="41">
        <f>'B) D RI'!T14</f>
        <v>1925852.89</v>
      </c>
      <c r="I13" s="10">
        <f t="shared" si="3"/>
        <v>49066.315668789808</v>
      </c>
      <c r="J13" s="31">
        <f t="shared" si="0"/>
        <v>99354.123765978176</v>
      </c>
      <c r="K13" s="10">
        <f t="shared" si="1"/>
        <v>49066.315668789808</v>
      </c>
      <c r="L13" s="10">
        <f t="shared" si="4"/>
        <v>50287.808097188368</v>
      </c>
      <c r="M13" s="10">
        <f>'D) Ecrêtage'!C12</f>
        <v>28270.539787685771</v>
      </c>
      <c r="N13" s="10">
        <f t="shared" si="2"/>
        <v>36330.3893623763</v>
      </c>
      <c r="O13" s="55">
        <f t="shared" si="5"/>
        <v>85396.705031166115</v>
      </c>
      <c r="P13" s="218"/>
      <c r="Q13" s="219"/>
      <c r="T13" s="220"/>
    </row>
    <row r="14" spans="1:22" x14ac:dyDescent="0.25">
      <c r="A14" s="306">
        <f>'A) Base RI'!A15</f>
        <v>5409</v>
      </c>
      <c r="B14" s="227" t="str">
        <f>'A) Base RI'!B15</f>
        <v>Ollon</v>
      </c>
      <c r="C14" s="243">
        <v>1</v>
      </c>
      <c r="D14" s="216">
        <f>'B) D RI'!AA15</f>
        <v>7560</v>
      </c>
      <c r="E14" s="217">
        <f>'B) D RI'!S15</f>
        <v>68</v>
      </c>
      <c r="F14" s="10">
        <f>'B) D RI'!R15</f>
        <v>27069365.738232393</v>
      </c>
      <c r="G14" s="10">
        <f>'B) D RI'!U15</f>
        <v>398078.90791518224</v>
      </c>
      <c r="H14" s="41">
        <f>'B) D RI'!T15</f>
        <v>23865002.922847778</v>
      </c>
      <c r="I14" s="10">
        <f t="shared" si="3"/>
        <v>701911.85067199345</v>
      </c>
      <c r="J14" s="31">
        <f t="shared" si="0"/>
        <v>643630.82748140104</v>
      </c>
      <c r="K14" s="10">
        <f t="shared" si="1"/>
        <v>0</v>
      </c>
      <c r="L14" s="10">
        <f t="shared" si="4"/>
        <v>643630.82748140104</v>
      </c>
      <c r="M14" s="10">
        <f>'D) Ecrêtage'!C13</f>
        <v>398078.90791518224</v>
      </c>
      <c r="N14" s="10">
        <f t="shared" si="2"/>
        <v>511570.05950794404</v>
      </c>
      <c r="O14" s="55">
        <f t="shared" si="5"/>
        <v>511570.05950794404</v>
      </c>
      <c r="P14" s="218"/>
      <c r="Q14" s="219"/>
      <c r="T14" s="220"/>
    </row>
    <row r="15" spans="1:22" x14ac:dyDescent="0.25">
      <c r="A15" s="306">
        <f>'A) Base RI'!A16</f>
        <v>5410</v>
      </c>
      <c r="B15" s="227" t="str">
        <f>'A) Base RI'!B16</f>
        <v>Ormont-Dessous</v>
      </c>
      <c r="C15" s="243">
        <v>0</v>
      </c>
      <c r="D15" s="216">
        <f>'B) D RI'!AA16</f>
        <v>1141</v>
      </c>
      <c r="E15" s="217">
        <f>'B) D RI'!S16</f>
        <v>78.5</v>
      </c>
      <c r="F15" s="10">
        <f>'B) D RI'!R16</f>
        <v>2999423.6533333338</v>
      </c>
      <c r="G15" s="10">
        <f>'B) D RI'!U16</f>
        <v>38209.218513800428</v>
      </c>
      <c r="H15" s="41">
        <f>'B) D RI'!T16</f>
        <v>2604810.6600000006</v>
      </c>
      <c r="I15" s="10">
        <f t="shared" si="3"/>
        <v>66364.602802547786</v>
      </c>
      <c r="J15" s="31">
        <f t="shared" si="0"/>
        <v>97140.578592100341</v>
      </c>
      <c r="K15" s="10">
        <f t="shared" si="1"/>
        <v>66364.602802547786</v>
      </c>
      <c r="L15" s="10">
        <f t="shared" si="4"/>
        <v>30775.975789552554</v>
      </c>
      <c r="M15" s="10">
        <f>'D) Ecrêtage'!C14</f>
        <v>38209.218513800428</v>
      </c>
      <c r="N15" s="10">
        <f t="shared" si="2"/>
        <v>49102.556805199267</v>
      </c>
      <c r="O15" s="55">
        <f t="shared" si="5"/>
        <v>115467.15960774705</v>
      </c>
      <c r="P15" s="218"/>
      <c r="Q15" s="219"/>
      <c r="T15" s="220"/>
    </row>
    <row r="16" spans="1:22" s="214" customFormat="1" x14ac:dyDescent="0.25">
      <c r="A16" s="306">
        <f>'A) Base RI'!A17</f>
        <v>5411</v>
      </c>
      <c r="B16" s="227" t="str">
        <f>'A) Base RI'!B17</f>
        <v>Ormont-Dessus</v>
      </c>
      <c r="C16" s="243">
        <v>0</v>
      </c>
      <c r="D16" s="216">
        <f>'B) D RI'!AA17</f>
        <v>1434</v>
      </c>
      <c r="E16" s="217">
        <f>'B) D RI'!S17</f>
        <v>76</v>
      </c>
      <c r="F16" s="10">
        <f>'B) D RI'!R17</f>
        <v>5553643.1375478394</v>
      </c>
      <c r="G16" s="10">
        <f>'B) D RI'!U17</f>
        <v>73074.251809839989</v>
      </c>
      <c r="H16" s="41">
        <f>'B) D RI'!T17</f>
        <v>4696346.23754784</v>
      </c>
      <c r="I16" s="10">
        <f t="shared" si="3"/>
        <v>123588.0588828379</v>
      </c>
      <c r="J16" s="31">
        <f t="shared" si="0"/>
        <v>122085.52997464671</v>
      </c>
      <c r="K16" s="10">
        <f t="shared" si="1"/>
        <v>122085.52997464671</v>
      </c>
      <c r="L16" s="10">
        <f t="shared" si="4"/>
        <v>0</v>
      </c>
      <c r="M16" s="10">
        <f>'D) Ecrêtage'!C15</f>
        <v>73074.251809839989</v>
      </c>
      <c r="N16" s="10">
        <f t="shared" si="2"/>
        <v>93907.510806433769</v>
      </c>
      <c r="O16" s="55">
        <f t="shared" si="5"/>
        <v>215993.04078108049</v>
      </c>
      <c r="P16" s="218"/>
      <c r="Q16" s="219"/>
      <c r="R16" s="215"/>
      <c r="S16" s="215"/>
      <c r="T16" s="220"/>
    </row>
    <row r="17" spans="1:20" s="214" customFormat="1" x14ac:dyDescent="0.25">
      <c r="A17" s="306">
        <f>'A) Base RI'!A18</f>
        <v>5412</v>
      </c>
      <c r="B17" s="227" t="str">
        <f>'A) Base RI'!B18</f>
        <v>Rennaz</v>
      </c>
      <c r="C17" s="243">
        <v>0</v>
      </c>
      <c r="D17" s="216">
        <f>'B) D RI'!AA18</f>
        <v>871</v>
      </c>
      <c r="E17" s="217">
        <f>'B) D RI'!S18</f>
        <v>67.5</v>
      </c>
      <c r="F17" s="10">
        <f>'B) D RI'!R18</f>
        <v>1607438.5308573267</v>
      </c>
      <c r="G17" s="10">
        <f>'B) D RI'!U18</f>
        <v>23813.904160849284</v>
      </c>
      <c r="H17" s="41">
        <f>'B) D RI'!T18</f>
        <v>1477057.4308573266</v>
      </c>
      <c r="I17" s="10">
        <f t="shared" si="3"/>
        <v>43764.664617994866</v>
      </c>
      <c r="J17" s="31">
        <f t="shared" si="0"/>
        <v>74153.763324907442</v>
      </c>
      <c r="K17" s="10">
        <f t="shared" si="1"/>
        <v>43764.664617994866</v>
      </c>
      <c r="L17" s="10">
        <f t="shared" si="4"/>
        <v>30389.098706912577</v>
      </c>
      <c r="M17" s="10">
        <f>'D) Ecrêtage'!C16</f>
        <v>23813.904160849284</v>
      </c>
      <c r="N17" s="10">
        <f t="shared" si="2"/>
        <v>30603.179737615836</v>
      </c>
      <c r="O17" s="55">
        <f t="shared" si="5"/>
        <v>74367.844355610694</v>
      </c>
      <c r="P17" s="218"/>
      <c r="Q17" s="219"/>
      <c r="R17" s="215"/>
      <c r="S17" s="215"/>
      <c r="T17" s="220"/>
    </row>
    <row r="18" spans="1:20" s="214" customFormat="1" x14ac:dyDescent="0.25">
      <c r="A18" s="306">
        <f>'A) Base RI'!A19</f>
        <v>5413</v>
      </c>
      <c r="B18" s="227" t="str">
        <f>'A) Base RI'!B19</f>
        <v>Roche</v>
      </c>
      <c r="C18" s="243">
        <v>0</v>
      </c>
      <c r="D18" s="216">
        <f>'B) D RI'!AA19</f>
        <v>1826</v>
      </c>
      <c r="E18" s="217">
        <f>'B) D RI'!S19</f>
        <v>68</v>
      </c>
      <c r="F18" s="10">
        <f>'B) D RI'!R19</f>
        <v>3035480.1197841666</v>
      </c>
      <c r="G18" s="10">
        <f>'B) D RI'!U19</f>
        <v>44639.413526237746</v>
      </c>
      <c r="H18" s="41">
        <f>'B) D RI'!T19</f>
        <v>2762214.1281174999</v>
      </c>
      <c r="I18" s="10">
        <f t="shared" si="3"/>
        <v>81241.59200345588</v>
      </c>
      <c r="J18" s="31">
        <f t="shared" si="0"/>
        <v>155458.98028849714</v>
      </c>
      <c r="K18" s="10">
        <f t="shared" si="1"/>
        <v>81241.59200345588</v>
      </c>
      <c r="L18" s="10">
        <f t="shared" si="4"/>
        <v>74217.388285041263</v>
      </c>
      <c r="M18" s="10">
        <f>'D) Ecrêtage'!C17</f>
        <v>44639.413526237746</v>
      </c>
      <c r="N18" s="10">
        <f t="shared" si="2"/>
        <v>57365.981919551537</v>
      </c>
      <c r="O18" s="55">
        <f t="shared" si="5"/>
        <v>138607.57392300741</v>
      </c>
      <c r="P18" s="218"/>
      <c r="Q18" s="219"/>
      <c r="R18" s="215"/>
      <c r="S18" s="215"/>
      <c r="T18" s="220"/>
    </row>
    <row r="19" spans="1:20" s="214" customFormat="1" x14ac:dyDescent="0.25">
      <c r="A19" s="306">
        <f>'A) Base RI'!A20</f>
        <v>5414</v>
      </c>
      <c r="B19" s="227" t="str">
        <f>'A) Base RI'!B20</f>
        <v>Villeneuve</v>
      </c>
      <c r="C19" s="243">
        <v>0</v>
      </c>
      <c r="D19" s="216">
        <f>'B) D RI'!AA20</f>
        <v>5772</v>
      </c>
      <c r="E19" s="217">
        <f>'B) D RI'!S20</f>
        <v>69</v>
      </c>
      <c r="F19" s="10">
        <f>'B) D RI'!R20</f>
        <v>11456317.733674727</v>
      </c>
      <c r="G19" s="10">
        <f>'B) D RI'!U20</f>
        <v>166033.59034311198</v>
      </c>
      <c r="H19" s="41">
        <f>'B) D RI'!T20</f>
        <v>10124493.233674727</v>
      </c>
      <c r="I19" s="10">
        <f t="shared" si="3"/>
        <v>293463.5719905718</v>
      </c>
      <c r="J19" s="31">
        <f t="shared" si="0"/>
        <v>491407.02860087919</v>
      </c>
      <c r="K19" s="10">
        <f t="shared" si="1"/>
        <v>293463.5719905718</v>
      </c>
      <c r="L19" s="10">
        <f t="shared" si="4"/>
        <v>197943.45661030739</v>
      </c>
      <c r="M19" s="10">
        <f>'D) Ecrêtage'!C18</f>
        <v>166033.59034311198</v>
      </c>
      <c r="N19" s="10">
        <f t="shared" si="2"/>
        <v>213369.28936270322</v>
      </c>
      <c r="O19" s="55">
        <f t="shared" si="5"/>
        <v>506832.86135327502</v>
      </c>
      <c r="P19" s="218"/>
      <c r="Q19" s="219"/>
      <c r="R19" s="215"/>
      <c r="S19" s="215"/>
      <c r="T19" s="220"/>
    </row>
    <row r="20" spans="1:20" s="214" customFormat="1" x14ac:dyDescent="0.25">
      <c r="A20" s="306">
        <f>'A) Base RI'!A21</f>
        <v>5415</v>
      </c>
      <c r="B20" s="227" t="str">
        <f>'A) Base RI'!B21</f>
        <v>Yvorne</v>
      </c>
      <c r="C20" s="243">
        <v>0</v>
      </c>
      <c r="D20" s="216">
        <f>'B) D RI'!AA21</f>
        <v>1071</v>
      </c>
      <c r="E20" s="217">
        <f>'B) D RI'!S21</f>
        <v>71.5</v>
      </c>
      <c r="F20" s="10">
        <f>'B) D RI'!R21</f>
        <v>2797306.7108413293</v>
      </c>
      <c r="G20" s="10">
        <f>'B) D RI'!U21</f>
        <v>39123.170780997614</v>
      </c>
      <c r="H20" s="41">
        <f>'B) D RI'!T21</f>
        <v>2568852.2275079959</v>
      </c>
      <c r="I20" s="10">
        <f t="shared" si="3"/>
        <v>71856.006363860026</v>
      </c>
      <c r="J20" s="31">
        <f t="shared" si="0"/>
        <v>91181.033893198473</v>
      </c>
      <c r="K20" s="10">
        <f t="shared" si="1"/>
        <v>71856.006363860026</v>
      </c>
      <c r="L20" s="10">
        <f t="shared" si="4"/>
        <v>19325.027529338447</v>
      </c>
      <c r="M20" s="10">
        <f>'D) Ecrêtage'!C19</f>
        <v>39123.170780997614</v>
      </c>
      <c r="N20" s="10">
        <f t="shared" si="2"/>
        <v>50277.074234836873</v>
      </c>
      <c r="O20" s="55">
        <f t="shared" si="5"/>
        <v>122133.08059869689</v>
      </c>
      <c r="P20" s="218"/>
      <c r="Q20" s="219"/>
      <c r="R20" s="215"/>
      <c r="S20" s="215"/>
      <c r="T20" s="220"/>
    </row>
    <row r="21" spans="1:20" s="214" customFormat="1" x14ac:dyDescent="0.25">
      <c r="A21" s="306">
        <f>'A) Base RI'!A22</f>
        <v>5421</v>
      </c>
      <c r="B21" s="227" t="str">
        <f>'A) Base RI'!B22</f>
        <v>Apples</v>
      </c>
      <c r="C21" s="243">
        <v>0</v>
      </c>
      <c r="D21" s="216">
        <f>'B) D RI'!AA22</f>
        <v>1460</v>
      </c>
      <c r="E21" s="217">
        <f>'B) D RI'!S22</f>
        <v>76</v>
      </c>
      <c r="F21" s="10">
        <f>'B) D RI'!R22</f>
        <v>5357431.0071488181</v>
      </c>
      <c r="G21" s="10">
        <f>'B) D RI'!U22</f>
        <v>70492.513251958138</v>
      </c>
      <c r="H21" s="41">
        <f>'B) D RI'!T22</f>
        <v>5050389.6071488177</v>
      </c>
      <c r="I21" s="10">
        <f t="shared" si="3"/>
        <v>132904.98966181101</v>
      </c>
      <c r="J21" s="31">
        <f t="shared" si="0"/>
        <v>124299.07514852454</v>
      </c>
      <c r="K21" s="10">
        <f t="shared" si="1"/>
        <v>124299.07514852454</v>
      </c>
      <c r="L21" s="10">
        <f t="shared" si="4"/>
        <v>0</v>
      </c>
      <c r="M21" s="10">
        <f>'D) Ecrêtage'!C20</f>
        <v>70492.513251958138</v>
      </c>
      <c r="N21" s="10">
        <f t="shared" si="2"/>
        <v>90589.726011940264</v>
      </c>
      <c r="O21" s="55">
        <f t="shared" si="5"/>
        <v>214888.80116046482</v>
      </c>
      <c r="P21" s="218"/>
      <c r="Q21" s="219"/>
      <c r="R21" s="215"/>
      <c r="S21" s="215"/>
      <c r="T21" s="220"/>
    </row>
    <row r="22" spans="1:20" s="214" customFormat="1" x14ac:dyDescent="0.25">
      <c r="A22" s="306">
        <f>'A) Base RI'!A23</f>
        <v>5422</v>
      </c>
      <c r="B22" s="227" t="str">
        <f>'A) Base RI'!B23</f>
        <v>Aubonne</v>
      </c>
      <c r="C22" s="243">
        <v>0</v>
      </c>
      <c r="D22" s="216">
        <f>'B) D RI'!AA23</f>
        <v>3817</v>
      </c>
      <c r="E22" s="217">
        <f>'B) D RI'!S23</f>
        <v>70.52</v>
      </c>
      <c r="F22" s="10">
        <f>'B) D RI'!R23</f>
        <v>17308209.010581892</v>
      </c>
      <c r="G22" s="10">
        <f>'B) D RI'!U23</f>
        <v>245436.88330377048</v>
      </c>
      <c r="H22" s="41">
        <f>'B) D RI'!T23</f>
        <v>16082240.410581892</v>
      </c>
      <c r="I22" s="10">
        <f t="shared" si="3"/>
        <v>456104.37919971335</v>
      </c>
      <c r="J22" s="31">
        <f t="shared" si="0"/>
        <v>324965.45879583433</v>
      </c>
      <c r="K22" s="10">
        <f t="shared" si="1"/>
        <v>324965.45879583433</v>
      </c>
      <c r="L22" s="10">
        <f t="shared" si="4"/>
        <v>0</v>
      </c>
      <c r="M22" s="10">
        <f>'D) Ecrêtage'!C21</f>
        <v>245436.88330377048</v>
      </c>
      <c r="N22" s="10">
        <f t="shared" si="2"/>
        <v>315410.2327468869</v>
      </c>
      <c r="O22" s="55">
        <f t="shared" si="5"/>
        <v>640375.69154272124</v>
      </c>
      <c r="P22" s="218"/>
      <c r="Q22" s="219"/>
      <c r="R22" s="215"/>
      <c r="S22" s="215"/>
      <c r="T22" s="220"/>
    </row>
    <row r="23" spans="1:20" s="214" customFormat="1" x14ac:dyDescent="0.25">
      <c r="A23" s="306">
        <f>'A) Base RI'!A24</f>
        <v>5423</v>
      </c>
      <c r="B23" s="227" t="str">
        <f>'A) Base RI'!B24</f>
        <v>Ballens</v>
      </c>
      <c r="C23" s="243">
        <v>0</v>
      </c>
      <c r="D23" s="216">
        <f>'B) D RI'!AA24</f>
        <v>545</v>
      </c>
      <c r="E23" s="217">
        <f>'B) D RI'!S24</f>
        <v>73</v>
      </c>
      <c r="F23" s="10">
        <f>'B) D RI'!R24</f>
        <v>1191343.312396009</v>
      </c>
      <c r="G23" s="10">
        <f>'B) D RI'!U24</f>
        <v>16319.771402685055</v>
      </c>
      <c r="H23" s="41">
        <f>'B) D RI'!T24</f>
        <v>1108229.9623960089</v>
      </c>
      <c r="I23" s="10">
        <f t="shared" si="3"/>
        <v>30362.464723178327</v>
      </c>
      <c r="J23" s="31">
        <f t="shared" si="0"/>
        <v>46399.312298593068</v>
      </c>
      <c r="K23" s="10">
        <f t="shared" si="1"/>
        <v>30362.464723178327</v>
      </c>
      <c r="L23" s="10">
        <f t="shared" si="4"/>
        <v>16036.84757541474</v>
      </c>
      <c r="M23" s="10">
        <f>'D) Ecrêtage'!C22</f>
        <v>16319.771402685055</v>
      </c>
      <c r="N23" s="10">
        <f t="shared" si="2"/>
        <v>20972.491286593053</v>
      </c>
      <c r="O23" s="55">
        <f t="shared" si="5"/>
        <v>51334.956009771384</v>
      </c>
      <c r="P23" s="218"/>
      <c r="Q23" s="219"/>
      <c r="R23" s="215"/>
      <c r="S23" s="215"/>
      <c r="T23" s="220"/>
    </row>
    <row r="24" spans="1:20" s="214" customFormat="1" x14ac:dyDescent="0.25">
      <c r="A24" s="306">
        <f>'A) Base RI'!A25</f>
        <v>5424</v>
      </c>
      <c r="B24" s="227" t="str">
        <f>'A) Base RI'!B25</f>
        <v>Berolle</v>
      </c>
      <c r="C24" s="243">
        <v>0</v>
      </c>
      <c r="D24" s="216">
        <f>'B) D RI'!AA25</f>
        <v>300</v>
      </c>
      <c r="E24" s="217">
        <f>'B) D RI'!S25</f>
        <v>77</v>
      </c>
      <c r="F24" s="10">
        <f>'B) D RI'!R25</f>
        <v>714450.0299999998</v>
      </c>
      <c r="G24" s="10">
        <f>'B) D RI'!U25</f>
        <v>9278.5718181818156</v>
      </c>
      <c r="H24" s="41">
        <f>'B) D RI'!T25</f>
        <v>663539.0299999998</v>
      </c>
      <c r="I24" s="10">
        <f t="shared" si="3"/>
        <v>17234.779999999995</v>
      </c>
      <c r="J24" s="31">
        <f t="shared" si="0"/>
        <v>25540.90585243655</v>
      </c>
      <c r="K24" s="10">
        <f t="shared" si="1"/>
        <v>17234.779999999995</v>
      </c>
      <c r="L24" s="10">
        <f t="shared" si="4"/>
        <v>8306.1258524365549</v>
      </c>
      <c r="M24" s="10">
        <f>'D) Ecrêtage'!C23</f>
        <v>9278.5718181818156</v>
      </c>
      <c r="N24" s="10">
        <f t="shared" si="2"/>
        <v>11923.865954202627</v>
      </c>
      <c r="O24" s="55">
        <f t="shared" si="5"/>
        <v>29158.64595420262</v>
      </c>
      <c r="P24" s="218"/>
      <c r="Q24" s="219"/>
      <c r="R24" s="215"/>
      <c r="S24" s="215"/>
      <c r="T24" s="220"/>
    </row>
    <row r="25" spans="1:20" s="214" customFormat="1" x14ac:dyDescent="0.25">
      <c r="A25" s="306">
        <f>'A) Base RI'!A26</f>
        <v>5425</v>
      </c>
      <c r="B25" s="227" t="str">
        <f>'A) Base RI'!B26</f>
        <v>Bière</v>
      </c>
      <c r="C25" s="243">
        <v>0</v>
      </c>
      <c r="D25" s="216">
        <f>'B) D RI'!AA26</f>
        <v>1596</v>
      </c>
      <c r="E25" s="217">
        <f>'B) D RI'!S26</f>
        <v>70</v>
      </c>
      <c r="F25" s="10">
        <f>'B) D RI'!R26</f>
        <v>2755202.4409280205</v>
      </c>
      <c r="G25" s="10">
        <f>'B) D RI'!U26</f>
        <v>39360.03487040029</v>
      </c>
      <c r="H25" s="41">
        <f>'B) D RI'!T26</f>
        <v>2539386.2236866411</v>
      </c>
      <c r="I25" s="10">
        <f t="shared" si="3"/>
        <v>72553.892105332605</v>
      </c>
      <c r="J25" s="31">
        <f t="shared" si="0"/>
        <v>135877.61913496244</v>
      </c>
      <c r="K25" s="10">
        <f t="shared" si="1"/>
        <v>72553.892105332605</v>
      </c>
      <c r="L25" s="10">
        <f t="shared" si="4"/>
        <v>63323.727029629837</v>
      </c>
      <c r="M25" s="10">
        <f>'D) Ecrêtage'!C24</f>
        <v>39360.03487040029</v>
      </c>
      <c r="N25" s="10">
        <f t="shared" si="2"/>
        <v>50581.46759480067</v>
      </c>
      <c r="O25" s="55">
        <f t="shared" si="5"/>
        <v>123135.35970013327</v>
      </c>
      <c r="P25" s="218"/>
      <c r="Q25" s="219"/>
      <c r="R25" s="215"/>
      <c r="S25" s="215"/>
      <c r="T25" s="220"/>
    </row>
    <row r="26" spans="1:20" s="214" customFormat="1" x14ac:dyDescent="0.25">
      <c r="A26" s="306">
        <f>'A) Base RI'!A27</f>
        <v>5426</v>
      </c>
      <c r="B26" s="227" t="str">
        <f>'A) Base RI'!B27</f>
        <v>Bougy-Villars</v>
      </c>
      <c r="C26" s="243">
        <v>0</v>
      </c>
      <c r="D26" s="216">
        <f>'B) D RI'!AA27</f>
        <v>475</v>
      </c>
      <c r="E26" s="217">
        <f>'B) D RI'!S27</f>
        <v>66</v>
      </c>
      <c r="F26" s="10">
        <f>'B) D RI'!R27</f>
        <v>3430292.1589543871</v>
      </c>
      <c r="G26" s="10">
        <f>'B) D RI'!U27</f>
        <v>51974.123620521015</v>
      </c>
      <c r="H26" s="41">
        <f>'B) D RI'!T27</f>
        <v>3183333.2756210538</v>
      </c>
      <c r="I26" s="10">
        <f t="shared" si="3"/>
        <v>96464.644715789502</v>
      </c>
      <c r="J26" s="31">
        <f t="shared" si="0"/>
        <v>40439.7675996912</v>
      </c>
      <c r="K26" s="10">
        <f t="shared" si="1"/>
        <v>40439.7675996912</v>
      </c>
      <c r="L26" s="10">
        <f t="shared" si="4"/>
        <v>0</v>
      </c>
      <c r="M26" s="10">
        <f>'D) Ecrêtage'!C25</f>
        <v>51974.123620521015</v>
      </c>
      <c r="N26" s="10">
        <f t="shared" si="2"/>
        <v>66791.796763792139</v>
      </c>
      <c r="O26" s="55">
        <f t="shared" si="5"/>
        <v>107231.56436348334</v>
      </c>
      <c r="P26" s="218"/>
      <c r="Q26" s="219"/>
      <c r="R26" s="215"/>
      <c r="S26" s="215"/>
      <c r="T26" s="220"/>
    </row>
    <row r="27" spans="1:20" s="214" customFormat="1" x14ac:dyDescent="0.25">
      <c r="A27" s="306">
        <f>'A) Base RI'!A28</f>
        <v>5427</v>
      </c>
      <c r="B27" s="227" t="str">
        <f>'A) Base RI'!B28</f>
        <v>Féchy</v>
      </c>
      <c r="C27" s="243">
        <v>0</v>
      </c>
      <c r="D27" s="216">
        <f>'B) D RI'!AA28</f>
        <v>861</v>
      </c>
      <c r="E27" s="217">
        <f>'B) D RI'!S28</f>
        <v>64</v>
      </c>
      <c r="F27" s="10">
        <f>'B) D RI'!R28</f>
        <v>5548421.9100667592</v>
      </c>
      <c r="G27" s="10">
        <f>'B) D RI'!U28</f>
        <v>86694.092344793113</v>
      </c>
      <c r="H27" s="41">
        <f>'B) D RI'!T28</f>
        <v>5195254.19083599</v>
      </c>
      <c r="I27" s="10">
        <f t="shared" si="3"/>
        <v>162351.69346362469</v>
      </c>
      <c r="J27" s="31">
        <f t="shared" si="0"/>
        <v>73302.3997964929</v>
      </c>
      <c r="K27" s="10">
        <f t="shared" si="1"/>
        <v>73302.3997964929</v>
      </c>
      <c r="L27" s="10">
        <f t="shared" si="4"/>
        <v>0</v>
      </c>
      <c r="M27" s="10">
        <f>'D) Ecrêtage'!C26</f>
        <v>86694.092344793113</v>
      </c>
      <c r="N27" s="10">
        <f t="shared" si="2"/>
        <v>111410.32870111919</v>
      </c>
      <c r="O27" s="55">
        <f t="shared" si="5"/>
        <v>184712.72849761209</v>
      </c>
      <c r="P27" s="218"/>
      <c r="Q27" s="219"/>
      <c r="R27" s="215"/>
      <c r="S27" s="215"/>
      <c r="T27" s="220"/>
    </row>
    <row r="28" spans="1:20" s="214" customFormat="1" x14ac:dyDescent="0.25">
      <c r="A28" s="306">
        <f>'A) Base RI'!A29</f>
        <v>5428</v>
      </c>
      <c r="B28" s="227" t="str">
        <f>'A) Base RI'!B29</f>
        <v>Gimel</v>
      </c>
      <c r="C28" s="243">
        <v>0</v>
      </c>
      <c r="D28" s="216">
        <f>'B) D RI'!AA29</f>
        <v>2238</v>
      </c>
      <c r="E28" s="217">
        <f>'B) D RI'!S29</f>
        <v>74.5</v>
      </c>
      <c r="F28" s="10">
        <f>'B) D RI'!R29</f>
        <v>4935507.7200273527</v>
      </c>
      <c r="G28" s="10">
        <f>'B) D RI'!U29</f>
        <v>66248.425772179224</v>
      </c>
      <c r="H28" s="41">
        <f>'B) D RI'!T29</f>
        <v>4557128.6950273523</v>
      </c>
      <c r="I28" s="10">
        <f t="shared" si="3"/>
        <v>122339.0253698618</v>
      </c>
      <c r="J28" s="31">
        <f t="shared" si="0"/>
        <v>190535.15765917665</v>
      </c>
      <c r="K28" s="10">
        <f t="shared" si="1"/>
        <v>122339.0253698618</v>
      </c>
      <c r="L28" s="10">
        <f t="shared" si="4"/>
        <v>68196.132289314846</v>
      </c>
      <c r="M28" s="10">
        <f>'D) Ecrêtage'!C27</f>
        <v>66248.425772179224</v>
      </c>
      <c r="N28" s="10">
        <f t="shared" si="2"/>
        <v>85135.661399579491</v>
      </c>
      <c r="O28" s="55">
        <f t="shared" si="5"/>
        <v>207474.68676944129</v>
      </c>
      <c r="P28" s="218"/>
      <c r="Q28" s="219"/>
      <c r="R28" s="215"/>
      <c r="S28" s="215"/>
      <c r="T28" s="220"/>
    </row>
    <row r="29" spans="1:20" s="214" customFormat="1" x14ac:dyDescent="0.25">
      <c r="A29" s="306">
        <f>'A) Base RI'!A30</f>
        <v>5429</v>
      </c>
      <c r="B29" s="227" t="str">
        <f>'A) Base RI'!B30</f>
        <v>Longirod</v>
      </c>
      <c r="C29" s="243">
        <v>0</v>
      </c>
      <c r="D29" s="216">
        <f>'B) D RI'!AA30</f>
        <v>482</v>
      </c>
      <c r="E29" s="217">
        <f>'B) D RI'!S30</f>
        <v>81</v>
      </c>
      <c r="F29" s="10">
        <f>'B) D RI'!R30</f>
        <v>1239282.9444842876</v>
      </c>
      <c r="G29" s="10">
        <f>'B) D RI'!U30</f>
        <v>15299.789438077625</v>
      </c>
      <c r="H29" s="41">
        <f>'B) D RI'!T30</f>
        <v>1138997.3444842875</v>
      </c>
      <c r="I29" s="10">
        <f t="shared" si="3"/>
        <v>28123.391221834259</v>
      </c>
      <c r="J29" s="31">
        <f t="shared" si="0"/>
        <v>41035.722069581388</v>
      </c>
      <c r="K29" s="10">
        <f t="shared" si="1"/>
        <v>28123.391221834259</v>
      </c>
      <c r="L29" s="10">
        <f t="shared" si="4"/>
        <v>12912.330847747129</v>
      </c>
      <c r="M29" s="10">
        <f>'D) Ecrêtage'!C28</f>
        <v>15299.789438077625</v>
      </c>
      <c r="N29" s="10">
        <f t="shared" si="2"/>
        <v>19661.715397802607</v>
      </c>
      <c r="O29" s="55">
        <f t="shared" si="5"/>
        <v>47785.106619636863</v>
      </c>
      <c r="P29" s="218"/>
      <c r="Q29" s="219"/>
      <c r="R29" s="215"/>
      <c r="S29" s="215"/>
      <c r="T29" s="220"/>
    </row>
    <row r="30" spans="1:20" s="214" customFormat="1" x14ac:dyDescent="0.25">
      <c r="A30" s="306">
        <f>'A) Base RI'!A31</f>
        <v>5430</v>
      </c>
      <c r="B30" s="227" t="str">
        <f>'A) Base RI'!B31</f>
        <v>Marchissy</v>
      </c>
      <c r="C30" s="243">
        <v>0</v>
      </c>
      <c r="D30" s="216">
        <f>'B) D RI'!AA31</f>
        <v>472</v>
      </c>
      <c r="E30" s="217">
        <f>'B) D RI'!S31</f>
        <v>79</v>
      </c>
      <c r="F30" s="10">
        <f>'B) D RI'!R31</f>
        <v>1176476.8547616615</v>
      </c>
      <c r="G30" s="10">
        <f>'B) D RI'!U31</f>
        <v>14892.112085590652</v>
      </c>
      <c r="H30" s="41">
        <f>'B) D RI'!T31</f>
        <v>1089160.3547616615</v>
      </c>
      <c r="I30" s="10">
        <f t="shared" si="3"/>
        <v>27573.679867383835</v>
      </c>
      <c r="J30" s="31">
        <f t="shared" si="0"/>
        <v>40184.358541166839</v>
      </c>
      <c r="K30" s="10">
        <f t="shared" si="1"/>
        <v>27573.679867383835</v>
      </c>
      <c r="L30" s="10">
        <f t="shared" si="4"/>
        <v>12610.678673783004</v>
      </c>
      <c r="M30" s="10">
        <f>'D) Ecrêtage'!C29</f>
        <v>14892.112085590652</v>
      </c>
      <c r="N30" s="10">
        <f t="shared" si="2"/>
        <v>19137.810404784894</v>
      </c>
      <c r="O30" s="55">
        <f t="shared" si="5"/>
        <v>46711.490272168725</v>
      </c>
      <c r="P30" s="218"/>
      <c r="Q30" s="219"/>
      <c r="R30" s="215"/>
      <c r="S30" s="215"/>
      <c r="T30" s="220"/>
    </row>
    <row r="31" spans="1:20" s="214" customFormat="1" x14ac:dyDescent="0.25">
      <c r="A31" s="306">
        <f>'A) Base RI'!A32</f>
        <v>5431</v>
      </c>
      <c r="B31" s="227" t="str">
        <f>'A) Base RI'!B32</f>
        <v>Mollens</v>
      </c>
      <c r="C31" s="243">
        <v>0</v>
      </c>
      <c r="D31" s="216">
        <f>'B) D RI'!AA32</f>
        <v>308</v>
      </c>
      <c r="E31" s="217">
        <f>'B) D RI'!S32</f>
        <v>74</v>
      </c>
      <c r="F31" s="10">
        <f>'B) D RI'!R32</f>
        <v>786365.77422236092</v>
      </c>
      <c r="G31" s="10">
        <f>'B) D RI'!U32</f>
        <v>10626.564516518391</v>
      </c>
      <c r="H31" s="41">
        <f>'B) D RI'!T32</f>
        <v>734514.97422236099</v>
      </c>
      <c r="I31" s="10">
        <f t="shared" si="3"/>
        <v>19851.75606006381</v>
      </c>
      <c r="J31" s="31">
        <f t="shared" si="0"/>
        <v>26221.99667516819</v>
      </c>
      <c r="K31" s="10">
        <f t="shared" si="1"/>
        <v>19851.75606006381</v>
      </c>
      <c r="L31" s="10">
        <f t="shared" si="4"/>
        <v>6370.2406151043797</v>
      </c>
      <c r="M31" s="10">
        <f>'D) Ecrêtage'!C30</f>
        <v>10626.564516518391</v>
      </c>
      <c r="N31" s="10">
        <f t="shared" si="2"/>
        <v>13656.167493402101</v>
      </c>
      <c r="O31" s="55">
        <f t="shared" si="5"/>
        <v>33507.923553465909</v>
      </c>
      <c r="P31" s="218"/>
      <c r="Q31" s="219"/>
      <c r="R31" s="215"/>
      <c r="S31" s="215"/>
      <c r="T31" s="220"/>
    </row>
    <row r="32" spans="1:20" s="214" customFormat="1" x14ac:dyDescent="0.25">
      <c r="A32" s="306">
        <f>'A) Base RI'!A33</f>
        <v>5434</v>
      </c>
      <c r="B32" s="227" t="str">
        <f>'A) Base RI'!B33</f>
        <v>Saint-George</v>
      </c>
      <c r="C32" s="243">
        <v>0</v>
      </c>
      <c r="D32" s="216">
        <f>'B) D RI'!AA33</f>
        <v>1063</v>
      </c>
      <c r="E32" s="217">
        <f>'B) D RI'!S33</f>
        <v>71</v>
      </c>
      <c r="F32" s="10">
        <f>'B) D RI'!R33</f>
        <v>2829282.9474799312</v>
      </c>
      <c r="G32" s="10">
        <f>'B) D RI'!U33</f>
        <v>39849.055598308893</v>
      </c>
      <c r="H32" s="41">
        <f>'B) D RI'!T33</f>
        <v>2595225.2891465975</v>
      </c>
      <c r="I32" s="10">
        <f t="shared" si="3"/>
        <v>73104.937722439368</v>
      </c>
      <c r="J32" s="31">
        <f t="shared" si="0"/>
        <v>90499.943070466834</v>
      </c>
      <c r="K32" s="10">
        <f t="shared" si="1"/>
        <v>73104.937722439368</v>
      </c>
      <c r="L32" s="10">
        <f t="shared" si="4"/>
        <v>17395.005348027466</v>
      </c>
      <c r="M32" s="10">
        <f>'D) Ecrêtage'!C31</f>
        <v>39849.055598308893</v>
      </c>
      <c r="N32" s="10">
        <f t="shared" si="2"/>
        <v>51209.906725592606</v>
      </c>
      <c r="O32" s="55">
        <f t="shared" si="5"/>
        <v>124314.84444803197</v>
      </c>
      <c r="P32" s="218"/>
      <c r="Q32" s="219"/>
      <c r="R32" s="215"/>
      <c r="S32" s="215"/>
      <c r="T32" s="220"/>
    </row>
    <row r="33" spans="1:20" s="214" customFormat="1" x14ac:dyDescent="0.25">
      <c r="A33" s="306">
        <f>'A) Base RI'!A34</f>
        <v>5435</v>
      </c>
      <c r="B33" s="227" t="str">
        <f>'A) Base RI'!B34</f>
        <v>Saint-Livres</v>
      </c>
      <c r="C33" s="243">
        <v>0</v>
      </c>
      <c r="D33" s="216">
        <f>'B) D RI'!AA34</f>
        <v>691</v>
      </c>
      <c r="E33" s="217">
        <f>'B) D RI'!S34</f>
        <v>69</v>
      </c>
      <c r="F33" s="10">
        <f>'B) D RI'!R34</f>
        <v>1676143.92</v>
      </c>
      <c r="G33" s="10">
        <f>'B) D RI'!U34</f>
        <v>24291.940869565216</v>
      </c>
      <c r="H33" s="41">
        <f>'B) D RI'!T34</f>
        <v>1552823.42</v>
      </c>
      <c r="I33" s="10">
        <f t="shared" si="3"/>
        <v>45009.374492753625</v>
      </c>
      <c r="J33" s="31">
        <f t="shared" si="0"/>
        <v>58829.219813445518</v>
      </c>
      <c r="K33" s="10">
        <f t="shared" si="1"/>
        <v>45009.374492753625</v>
      </c>
      <c r="L33" s="10">
        <f t="shared" si="4"/>
        <v>13819.845320691893</v>
      </c>
      <c r="M33" s="10">
        <f>'D) Ecrêtage'!C32</f>
        <v>24291.940869565216</v>
      </c>
      <c r="N33" s="10">
        <f t="shared" si="2"/>
        <v>31217.503336938251</v>
      </c>
      <c r="O33" s="55">
        <f t="shared" si="5"/>
        <v>76226.877829691875</v>
      </c>
      <c r="P33" s="218"/>
      <c r="Q33" s="219"/>
      <c r="R33" s="215"/>
      <c r="S33" s="215"/>
      <c r="T33" s="220"/>
    </row>
    <row r="34" spans="1:20" s="214" customFormat="1" x14ac:dyDescent="0.25">
      <c r="A34" s="306">
        <f>'A) Base RI'!A35</f>
        <v>5436</v>
      </c>
      <c r="B34" s="227" t="str">
        <f>'A) Base RI'!B35</f>
        <v>Saint-Oyens</v>
      </c>
      <c r="C34" s="243">
        <v>0</v>
      </c>
      <c r="D34" s="216">
        <f>'B) D RI'!AA35</f>
        <v>447</v>
      </c>
      <c r="E34" s="217">
        <f>'B) D RI'!S35</f>
        <v>81</v>
      </c>
      <c r="F34" s="10">
        <f>'B) D RI'!R35</f>
        <v>1349101.3139144231</v>
      </c>
      <c r="G34" s="10">
        <f>'B) D RI'!U35</f>
        <v>16655.571776721274</v>
      </c>
      <c r="H34" s="41">
        <f>'B) D RI'!T35</f>
        <v>1268348.0639144231</v>
      </c>
      <c r="I34" s="10">
        <f t="shared" si="3"/>
        <v>31317.236146035139</v>
      </c>
      <c r="J34" s="31">
        <f t="shared" si="0"/>
        <v>38055.949720130455</v>
      </c>
      <c r="K34" s="10">
        <f t="shared" si="1"/>
        <v>31317.236146035139</v>
      </c>
      <c r="L34" s="10">
        <f t="shared" si="4"/>
        <v>6738.7135740953163</v>
      </c>
      <c r="M34" s="10">
        <f>'D) Ecrêtage'!C33</f>
        <v>16655.571776721274</v>
      </c>
      <c r="N34" s="10">
        <f t="shared" si="2"/>
        <v>21404.027381354193</v>
      </c>
      <c r="O34" s="55">
        <f t="shared" si="5"/>
        <v>52721.263527389332</v>
      </c>
      <c r="P34" s="218"/>
      <c r="Q34" s="219"/>
      <c r="R34" s="215"/>
      <c r="S34" s="215"/>
      <c r="T34" s="220"/>
    </row>
    <row r="35" spans="1:20" s="214" customFormat="1" x14ac:dyDescent="0.25">
      <c r="A35" s="306">
        <f>'A) Base RI'!A36</f>
        <v>5437</v>
      </c>
      <c r="B35" s="227" t="str">
        <f>'A) Base RI'!B36</f>
        <v>Saubraz</v>
      </c>
      <c r="C35" s="243">
        <v>0</v>
      </c>
      <c r="D35" s="216">
        <f>'B) D RI'!AA36</f>
        <v>423</v>
      </c>
      <c r="E35" s="217">
        <f>'B) D RI'!S36</f>
        <v>80</v>
      </c>
      <c r="F35" s="10">
        <f>'B) D RI'!R36</f>
        <v>1052436.5945112032</v>
      </c>
      <c r="G35" s="10">
        <f>'B) D RI'!U36</f>
        <v>13155.457431390041</v>
      </c>
      <c r="H35" s="41">
        <f>'B) D RI'!T36</f>
        <v>985144.09451120335</v>
      </c>
      <c r="I35" s="10">
        <f t="shared" si="3"/>
        <v>24628.602362780082</v>
      </c>
      <c r="J35" s="31">
        <f t="shared" si="0"/>
        <v>36012.677251935536</v>
      </c>
      <c r="K35" s="10">
        <f t="shared" si="1"/>
        <v>24628.602362780082</v>
      </c>
      <c r="L35" s="10">
        <f t="shared" si="4"/>
        <v>11384.074889155454</v>
      </c>
      <c r="M35" s="10">
        <f>'D) Ecrêtage'!C34</f>
        <v>13155.457431390041</v>
      </c>
      <c r="N35" s="10">
        <f t="shared" si="2"/>
        <v>16906.040504071017</v>
      </c>
      <c r="O35" s="55">
        <f t="shared" si="5"/>
        <v>41534.6428668511</v>
      </c>
      <c r="P35" s="218"/>
      <c r="Q35" s="219"/>
      <c r="R35" s="215"/>
      <c r="S35" s="215"/>
      <c r="T35" s="220"/>
    </row>
    <row r="36" spans="1:20" s="214" customFormat="1" x14ac:dyDescent="0.25">
      <c r="A36" s="306">
        <f>'A) Base RI'!A37</f>
        <v>5451</v>
      </c>
      <c r="B36" s="227" t="str">
        <f>'A) Base RI'!B37</f>
        <v>Avenches</v>
      </c>
      <c r="C36" s="243">
        <v>0</v>
      </c>
      <c r="D36" s="216">
        <f>'B) D RI'!AA37</f>
        <v>4305</v>
      </c>
      <c r="E36" s="217">
        <f>'B) D RI'!S37</f>
        <v>68</v>
      </c>
      <c r="F36" s="10">
        <f>'B) D RI'!R37</f>
        <v>8912004.1669293419</v>
      </c>
      <c r="G36" s="10">
        <f>'B) D RI'!U37</f>
        <v>131058.88480778445</v>
      </c>
      <c r="H36" s="41">
        <f>'B) D RI'!T37</f>
        <v>7925547.6669293428</v>
      </c>
      <c r="I36" s="10">
        <f t="shared" si="3"/>
        <v>233104.34314498067</v>
      </c>
      <c r="J36" s="31">
        <f t="shared" si="0"/>
        <v>366511.99898246449</v>
      </c>
      <c r="K36" s="10">
        <f t="shared" si="1"/>
        <v>233104.34314498067</v>
      </c>
      <c r="L36" s="10">
        <f t="shared" si="4"/>
        <v>133407.65583748382</v>
      </c>
      <c r="M36" s="10">
        <f>'D) Ecrêtage'!C35</f>
        <v>131058.88480778445</v>
      </c>
      <c r="N36" s="10">
        <f t="shared" si="2"/>
        <v>168423.39588222638</v>
      </c>
      <c r="O36" s="55">
        <f t="shared" si="5"/>
        <v>401527.73902720702</v>
      </c>
      <c r="P36" s="218"/>
      <c r="Q36" s="219"/>
      <c r="R36" s="215"/>
      <c r="S36" s="215"/>
      <c r="T36" s="220"/>
    </row>
    <row r="37" spans="1:20" s="214" customFormat="1" x14ac:dyDescent="0.25">
      <c r="A37" s="306">
        <f>'A) Base RI'!A38</f>
        <v>5456</v>
      </c>
      <c r="B37" s="227" t="str">
        <f>'A) Base RI'!B38</f>
        <v>Cudrefin</v>
      </c>
      <c r="C37" s="243">
        <v>0</v>
      </c>
      <c r="D37" s="216">
        <f>'B) D RI'!AA38</f>
        <v>1735</v>
      </c>
      <c r="E37" s="217">
        <f>'B) D RI'!S38</f>
        <v>59</v>
      </c>
      <c r="F37" s="10">
        <f>'B) D RI'!R38</f>
        <v>3391551.2646748619</v>
      </c>
      <c r="G37" s="10">
        <f>'B) D RI'!U38</f>
        <v>57483.919740251898</v>
      </c>
      <c r="H37" s="41">
        <f>'B) D RI'!T38</f>
        <v>3069553.8480081954</v>
      </c>
      <c r="I37" s="10">
        <f t="shared" si="3"/>
        <v>104052.67281383713</v>
      </c>
      <c r="J37" s="31">
        <f t="shared" ref="J37:J68" si="6">+$I$314/$D$314*D37</f>
        <v>147711.5721799247</v>
      </c>
      <c r="K37" s="10">
        <f t="shared" si="1"/>
        <v>104052.67281383713</v>
      </c>
      <c r="L37" s="10">
        <f t="shared" si="4"/>
        <v>43658.899366087571</v>
      </c>
      <c r="M37" s="10">
        <f>'D) Ecrêtage'!C36</f>
        <v>57483.919740251898</v>
      </c>
      <c r="N37" s="10">
        <f t="shared" ref="N37:N68" si="7">+$N$5*M37</f>
        <v>73872.419908608266</v>
      </c>
      <c r="O37" s="55">
        <f t="shared" si="5"/>
        <v>177925.09272244538</v>
      </c>
      <c r="P37" s="218"/>
      <c r="Q37" s="219"/>
      <c r="R37" s="215"/>
      <c r="S37" s="215"/>
      <c r="T37" s="220"/>
    </row>
    <row r="38" spans="1:20" s="214" customFormat="1" x14ac:dyDescent="0.25">
      <c r="A38" s="306">
        <f>'A) Base RI'!A39</f>
        <v>5458</v>
      </c>
      <c r="B38" s="227" t="str">
        <f>'A) Base RI'!B39</f>
        <v>Faoug</v>
      </c>
      <c r="C38" s="243">
        <v>0</v>
      </c>
      <c r="D38" s="216">
        <f>'B) D RI'!AA39</f>
        <v>884</v>
      </c>
      <c r="E38" s="217">
        <f>'B) D RI'!S39</f>
        <v>66</v>
      </c>
      <c r="F38" s="10">
        <f>'B) D RI'!R39</f>
        <v>2184809.6718506995</v>
      </c>
      <c r="G38" s="10">
        <f>'B) D RI'!U39</f>
        <v>33103.176846222719</v>
      </c>
      <c r="H38" s="41">
        <f>'B) D RI'!T39</f>
        <v>2002026.6885173661</v>
      </c>
      <c r="I38" s="10">
        <f t="shared" si="3"/>
        <v>60667.475409617153</v>
      </c>
      <c r="J38" s="31">
        <f t="shared" si="6"/>
        <v>75260.535911846368</v>
      </c>
      <c r="K38" s="10">
        <f t="shared" si="1"/>
        <v>60667.475409617153</v>
      </c>
      <c r="L38" s="10">
        <f t="shared" si="4"/>
        <v>14593.060502229215</v>
      </c>
      <c r="M38" s="10">
        <f>'D) Ecrêtage'!C37</f>
        <v>33103.176846222719</v>
      </c>
      <c r="N38" s="10">
        <f t="shared" si="7"/>
        <v>42540.797345465908</v>
      </c>
      <c r="O38" s="55">
        <f t="shared" si="5"/>
        <v>103208.27275508306</v>
      </c>
      <c r="P38" s="218"/>
      <c r="Q38" s="219"/>
      <c r="R38" s="215"/>
      <c r="S38" s="215"/>
      <c r="T38" s="220"/>
    </row>
    <row r="39" spans="1:20" s="214" customFormat="1" x14ac:dyDescent="0.25">
      <c r="A39" s="306">
        <f>'A) Base RI'!A40</f>
        <v>5464</v>
      </c>
      <c r="B39" s="227" t="str">
        <f>'A) Base RI'!B40</f>
        <v>Vully-les-Lacs</v>
      </c>
      <c r="C39" s="243">
        <v>0</v>
      </c>
      <c r="D39" s="216">
        <f>'B) D RI'!AA40</f>
        <v>3278</v>
      </c>
      <c r="E39" s="217">
        <f>'B) D RI'!S40</f>
        <v>67</v>
      </c>
      <c r="F39" s="10">
        <f>'B) D RI'!R40</f>
        <v>7551335.549789276</v>
      </c>
      <c r="G39" s="10">
        <f>'B) D RI'!U40</f>
        <v>112706.50074312353</v>
      </c>
      <c r="H39" s="41">
        <f>'B) D RI'!T40</f>
        <v>6876727.7664559428</v>
      </c>
      <c r="I39" s="10">
        <f t="shared" si="3"/>
        <v>205275.45571510275</v>
      </c>
      <c r="J39" s="31">
        <f t="shared" si="6"/>
        <v>279076.96461429005</v>
      </c>
      <c r="K39" s="10">
        <f t="shared" si="1"/>
        <v>205275.45571510275</v>
      </c>
      <c r="L39" s="10">
        <f t="shared" si="4"/>
        <v>73801.508899187291</v>
      </c>
      <c r="M39" s="10">
        <f>'D) Ecrêtage'!C38</f>
        <v>112706.50074312353</v>
      </c>
      <c r="N39" s="10">
        <f t="shared" si="7"/>
        <v>144838.79991043571</v>
      </c>
      <c r="O39" s="55">
        <f t="shared" si="5"/>
        <v>350114.25562553847</v>
      </c>
      <c r="P39" s="218"/>
      <c r="Q39" s="219"/>
      <c r="R39" s="215"/>
      <c r="S39" s="215"/>
      <c r="T39" s="220"/>
    </row>
    <row r="40" spans="1:20" s="214" customFormat="1" x14ac:dyDescent="0.25">
      <c r="A40" s="306">
        <f>'A) Base RI'!A41</f>
        <v>5471</v>
      </c>
      <c r="B40" s="227" t="str">
        <f>'A) Base RI'!B41</f>
        <v>Bettens</v>
      </c>
      <c r="C40" s="243">
        <v>0</v>
      </c>
      <c r="D40" s="216">
        <f>'B) D RI'!AA41</f>
        <v>650</v>
      </c>
      <c r="E40" s="217">
        <f>'B) D RI'!S41</f>
        <v>70</v>
      </c>
      <c r="F40" s="10">
        <f>'B) D RI'!R41</f>
        <v>1516892.1492311368</v>
      </c>
      <c r="G40" s="10">
        <f>'B) D RI'!U41</f>
        <v>21669.887846159098</v>
      </c>
      <c r="H40" s="41">
        <f>'B) D RI'!T41</f>
        <v>1396589.510342248</v>
      </c>
      <c r="I40" s="10">
        <f t="shared" si="3"/>
        <v>39902.557438349941</v>
      </c>
      <c r="J40" s="31">
        <f t="shared" si="6"/>
        <v>55338.629346945854</v>
      </c>
      <c r="K40" s="10">
        <f t="shared" si="1"/>
        <v>39902.557438349941</v>
      </c>
      <c r="L40" s="10">
        <f t="shared" si="4"/>
        <v>15436.071908595914</v>
      </c>
      <c r="M40" s="10">
        <f>'D) Ecrêtage'!C39</f>
        <v>21669.887846159098</v>
      </c>
      <c r="N40" s="10">
        <f t="shared" si="7"/>
        <v>27847.910538762029</v>
      </c>
      <c r="O40" s="55">
        <f t="shared" si="5"/>
        <v>67750.46797711197</v>
      </c>
      <c r="P40" s="218"/>
      <c r="Q40" s="219"/>
      <c r="R40" s="215"/>
      <c r="S40" s="215"/>
      <c r="T40" s="220"/>
    </row>
    <row r="41" spans="1:20" s="214" customFormat="1" x14ac:dyDescent="0.25">
      <c r="A41" s="306">
        <f>'A) Base RI'!A42</f>
        <v>5472</v>
      </c>
      <c r="B41" s="227" t="str">
        <f>'A) Base RI'!B42</f>
        <v>Bournens</v>
      </c>
      <c r="C41" s="243">
        <v>0</v>
      </c>
      <c r="D41" s="216">
        <f>'B) D RI'!AA42</f>
        <v>422</v>
      </c>
      <c r="E41" s="217">
        <f>'B) D RI'!S42</f>
        <v>76</v>
      </c>
      <c r="F41" s="10">
        <f>'B) D RI'!R42</f>
        <v>1141515.5057425625</v>
      </c>
      <c r="G41" s="10">
        <f>'B) D RI'!U42</f>
        <v>15019.940865033717</v>
      </c>
      <c r="H41" s="41">
        <f>'B) D RI'!T42</f>
        <v>1049974.1557425624</v>
      </c>
      <c r="I41" s="10">
        <f t="shared" si="3"/>
        <v>27630.89883533059</v>
      </c>
      <c r="J41" s="31">
        <f t="shared" si="6"/>
        <v>35927.540899094078</v>
      </c>
      <c r="K41" s="10">
        <f t="shared" si="1"/>
        <v>27630.89883533059</v>
      </c>
      <c r="L41" s="10">
        <f t="shared" si="4"/>
        <v>8296.6420637634874</v>
      </c>
      <c r="M41" s="10">
        <f>'D) Ecrêtage'!C40</f>
        <v>15019.940865033717</v>
      </c>
      <c r="N41" s="10">
        <f t="shared" si="7"/>
        <v>19302.082801554156</v>
      </c>
      <c r="O41" s="55">
        <f t="shared" si="5"/>
        <v>46932.981636884746</v>
      </c>
      <c r="P41" s="218"/>
      <c r="Q41" s="219"/>
      <c r="R41" s="215"/>
      <c r="S41" s="215"/>
      <c r="T41" s="220"/>
    </row>
    <row r="42" spans="1:20" s="214" customFormat="1" x14ac:dyDescent="0.25">
      <c r="A42" s="306">
        <f>'A) Base RI'!A43</f>
        <v>5473</v>
      </c>
      <c r="B42" s="227" t="str">
        <f>'A) Base RI'!B43</f>
        <v>Boussens</v>
      </c>
      <c r="C42" s="243">
        <v>0</v>
      </c>
      <c r="D42" s="216">
        <f>'B) D RI'!AA43</f>
        <v>993</v>
      </c>
      <c r="E42" s="217">
        <f>'B) D RI'!S43</f>
        <v>69</v>
      </c>
      <c r="F42" s="10">
        <f>'B) D RI'!R43</f>
        <v>2365472.8147820388</v>
      </c>
      <c r="G42" s="10">
        <f>'B) D RI'!U43</f>
        <v>34282.214706986073</v>
      </c>
      <c r="H42" s="41">
        <f>'B) D RI'!T43</f>
        <v>2182820.9147820384</v>
      </c>
      <c r="I42" s="10">
        <f t="shared" si="3"/>
        <v>63270.171442957639</v>
      </c>
      <c r="J42" s="31">
        <f t="shared" si="6"/>
        <v>84540.398371564981</v>
      </c>
      <c r="K42" s="10">
        <f t="shared" si="1"/>
        <v>63270.171442957639</v>
      </c>
      <c r="L42" s="10">
        <f t="shared" si="4"/>
        <v>21270.226928607342</v>
      </c>
      <c r="M42" s="10">
        <f>'D) Ecrêtage'!C41</f>
        <v>34282.214706986073</v>
      </c>
      <c r="N42" s="10">
        <f t="shared" si="7"/>
        <v>44055.975508890086</v>
      </c>
      <c r="O42" s="55">
        <f t="shared" si="5"/>
        <v>107326.14695184772</v>
      </c>
      <c r="P42" s="218"/>
      <c r="Q42" s="219"/>
      <c r="R42" s="215"/>
      <c r="S42" s="215"/>
      <c r="T42" s="220"/>
    </row>
    <row r="43" spans="1:20" s="214" customFormat="1" x14ac:dyDescent="0.25">
      <c r="A43" s="306">
        <f>'A) Base RI'!A44</f>
        <v>5474</v>
      </c>
      <c r="B43" s="227" t="str">
        <f>'A) Base RI'!B44</f>
        <v>La Chaux (Cossonay)</v>
      </c>
      <c r="C43" s="243">
        <v>0</v>
      </c>
      <c r="D43" s="216">
        <f>'B) D RI'!AA44</f>
        <v>395</v>
      </c>
      <c r="E43" s="217">
        <f>'B) D RI'!S44</f>
        <v>77</v>
      </c>
      <c r="F43" s="10">
        <f>'B) D RI'!R44</f>
        <v>1179089.2766666666</v>
      </c>
      <c r="G43" s="10">
        <f>'B) D RI'!U44</f>
        <v>15312.847748917748</v>
      </c>
      <c r="H43" s="41">
        <f>'B) D RI'!T44</f>
        <v>1108408.1099999999</v>
      </c>
      <c r="I43" s="10">
        <f t="shared" si="3"/>
        <v>28789.821038961036</v>
      </c>
      <c r="J43" s="31">
        <f t="shared" si="6"/>
        <v>33628.859372374791</v>
      </c>
      <c r="K43" s="10">
        <f t="shared" si="1"/>
        <v>28789.821038961036</v>
      </c>
      <c r="L43" s="10">
        <f t="shared" si="4"/>
        <v>4839.038333413755</v>
      </c>
      <c r="M43" s="10">
        <f>'D) Ecrêtage'!C42</f>
        <v>15312.847748917748</v>
      </c>
      <c r="N43" s="10">
        <f t="shared" si="7"/>
        <v>19678.496595501678</v>
      </c>
      <c r="O43" s="55">
        <f t="shared" si="5"/>
        <v>48468.317634462714</v>
      </c>
      <c r="P43" s="218"/>
      <c r="Q43" s="219"/>
      <c r="R43" s="215"/>
      <c r="S43" s="215"/>
      <c r="T43" s="220"/>
    </row>
    <row r="44" spans="1:20" s="214" customFormat="1" x14ac:dyDescent="0.25">
      <c r="A44" s="306">
        <f>'A) Base RI'!A45</f>
        <v>5475</v>
      </c>
      <c r="B44" s="227" t="str">
        <f>'A) Base RI'!B45</f>
        <v>Chavannes-le-Veyron</v>
      </c>
      <c r="C44" s="243">
        <v>0</v>
      </c>
      <c r="D44" s="216">
        <f>'B) D RI'!AA45</f>
        <v>152</v>
      </c>
      <c r="E44" s="217">
        <f>'B) D RI'!S45</f>
        <v>77</v>
      </c>
      <c r="F44" s="10">
        <f>'B) D RI'!R45</f>
        <v>234327.87</v>
      </c>
      <c r="G44" s="10">
        <f>'B) D RI'!U45</f>
        <v>3043.2190909090909</v>
      </c>
      <c r="H44" s="41">
        <f>'B) D RI'!T45</f>
        <v>211777.57</v>
      </c>
      <c r="I44" s="10">
        <f t="shared" si="3"/>
        <v>5500.716103896104</v>
      </c>
      <c r="J44" s="31">
        <f t="shared" si="6"/>
        <v>12940.725631901185</v>
      </c>
      <c r="K44" s="10">
        <f t="shared" si="1"/>
        <v>5500.716103896104</v>
      </c>
      <c r="L44" s="10">
        <f t="shared" si="4"/>
        <v>7440.0095280050809</v>
      </c>
      <c r="M44" s="10">
        <f>'D) Ecrêtage'!C43</f>
        <v>3043.2190909090909</v>
      </c>
      <c r="N44" s="10">
        <f t="shared" si="7"/>
        <v>3910.8321000613855</v>
      </c>
      <c r="O44" s="55">
        <f t="shared" si="5"/>
        <v>9411.548203957489</v>
      </c>
      <c r="P44" s="218"/>
      <c r="Q44" s="219"/>
      <c r="R44" s="215"/>
      <c r="S44" s="215"/>
      <c r="T44" s="220"/>
    </row>
    <row r="45" spans="1:20" s="214" customFormat="1" x14ac:dyDescent="0.25">
      <c r="A45" s="306">
        <f>'A) Base RI'!A46</f>
        <v>5476</v>
      </c>
      <c r="B45" s="227" t="str">
        <f>'A) Base RI'!B46</f>
        <v>Chevilly</v>
      </c>
      <c r="C45" s="243">
        <v>0</v>
      </c>
      <c r="D45" s="216">
        <f>'B) D RI'!AA46</f>
        <v>317</v>
      </c>
      <c r="E45" s="217">
        <f>'B) D RI'!S46</f>
        <v>74</v>
      </c>
      <c r="F45" s="10">
        <f>'B) D RI'!R46</f>
        <v>935114.06521160249</v>
      </c>
      <c r="G45" s="10">
        <f>'B) D RI'!U46</f>
        <v>12636.676556913548</v>
      </c>
      <c r="H45" s="41">
        <f>'B) D RI'!T46</f>
        <v>875875.36521160253</v>
      </c>
      <c r="I45" s="10">
        <f t="shared" si="3"/>
        <v>23672.30716788115</v>
      </c>
      <c r="J45" s="31">
        <f t="shared" si="6"/>
        <v>26988.223850741288</v>
      </c>
      <c r="K45" s="10">
        <f t="shared" si="1"/>
        <v>23672.30716788115</v>
      </c>
      <c r="L45" s="10">
        <f t="shared" si="4"/>
        <v>3315.9166828601374</v>
      </c>
      <c r="M45" s="10">
        <f>'D) Ecrêtage'!C44</f>
        <v>12636.676556913548</v>
      </c>
      <c r="N45" s="10">
        <f t="shared" si="7"/>
        <v>16239.35669452824</v>
      </c>
      <c r="O45" s="55">
        <f t="shared" si="5"/>
        <v>39911.66386240939</v>
      </c>
      <c r="P45" s="218"/>
      <c r="Q45" s="219"/>
      <c r="R45" s="215"/>
      <c r="S45" s="215"/>
      <c r="T45" s="220"/>
    </row>
    <row r="46" spans="1:20" s="214" customFormat="1" x14ac:dyDescent="0.25">
      <c r="A46" s="306">
        <f>'A) Base RI'!A47</f>
        <v>5477</v>
      </c>
      <c r="B46" s="227" t="str">
        <f>'A) Base RI'!B47</f>
        <v>Cossonay</v>
      </c>
      <c r="C46" s="243">
        <v>0</v>
      </c>
      <c r="D46" s="216">
        <f>'B) D RI'!AA47</f>
        <v>4045</v>
      </c>
      <c r="E46" s="217">
        <f>'B) D RI'!S47</f>
        <v>71</v>
      </c>
      <c r="F46" s="10">
        <f>'B) D RI'!R47</f>
        <v>10245041.614725174</v>
      </c>
      <c r="G46" s="10">
        <f>'B) D RI'!U47</f>
        <v>144296.3607707771</v>
      </c>
      <c r="H46" s="41">
        <f>'B) D RI'!T47</f>
        <v>9563869.8147251736</v>
      </c>
      <c r="I46" s="10">
        <f t="shared" si="3"/>
        <v>269404.78351338516</v>
      </c>
      <c r="J46" s="31">
        <f t="shared" si="6"/>
        <v>344376.54724368616</v>
      </c>
      <c r="K46" s="10">
        <f t="shared" si="1"/>
        <v>269404.78351338516</v>
      </c>
      <c r="L46" s="10">
        <f t="shared" si="4"/>
        <v>74971.763730300998</v>
      </c>
      <c r="M46" s="10">
        <f>'D) Ecrêtage'!C45</f>
        <v>144296.3607707771</v>
      </c>
      <c r="N46" s="10">
        <f t="shared" si="7"/>
        <v>185434.83816533774</v>
      </c>
      <c r="O46" s="55">
        <f t="shared" si="5"/>
        <v>454839.62167872291</v>
      </c>
      <c r="P46" s="218"/>
      <c r="Q46" s="219"/>
      <c r="R46" s="215"/>
      <c r="S46" s="215"/>
      <c r="T46" s="220"/>
    </row>
    <row r="47" spans="1:20" s="214" customFormat="1" x14ac:dyDescent="0.25">
      <c r="A47" s="306">
        <f>'A) Base RI'!A48</f>
        <v>5478</v>
      </c>
      <c r="B47" s="227" t="str">
        <f>'A) Base RI'!B48</f>
        <v>Cottens</v>
      </c>
      <c r="C47" s="243">
        <v>0</v>
      </c>
      <c r="D47" s="216">
        <f>'B) D RI'!AA48</f>
        <v>487</v>
      </c>
      <c r="E47" s="217">
        <f>'B) D RI'!S48</f>
        <v>74</v>
      </c>
      <c r="F47" s="10">
        <f>'B) D RI'!R48</f>
        <v>1296505.0189312848</v>
      </c>
      <c r="G47" s="10">
        <f>'B) D RI'!U48</f>
        <v>17520.338093666011</v>
      </c>
      <c r="H47" s="41">
        <f>'B) D RI'!T48</f>
        <v>1216195.7689312848</v>
      </c>
      <c r="I47" s="10">
        <f t="shared" si="3"/>
        <v>32870.155917061747</v>
      </c>
      <c r="J47" s="31">
        <f t="shared" si="6"/>
        <v>41461.403833788667</v>
      </c>
      <c r="K47" s="10">
        <f t="shared" si="1"/>
        <v>32870.155917061747</v>
      </c>
      <c r="L47" s="10">
        <f t="shared" si="4"/>
        <v>8591.2479167269194</v>
      </c>
      <c r="M47" s="10">
        <f>'D) Ecrêtage'!C46</f>
        <v>17520.338093666011</v>
      </c>
      <c r="N47" s="10">
        <f t="shared" si="7"/>
        <v>22515.336087803276</v>
      </c>
      <c r="O47" s="55">
        <f t="shared" si="5"/>
        <v>55385.492004865024</v>
      </c>
      <c r="P47" s="218"/>
      <c r="Q47" s="219"/>
      <c r="R47" s="215"/>
      <c r="S47" s="215"/>
      <c r="T47" s="220"/>
    </row>
    <row r="48" spans="1:20" s="214" customFormat="1" x14ac:dyDescent="0.25">
      <c r="A48" s="306">
        <f>'A) Base RI'!A49</f>
        <v>5479</v>
      </c>
      <c r="B48" s="227" t="str">
        <f>'A) Base RI'!B49</f>
        <v>Cuarnens</v>
      </c>
      <c r="C48" s="243">
        <v>0</v>
      </c>
      <c r="D48" s="216">
        <f>'B) D RI'!AA49</f>
        <v>486</v>
      </c>
      <c r="E48" s="217">
        <f>'B) D RI'!S49</f>
        <v>77</v>
      </c>
      <c r="F48" s="10">
        <f>'B) D RI'!R49</f>
        <v>1330058.1286328589</v>
      </c>
      <c r="G48" s="10">
        <f>'B) D RI'!U49</f>
        <v>17273.482190037128</v>
      </c>
      <c r="H48" s="41">
        <f>'B) D RI'!T49</f>
        <v>1246297.478632859</v>
      </c>
      <c r="I48" s="10">
        <f t="shared" si="3"/>
        <v>32371.363081372961</v>
      </c>
      <c r="J48" s="31">
        <f t="shared" si="6"/>
        <v>41376.267480947208</v>
      </c>
      <c r="K48" s="10">
        <f t="shared" si="1"/>
        <v>32371.363081372961</v>
      </c>
      <c r="L48" s="10">
        <f t="shared" si="4"/>
        <v>9004.9043995742468</v>
      </c>
      <c r="M48" s="10">
        <f>'D) Ecrêtage'!C47</f>
        <v>17273.482190037128</v>
      </c>
      <c r="N48" s="10">
        <f t="shared" si="7"/>
        <v>22198.10227611833</v>
      </c>
      <c r="O48" s="55">
        <f t="shared" si="5"/>
        <v>54569.465357491295</v>
      </c>
      <c r="P48" s="218"/>
      <c r="Q48" s="219"/>
      <c r="R48" s="215"/>
      <c r="S48" s="215"/>
      <c r="T48" s="220"/>
    </row>
    <row r="49" spans="1:20" s="214" customFormat="1" x14ac:dyDescent="0.25">
      <c r="A49" s="306">
        <f>'A) Base RI'!A50</f>
        <v>5480</v>
      </c>
      <c r="B49" s="227" t="str">
        <f>'A) Base RI'!B50</f>
        <v>Daillens</v>
      </c>
      <c r="C49" s="243">
        <v>0</v>
      </c>
      <c r="D49" s="216">
        <f>'B) D RI'!AA50</f>
        <v>1034</v>
      </c>
      <c r="E49" s="217">
        <f>'B) D RI'!S50</f>
        <v>66</v>
      </c>
      <c r="F49" s="10">
        <f>'B) D RI'!R50</f>
        <v>2654584.3866666667</v>
      </c>
      <c r="G49" s="10">
        <f>'B) D RI'!U50</f>
        <v>40220.975555555553</v>
      </c>
      <c r="H49" s="41">
        <f>'B) D RI'!T50</f>
        <v>2377028.3200000003</v>
      </c>
      <c r="I49" s="10">
        <f t="shared" si="3"/>
        <v>72031.161212121224</v>
      </c>
      <c r="J49" s="31">
        <f t="shared" si="6"/>
        <v>88030.988838064644</v>
      </c>
      <c r="K49" s="10">
        <f t="shared" si="1"/>
        <v>72031.161212121224</v>
      </c>
      <c r="L49" s="10">
        <f t="shared" si="4"/>
        <v>15999.827625943421</v>
      </c>
      <c r="M49" s="10">
        <f>'D) Ecrêtage'!C48</f>
        <v>40220.975555555553</v>
      </c>
      <c r="N49" s="10">
        <f t="shared" si="7"/>
        <v>51687.859992841331</v>
      </c>
      <c r="O49" s="55">
        <f t="shared" si="5"/>
        <v>123719.02120496256</v>
      </c>
      <c r="P49" s="218"/>
      <c r="Q49" s="219"/>
      <c r="R49" s="215"/>
      <c r="S49" s="215"/>
      <c r="T49" s="220"/>
    </row>
    <row r="50" spans="1:20" s="214" customFormat="1" x14ac:dyDescent="0.25">
      <c r="A50" s="306">
        <f>'A) Base RI'!A51</f>
        <v>5481</v>
      </c>
      <c r="B50" s="227" t="str">
        <f>'A) Base RI'!B51</f>
        <v>Dizy</v>
      </c>
      <c r="C50" s="243">
        <v>0</v>
      </c>
      <c r="D50" s="216">
        <f>'B) D RI'!AA51</f>
        <v>234</v>
      </c>
      <c r="E50" s="217">
        <f>'B) D RI'!S51</f>
        <v>79</v>
      </c>
      <c r="F50" s="10">
        <f>'B) D RI'!R51</f>
        <v>766461.67003988964</v>
      </c>
      <c r="G50" s="10">
        <f>'B) D RI'!U51</f>
        <v>9702.0464562011348</v>
      </c>
      <c r="H50" s="41">
        <f>'B) D RI'!T51</f>
        <v>730112.02003988961</v>
      </c>
      <c r="I50" s="10">
        <f t="shared" si="3"/>
        <v>18483.8486086048</v>
      </c>
      <c r="J50" s="31">
        <f t="shared" si="6"/>
        <v>19921.90656490051</v>
      </c>
      <c r="K50" s="10">
        <f t="shared" si="1"/>
        <v>18483.8486086048</v>
      </c>
      <c r="L50" s="10">
        <f t="shared" si="4"/>
        <v>1438.05795629571</v>
      </c>
      <c r="M50" s="10">
        <f>'D) Ecrêtage'!C49</f>
        <v>9702.0464562011348</v>
      </c>
      <c r="N50" s="10">
        <f t="shared" si="7"/>
        <v>12468.071993417863</v>
      </c>
      <c r="O50" s="55">
        <f t="shared" si="5"/>
        <v>30951.920602022663</v>
      </c>
      <c r="P50" s="218"/>
      <c r="Q50" s="219"/>
      <c r="R50" s="215"/>
      <c r="S50" s="215"/>
      <c r="T50" s="220"/>
    </row>
    <row r="51" spans="1:20" s="214" customFormat="1" x14ac:dyDescent="0.25">
      <c r="A51" s="306">
        <f>'A) Base RI'!A52</f>
        <v>5482</v>
      </c>
      <c r="B51" s="227" t="str">
        <f>'A) Base RI'!B52</f>
        <v>Eclépens</v>
      </c>
      <c r="C51" s="243">
        <v>0</v>
      </c>
      <c r="D51" s="216">
        <f>'B) D RI'!AA52</f>
        <v>1222</v>
      </c>
      <c r="E51" s="217">
        <f>'B) D RI'!S52</f>
        <v>46</v>
      </c>
      <c r="F51" s="10">
        <f>'B) D RI'!R52</f>
        <v>2777820.8124938319</v>
      </c>
      <c r="G51" s="10">
        <f>'B) D RI'!U52</f>
        <v>60387.408967257215</v>
      </c>
      <c r="H51" s="41">
        <f>'B) D RI'!T52</f>
        <v>2308188.9624938318</v>
      </c>
      <c r="I51" s="10">
        <f t="shared" si="3"/>
        <v>100356.04184755791</v>
      </c>
      <c r="J51" s="31">
        <f t="shared" si="6"/>
        <v>104036.62317225822</v>
      </c>
      <c r="K51" s="10">
        <f t="shared" si="1"/>
        <v>100356.04184755791</v>
      </c>
      <c r="L51" s="10">
        <f t="shared" si="4"/>
        <v>3680.5813247003098</v>
      </c>
      <c r="M51" s="10">
        <f>'D) Ecrêtage'!C50</f>
        <v>60387.408967257215</v>
      </c>
      <c r="N51" s="10">
        <f t="shared" si="7"/>
        <v>77603.685562492799</v>
      </c>
      <c r="O51" s="55">
        <f t="shared" si="5"/>
        <v>177959.72741005069</v>
      </c>
      <c r="P51" s="218"/>
      <c r="Q51" s="219"/>
      <c r="R51" s="215"/>
      <c r="S51" s="215"/>
      <c r="T51" s="220"/>
    </row>
    <row r="52" spans="1:20" s="214" customFormat="1" x14ac:dyDescent="0.25">
      <c r="A52" s="306">
        <f>'A) Base RI'!A53</f>
        <v>5483</v>
      </c>
      <c r="B52" s="227" t="str">
        <f>'A) Base RI'!B53</f>
        <v>Ferreyres</v>
      </c>
      <c r="C52" s="243">
        <v>0</v>
      </c>
      <c r="D52" s="216">
        <f>'B) D RI'!AA53</f>
        <v>320</v>
      </c>
      <c r="E52" s="217">
        <f>'B) D RI'!S53</f>
        <v>76</v>
      </c>
      <c r="F52" s="10">
        <f>'B) D RI'!R53</f>
        <v>847833.55577306042</v>
      </c>
      <c r="G52" s="10">
        <f>'B) D RI'!U53</f>
        <v>11155.704681224479</v>
      </c>
      <c r="H52" s="41">
        <f>'B) D RI'!T53</f>
        <v>793894.4057730604</v>
      </c>
      <c r="I52" s="10">
        <f t="shared" si="3"/>
        <v>20891.958046659485</v>
      </c>
      <c r="J52" s="31">
        <f t="shared" si="6"/>
        <v>27243.632909265652</v>
      </c>
      <c r="K52" s="10">
        <f t="shared" si="1"/>
        <v>20891.958046659485</v>
      </c>
      <c r="L52" s="10">
        <f t="shared" si="4"/>
        <v>6351.6748626061672</v>
      </c>
      <c r="M52" s="10">
        <f>'D) Ecrêtage'!C51</f>
        <v>11155.704681224479</v>
      </c>
      <c r="N52" s="10">
        <f t="shared" si="7"/>
        <v>14336.163997020958</v>
      </c>
      <c r="O52" s="55">
        <f t="shared" si="5"/>
        <v>35228.122043680443</v>
      </c>
      <c r="P52" s="218"/>
      <c r="Q52" s="219"/>
      <c r="R52" s="215"/>
      <c r="S52" s="215"/>
      <c r="T52" s="220"/>
    </row>
    <row r="53" spans="1:20" s="214" customFormat="1" x14ac:dyDescent="0.25">
      <c r="A53" s="306">
        <f>'A) Base RI'!A54</f>
        <v>5484</v>
      </c>
      <c r="B53" s="227" t="str">
        <f>'A) Base RI'!B54</f>
        <v>Gollion</v>
      </c>
      <c r="C53" s="243">
        <v>0</v>
      </c>
      <c r="D53" s="216">
        <f>'B) D RI'!AA54</f>
        <v>939</v>
      </c>
      <c r="E53" s="217">
        <f>'B) D RI'!S54</f>
        <v>74</v>
      </c>
      <c r="F53" s="10">
        <f>'B) D RI'!R54</f>
        <v>2498451.7765953904</v>
      </c>
      <c r="G53" s="10">
        <f>'B) D RI'!U54</f>
        <v>33762.861845883657</v>
      </c>
      <c r="H53" s="41">
        <f>'B) D RI'!T54</f>
        <v>2315373.3265953907</v>
      </c>
      <c r="I53" s="10">
        <f t="shared" si="3"/>
        <v>62577.657475551103</v>
      </c>
      <c r="J53" s="31">
        <f t="shared" si="6"/>
        <v>79943.035318126393</v>
      </c>
      <c r="K53" s="10">
        <f t="shared" si="1"/>
        <v>62577.657475551103</v>
      </c>
      <c r="L53" s="10">
        <f t="shared" si="4"/>
        <v>17365.37784257529</v>
      </c>
      <c r="M53" s="10">
        <f>'D) Ecrêtage'!C52</f>
        <v>33762.861845883657</v>
      </c>
      <c r="N53" s="10">
        <f t="shared" si="7"/>
        <v>43388.556640979623</v>
      </c>
      <c r="O53" s="55">
        <f t="shared" si="5"/>
        <v>105966.21411653073</v>
      </c>
      <c r="P53" s="218"/>
      <c r="Q53" s="219"/>
      <c r="R53" s="215"/>
      <c r="S53" s="215"/>
      <c r="T53" s="220"/>
    </row>
    <row r="54" spans="1:20" s="214" customFormat="1" x14ac:dyDescent="0.25">
      <c r="A54" s="306">
        <f>'A) Base RI'!A55</f>
        <v>5485</v>
      </c>
      <c r="B54" s="227" t="str">
        <f>'A) Base RI'!B55</f>
        <v>Grancy</v>
      </c>
      <c r="C54" s="243">
        <v>0</v>
      </c>
      <c r="D54" s="216">
        <f>'B) D RI'!AA55</f>
        <v>397</v>
      </c>
      <c r="E54" s="217">
        <f>'B) D RI'!S55</f>
        <v>70</v>
      </c>
      <c r="F54" s="10">
        <f>'B) D RI'!R55</f>
        <v>1183986.6059136342</v>
      </c>
      <c r="G54" s="10">
        <f>'B) D RI'!U55</f>
        <v>16914.094370194773</v>
      </c>
      <c r="H54" s="41">
        <f>'B) D RI'!T55</f>
        <v>1110523.7559136341</v>
      </c>
      <c r="I54" s="10">
        <f t="shared" si="3"/>
        <v>31729.250168960974</v>
      </c>
      <c r="J54" s="31">
        <f t="shared" si="6"/>
        <v>33799.132078057701</v>
      </c>
      <c r="K54" s="10">
        <f t="shared" si="1"/>
        <v>31729.250168960974</v>
      </c>
      <c r="L54" s="10">
        <f t="shared" si="4"/>
        <v>2069.8819090967263</v>
      </c>
      <c r="M54" s="10">
        <f>'D) Ecrêtage'!C53</f>
        <v>16914.094370194773</v>
      </c>
      <c r="N54" s="10">
        <f t="shared" si="7"/>
        <v>21736.254022599816</v>
      </c>
      <c r="O54" s="55">
        <f t="shared" si="5"/>
        <v>53465.504191560787</v>
      </c>
      <c r="P54" s="218"/>
      <c r="Q54" s="219"/>
      <c r="R54" s="215"/>
      <c r="S54" s="215"/>
      <c r="T54" s="220"/>
    </row>
    <row r="55" spans="1:20" s="214" customFormat="1" x14ac:dyDescent="0.25">
      <c r="A55" s="306">
        <f>'A) Base RI'!A56</f>
        <v>5486</v>
      </c>
      <c r="B55" s="227" t="str">
        <f>'A) Base RI'!B56</f>
        <v>L'Isle</v>
      </c>
      <c r="C55" s="243">
        <v>0</v>
      </c>
      <c r="D55" s="216">
        <f>'B) D RI'!AA56</f>
        <v>1011</v>
      </c>
      <c r="E55" s="217">
        <f>'B) D RI'!S56</f>
        <v>76</v>
      </c>
      <c r="F55" s="10">
        <f>'B) D RI'!R56</f>
        <v>2717724.6453714613</v>
      </c>
      <c r="G55" s="10">
        <f>'B) D RI'!U56</f>
        <v>35759.534807519231</v>
      </c>
      <c r="H55" s="41">
        <f>'B) D RI'!T56</f>
        <v>2527265.0953714615</v>
      </c>
      <c r="I55" s="10">
        <f t="shared" si="3"/>
        <v>66506.976193985829</v>
      </c>
      <c r="J55" s="31">
        <f t="shared" si="6"/>
        <v>86072.852722711177</v>
      </c>
      <c r="K55" s="10">
        <f t="shared" si="1"/>
        <v>66506.976193985829</v>
      </c>
      <c r="L55" s="10">
        <f t="shared" si="4"/>
        <v>19565.876528725348</v>
      </c>
      <c r="M55" s="10">
        <f>'D) Ecrêtage'!C54</f>
        <v>35759.534807519231</v>
      </c>
      <c r="N55" s="10">
        <f t="shared" si="7"/>
        <v>45954.475320648649</v>
      </c>
      <c r="O55" s="55">
        <f t="shared" si="5"/>
        <v>112461.45151463448</v>
      </c>
      <c r="P55" s="218"/>
      <c r="Q55" s="219"/>
      <c r="R55" s="215"/>
      <c r="S55" s="215"/>
      <c r="T55" s="220"/>
    </row>
    <row r="56" spans="1:20" s="214" customFormat="1" x14ac:dyDescent="0.25">
      <c r="A56" s="306">
        <f>'A) Base RI'!A57</f>
        <v>5487</v>
      </c>
      <c r="B56" s="227" t="str">
        <f>'A) Base RI'!B57</f>
        <v>Lussery-Villars</v>
      </c>
      <c r="C56" s="243">
        <v>0</v>
      </c>
      <c r="D56" s="216">
        <f>'B) D RI'!AA57</f>
        <v>459</v>
      </c>
      <c r="E56" s="217">
        <f>'B) D RI'!S57</f>
        <v>75</v>
      </c>
      <c r="F56" s="10">
        <f>'B) D RI'!R57</f>
        <v>1162113.6617209262</v>
      </c>
      <c r="G56" s="10">
        <f>'B) D RI'!U57</f>
        <v>15494.848822945682</v>
      </c>
      <c r="H56" s="41">
        <f>'B) D RI'!T57</f>
        <v>1084683.3617209261</v>
      </c>
      <c r="I56" s="10">
        <f t="shared" si="3"/>
        <v>28924.889645891362</v>
      </c>
      <c r="J56" s="31">
        <f t="shared" si="6"/>
        <v>39077.585954227921</v>
      </c>
      <c r="K56" s="10">
        <f t="shared" si="1"/>
        <v>28924.889645891362</v>
      </c>
      <c r="L56" s="10">
        <f t="shared" si="4"/>
        <v>10152.696308336559</v>
      </c>
      <c r="M56" s="10">
        <f>'D) Ecrêtage'!C55</f>
        <v>15494.848822945682</v>
      </c>
      <c r="N56" s="10">
        <f t="shared" si="7"/>
        <v>19912.385652218087</v>
      </c>
      <c r="O56" s="55">
        <f t="shared" si="5"/>
        <v>48837.275298109453</v>
      </c>
      <c r="P56" s="218"/>
      <c r="Q56" s="219"/>
      <c r="R56" s="215"/>
      <c r="S56" s="215"/>
      <c r="T56" s="220"/>
    </row>
    <row r="57" spans="1:20" s="214" customFormat="1" x14ac:dyDescent="0.25">
      <c r="A57" s="306">
        <f>'A) Base RI'!A58</f>
        <v>5488</v>
      </c>
      <c r="B57" s="227" t="str">
        <f>'A) Base RI'!B58</f>
        <v>Mauraz</v>
      </c>
      <c r="C57" s="243">
        <v>0</v>
      </c>
      <c r="D57" s="216">
        <f>'B) D RI'!AA58</f>
        <v>57</v>
      </c>
      <c r="E57" s="217">
        <f>'B) D RI'!S58</f>
        <v>78</v>
      </c>
      <c r="F57" s="10">
        <f>'B) D RI'!R58</f>
        <v>136547.70000000001</v>
      </c>
      <c r="G57" s="10">
        <f>'B) D RI'!U58</f>
        <v>1750.6115384615387</v>
      </c>
      <c r="H57" s="41">
        <f>'B) D RI'!T58</f>
        <v>128121.70000000001</v>
      </c>
      <c r="I57" s="10">
        <f t="shared" si="3"/>
        <v>3285.1717948717951</v>
      </c>
      <c r="J57" s="31">
        <f t="shared" si="6"/>
        <v>4852.7721119629441</v>
      </c>
      <c r="K57" s="10">
        <f t="shared" si="1"/>
        <v>3285.1717948717951</v>
      </c>
      <c r="L57" s="10">
        <f t="shared" si="4"/>
        <v>1567.600317091149</v>
      </c>
      <c r="M57" s="10">
        <f>'D) Ecrêtage'!C56</f>
        <v>1750.6115384615387</v>
      </c>
      <c r="N57" s="10">
        <f t="shared" si="7"/>
        <v>2249.7058525313223</v>
      </c>
      <c r="O57" s="55">
        <f t="shared" si="5"/>
        <v>5534.8776474031174</v>
      </c>
      <c r="P57" s="218"/>
      <c r="Q57" s="219"/>
      <c r="R57" s="215"/>
      <c r="S57" s="215"/>
      <c r="T57" s="220"/>
    </row>
    <row r="58" spans="1:20" s="214" customFormat="1" x14ac:dyDescent="0.25">
      <c r="A58" s="306">
        <f>'A) Base RI'!A59</f>
        <v>5489</v>
      </c>
      <c r="B58" s="227" t="str">
        <f>'A) Base RI'!B59</f>
        <v>Mex</v>
      </c>
      <c r="C58" s="243">
        <v>0</v>
      </c>
      <c r="D58" s="216">
        <f>'B) D RI'!AA59</f>
        <v>718</v>
      </c>
      <c r="E58" s="217">
        <f>'B) D RI'!S59</f>
        <v>61</v>
      </c>
      <c r="F58" s="10">
        <f>'B) D RI'!R59</f>
        <v>3871908.6361198016</v>
      </c>
      <c r="G58" s="10">
        <f>'B) D RI'!U59</f>
        <v>63473.912067537727</v>
      </c>
      <c r="H58" s="41">
        <f>'B) D RI'!T59</f>
        <v>3580008.3861198016</v>
      </c>
      <c r="I58" s="10">
        <f t="shared" si="3"/>
        <v>117377.32413507545</v>
      </c>
      <c r="J58" s="31">
        <f t="shared" si="6"/>
        <v>61127.901340164804</v>
      </c>
      <c r="K58" s="10">
        <f t="shared" si="1"/>
        <v>61127.901340164804</v>
      </c>
      <c r="L58" s="10">
        <f t="shared" si="4"/>
        <v>0</v>
      </c>
      <c r="M58" s="10">
        <f>'D) Ecrêtage'!C57</f>
        <v>63473.912067537727</v>
      </c>
      <c r="N58" s="10">
        <f t="shared" si="7"/>
        <v>81570.141818493139</v>
      </c>
      <c r="O58" s="55">
        <f t="shared" si="5"/>
        <v>142698.04315865794</v>
      </c>
      <c r="P58" s="218"/>
      <c r="Q58" s="219"/>
      <c r="R58" s="215"/>
      <c r="S58" s="215"/>
      <c r="T58" s="220"/>
    </row>
    <row r="59" spans="1:20" s="214" customFormat="1" x14ac:dyDescent="0.25">
      <c r="A59" s="306">
        <f>'A) Base RI'!A60</f>
        <v>5490</v>
      </c>
      <c r="B59" s="227" t="str">
        <f>'A) Base RI'!B60</f>
        <v>Moiry</v>
      </c>
      <c r="C59" s="243">
        <v>0</v>
      </c>
      <c r="D59" s="216">
        <f>'B) D RI'!AA60</f>
        <v>310</v>
      </c>
      <c r="E59" s="217">
        <f>'B) D RI'!S60</f>
        <v>78.5</v>
      </c>
      <c r="F59" s="10">
        <f>'B) D RI'!R60</f>
        <v>654557.7977129831</v>
      </c>
      <c r="G59" s="10">
        <f>'B) D RI'!U60</f>
        <v>8338.3158944329061</v>
      </c>
      <c r="H59" s="41">
        <f>'B) D RI'!T60</f>
        <v>609490.5477129831</v>
      </c>
      <c r="I59" s="10">
        <f t="shared" si="3"/>
        <v>15528.421597783008</v>
      </c>
      <c r="J59" s="31">
        <f t="shared" si="6"/>
        <v>26392.269380851099</v>
      </c>
      <c r="K59" s="10">
        <f t="shared" si="1"/>
        <v>15528.421597783008</v>
      </c>
      <c r="L59" s="10">
        <f t="shared" si="4"/>
        <v>10863.847783068091</v>
      </c>
      <c r="M59" s="10">
        <f>'D) Ecrêtage'!C58</f>
        <v>8338.3158944329061</v>
      </c>
      <c r="N59" s="10">
        <f t="shared" si="7"/>
        <v>10715.545771191541</v>
      </c>
      <c r="O59" s="55">
        <f t="shared" si="5"/>
        <v>26243.967368974547</v>
      </c>
      <c r="P59" s="218"/>
      <c r="Q59" s="219"/>
      <c r="R59" s="215"/>
      <c r="S59" s="215"/>
      <c r="T59" s="220"/>
    </row>
    <row r="60" spans="1:20" s="214" customFormat="1" x14ac:dyDescent="0.25">
      <c r="A60" s="306">
        <f>'A) Base RI'!A61</f>
        <v>5491</v>
      </c>
      <c r="B60" s="227" t="str">
        <f>'A) Base RI'!B61</f>
        <v>Mont-la-Ville</v>
      </c>
      <c r="C60" s="243">
        <v>0</v>
      </c>
      <c r="D60" s="216">
        <f>'B) D RI'!AA61</f>
        <v>478</v>
      </c>
      <c r="E60" s="217">
        <f>'B) D RI'!S61</f>
        <v>76</v>
      </c>
      <c r="F60" s="10">
        <f>'B) D RI'!R61</f>
        <v>1074767.9939890432</v>
      </c>
      <c r="G60" s="10">
        <f>'B) D RI'!U61</f>
        <v>14141.684131434778</v>
      </c>
      <c r="H60" s="41">
        <f>'B) D RI'!T61</f>
        <v>992373.39398904319</v>
      </c>
      <c r="I60" s="10">
        <f t="shared" si="3"/>
        <v>26115.089315501136</v>
      </c>
      <c r="J60" s="31">
        <f t="shared" si="6"/>
        <v>40695.176658215569</v>
      </c>
      <c r="K60" s="10">
        <f t="shared" si="1"/>
        <v>26115.089315501136</v>
      </c>
      <c r="L60" s="10">
        <f t="shared" si="4"/>
        <v>14580.087342714432</v>
      </c>
      <c r="M60" s="10">
        <f>'D) Ecrêtage'!C59</f>
        <v>14141.684131434778</v>
      </c>
      <c r="N60" s="10">
        <f t="shared" si="7"/>
        <v>18173.437599467259</v>
      </c>
      <c r="O60" s="55">
        <f t="shared" si="5"/>
        <v>44288.526914968395</v>
      </c>
      <c r="P60" s="218"/>
      <c r="Q60" s="219"/>
      <c r="R60" s="215"/>
      <c r="S60" s="215"/>
      <c r="T60" s="220"/>
    </row>
    <row r="61" spans="1:20" s="214" customFormat="1" x14ac:dyDescent="0.25">
      <c r="A61" s="306">
        <f>'A) Base RI'!A62</f>
        <v>5492</v>
      </c>
      <c r="B61" s="227" t="str">
        <f>'A) Base RI'!B62</f>
        <v>Montricher</v>
      </c>
      <c r="C61" s="243">
        <v>0</v>
      </c>
      <c r="D61" s="216">
        <f>'B) D RI'!AA62</f>
        <v>964</v>
      </c>
      <c r="E61" s="217">
        <f>'B) D RI'!S62</f>
        <v>64</v>
      </c>
      <c r="F61" s="10">
        <f>'B) D RI'!R62</f>
        <v>12142745.723333333</v>
      </c>
      <c r="G61" s="10">
        <f>'B) D RI'!U62</f>
        <v>189730.40192708332</v>
      </c>
      <c r="H61" s="41">
        <f>'B) D RI'!T62</f>
        <v>11898277.939999999</v>
      </c>
      <c r="I61" s="10">
        <f t="shared" si="3"/>
        <v>371821.18562499998</v>
      </c>
      <c r="J61" s="31">
        <f t="shared" si="6"/>
        <v>82071.444139162777</v>
      </c>
      <c r="K61" s="10">
        <f t="shared" si="1"/>
        <v>82071.444139162777</v>
      </c>
      <c r="L61" s="10">
        <f t="shared" si="4"/>
        <v>0</v>
      </c>
      <c r="M61" s="10">
        <f>'D) Ecrêtage'!C60</f>
        <v>189730.40192708332</v>
      </c>
      <c r="N61" s="10">
        <f t="shared" si="7"/>
        <v>243821.99376658408</v>
      </c>
      <c r="O61" s="55">
        <f t="shared" si="5"/>
        <v>325893.43790574686</v>
      </c>
      <c r="P61" s="218"/>
      <c r="Q61" s="219"/>
      <c r="R61" s="215"/>
      <c r="S61" s="215"/>
      <c r="T61" s="220"/>
    </row>
    <row r="62" spans="1:20" s="214" customFormat="1" x14ac:dyDescent="0.25">
      <c r="A62" s="306">
        <f>'A) Base RI'!A63</f>
        <v>5493</v>
      </c>
      <c r="B62" s="227" t="str">
        <f>'A) Base RI'!B63</f>
        <v>Orny</v>
      </c>
      <c r="C62" s="243">
        <v>0</v>
      </c>
      <c r="D62" s="216">
        <f>'B) D RI'!AA63</f>
        <v>416</v>
      </c>
      <c r="E62" s="217">
        <f>'B) D RI'!S63</f>
        <v>73</v>
      </c>
      <c r="F62" s="10">
        <f>'B) D RI'!R63</f>
        <v>778983.52676127059</v>
      </c>
      <c r="G62" s="10">
        <f>'B) D RI'!U63</f>
        <v>10671.007215907817</v>
      </c>
      <c r="H62" s="41">
        <f>'B) D RI'!T63</f>
        <v>724119.36906896287</v>
      </c>
      <c r="I62" s="10">
        <f t="shared" si="3"/>
        <v>19838.886823807203</v>
      </c>
      <c r="J62" s="31">
        <f t="shared" si="6"/>
        <v>35416.722782045348</v>
      </c>
      <c r="K62" s="10">
        <f t="shared" si="1"/>
        <v>19838.886823807203</v>
      </c>
      <c r="L62" s="10">
        <f t="shared" si="4"/>
        <v>15577.835958238145</v>
      </c>
      <c r="M62" s="10">
        <f>'D) Ecrêtage'!C61</f>
        <v>10671.007215907817</v>
      </c>
      <c r="N62" s="10">
        <f t="shared" si="7"/>
        <v>13713.280678550274</v>
      </c>
      <c r="O62" s="55">
        <f t="shared" si="5"/>
        <v>33552.167502357479</v>
      </c>
      <c r="P62" s="218"/>
      <c r="Q62" s="219"/>
      <c r="R62" s="215"/>
      <c r="S62" s="215"/>
      <c r="T62" s="220"/>
    </row>
    <row r="63" spans="1:20" s="214" customFormat="1" x14ac:dyDescent="0.25">
      <c r="A63" s="306">
        <f>'A) Base RI'!A64</f>
        <v>5494</v>
      </c>
      <c r="B63" s="227" t="str">
        <f>'A) Base RI'!B64</f>
        <v>Pampigny</v>
      </c>
      <c r="C63" s="243">
        <v>0</v>
      </c>
      <c r="D63" s="216">
        <f>'B) D RI'!AA64</f>
        <v>1103</v>
      </c>
      <c r="E63" s="217">
        <f>'B) D RI'!S64</f>
        <v>75</v>
      </c>
      <c r="F63" s="10">
        <f>'B) D RI'!R64</f>
        <v>2772579.4380099447</v>
      </c>
      <c r="G63" s="10">
        <f>'B) D RI'!U64</f>
        <v>36967.725840132596</v>
      </c>
      <c r="H63" s="41">
        <f>'B) D RI'!T64</f>
        <v>2558058.7927718498</v>
      </c>
      <c r="I63" s="10">
        <f t="shared" si="3"/>
        <v>68214.90114058266</v>
      </c>
      <c r="J63" s="31">
        <f t="shared" si="6"/>
        <v>93905.397184125046</v>
      </c>
      <c r="K63" s="10">
        <f t="shared" si="1"/>
        <v>68214.90114058266</v>
      </c>
      <c r="L63" s="10">
        <f t="shared" si="4"/>
        <v>25690.496043542385</v>
      </c>
      <c r="M63" s="10">
        <f>'D) Ecrêtage'!C62</f>
        <v>36967.725840132596</v>
      </c>
      <c r="N63" s="10">
        <f t="shared" si="7"/>
        <v>47507.118141359657</v>
      </c>
      <c r="O63" s="55">
        <f t="shared" si="5"/>
        <v>115722.01928194231</v>
      </c>
      <c r="P63" s="218"/>
      <c r="Q63" s="219"/>
      <c r="R63" s="215"/>
      <c r="S63" s="215"/>
      <c r="T63" s="220"/>
    </row>
    <row r="64" spans="1:20" s="214" customFormat="1" x14ac:dyDescent="0.25">
      <c r="A64" s="306">
        <f>'A) Base RI'!A65</f>
        <v>5495</v>
      </c>
      <c r="B64" s="227" t="str">
        <f>'A) Base RI'!B65</f>
        <v>Penthalaz</v>
      </c>
      <c r="C64" s="243">
        <v>0</v>
      </c>
      <c r="D64" s="216">
        <f>'B) D RI'!AA65</f>
        <v>3257</v>
      </c>
      <c r="E64" s="217">
        <f>'B) D RI'!S65</f>
        <v>74</v>
      </c>
      <c r="F64" s="10">
        <f>'B) D RI'!R65</f>
        <v>7036439.1699051391</v>
      </c>
      <c r="G64" s="10">
        <f>'B) D RI'!U65</f>
        <v>95087.015809528908</v>
      </c>
      <c r="H64" s="41">
        <f>'B) D RI'!T65</f>
        <v>6481793.2699051388</v>
      </c>
      <c r="I64" s="10">
        <f t="shared" si="3"/>
        <v>175183.60188932807</v>
      </c>
      <c r="J64" s="31">
        <f t="shared" si="6"/>
        <v>277289.10120461945</v>
      </c>
      <c r="K64" s="10">
        <f t="shared" si="1"/>
        <v>175183.60188932807</v>
      </c>
      <c r="L64" s="10">
        <f t="shared" si="4"/>
        <v>102105.49931529138</v>
      </c>
      <c r="M64" s="10">
        <f>'D) Ecrêtage'!C63</f>
        <v>95087.015809528908</v>
      </c>
      <c r="N64" s="10">
        <f t="shared" si="7"/>
        <v>122196.05050383105</v>
      </c>
      <c r="O64" s="55">
        <f t="shared" si="5"/>
        <v>297379.65239315911</v>
      </c>
      <c r="P64" s="218"/>
      <c r="Q64" s="219"/>
      <c r="R64" s="215"/>
      <c r="S64" s="215"/>
      <c r="T64" s="220"/>
    </row>
    <row r="65" spans="1:20" s="214" customFormat="1" x14ac:dyDescent="0.25">
      <c r="A65" s="306">
        <f>'A) Base RI'!A66</f>
        <v>5496</v>
      </c>
      <c r="B65" s="227" t="str">
        <f>'A) Base RI'!B66</f>
        <v>Penthaz</v>
      </c>
      <c r="C65" s="243">
        <v>0</v>
      </c>
      <c r="D65" s="216">
        <f>'B) D RI'!AA66</f>
        <v>1760</v>
      </c>
      <c r="E65" s="217">
        <f>'B) D RI'!S66</f>
        <v>71</v>
      </c>
      <c r="F65" s="10">
        <f>'B) D RI'!R66</f>
        <v>4212959.4446184225</v>
      </c>
      <c r="G65" s="10">
        <f>'B) D RI'!U66</f>
        <v>59337.456966456659</v>
      </c>
      <c r="H65" s="41">
        <f>'B) D RI'!T66</f>
        <v>3875835.9446184221</v>
      </c>
      <c r="I65" s="10">
        <f t="shared" si="3"/>
        <v>109178.47731319499</v>
      </c>
      <c r="J65" s="31">
        <f t="shared" si="6"/>
        <v>149839.9810009611</v>
      </c>
      <c r="K65" s="10">
        <f t="shared" si="1"/>
        <v>109178.47731319499</v>
      </c>
      <c r="L65" s="10">
        <f t="shared" si="4"/>
        <v>40661.503687766104</v>
      </c>
      <c r="M65" s="10">
        <f>'D) Ecrêtage'!C64</f>
        <v>59337.456966456659</v>
      </c>
      <c r="N65" s="10">
        <f t="shared" si="7"/>
        <v>76254.395266397856</v>
      </c>
      <c r="O65" s="55">
        <f t="shared" si="5"/>
        <v>185432.87257959286</v>
      </c>
      <c r="P65" s="218"/>
      <c r="Q65" s="219"/>
      <c r="R65" s="215"/>
      <c r="S65" s="215"/>
      <c r="T65" s="220"/>
    </row>
    <row r="66" spans="1:20" s="214" customFormat="1" x14ac:dyDescent="0.25">
      <c r="A66" s="306">
        <f>'A) Base RI'!A67</f>
        <v>5497</v>
      </c>
      <c r="B66" s="227" t="str">
        <f>'A) Base RI'!B67</f>
        <v>Pompaples</v>
      </c>
      <c r="C66" s="243">
        <v>0</v>
      </c>
      <c r="D66" s="216">
        <f>'B) D RI'!AA67</f>
        <v>851</v>
      </c>
      <c r="E66" s="217">
        <f>'B) D RI'!S67</f>
        <v>66</v>
      </c>
      <c r="F66" s="10">
        <f>'B) D RI'!R67</f>
        <v>1496391.2231586161</v>
      </c>
      <c r="G66" s="10">
        <f>'B) D RI'!U67</f>
        <v>22672.594290282061</v>
      </c>
      <c r="H66" s="41">
        <f>'B) D RI'!T67</f>
        <v>1387738.623158616</v>
      </c>
      <c r="I66" s="10">
        <f t="shared" si="3"/>
        <v>42052.685550261092</v>
      </c>
      <c r="J66" s="31">
        <f t="shared" si="6"/>
        <v>72451.036268078344</v>
      </c>
      <c r="K66" s="10">
        <f t="shared" si="1"/>
        <v>42052.685550261092</v>
      </c>
      <c r="L66" s="10">
        <f t="shared" si="4"/>
        <v>30398.350717817251</v>
      </c>
      <c r="M66" s="10">
        <f>'D) Ecrêtage'!C65</f>
        <v>22672.594290282061</v>
      </c>
      <c r="N66" s="10">
        <f t="shared" si="7"/>
        <v>29136.485705870047</v>
      </c>
      <c r="O66" s="55">
        <f t="shared" si="5"/>
        <v>71189.171256131143</v>
      </c>
      <c r="P66" s="218"/>
      <c r="Q66" s="219"/>
      <c r="R66" s="215"/>
      <c r="S66" s="215"/>
      <c r="T66" s="220"/>
    </row>
    <row r="67" spans="1:20" s="214" customFormat="1" x14ac:dyDescent="0.25">
      <c r="A67" s="306">
        <f>'A) Base RI'!A68</f>
        <v>5498</v>
      </c>
      <c r="B67" s="227" t="str">
        <f>'A) Base RI'!B68</f>
        <v>La Sarraz</v>
      </c>
      <c r="C67" s="243">
        <v>0</v>
      </c>
      <c r="D67" s="216">
        <f>'B) D RI'!AA68</f>
        <v>2651</v>
      </c>
      <c r="E67" s="217">
        <f>'B) D RI'!S68</f>
        <v>66</v>
      </c>
      <c r="F67" s="10">
        <f>'B) D RI'!R68</f>
        <v>5109313.0342799015</v>
      </c>
      <c r="G67" s="10">
        <f>'B) D RI'!U68</f>
        <v>77413.833852725787</v>
      </c>
      <c r="H67" s="41">
        <f>'B) D RI'!T68</f>
        <v>4701535.5342799015</v>
      </c>
      <c r="I67" s="10">
        <f t="shared" si="3"/>
        <v>142470.77376605762</v>
      </c>
      <c r="J67" s="31">
        <f t="shared" si="6"/>
        <v>225696.47138269764</v>
      </c>
      <c r="K67" s="10">
        <f t="shared" si="1"/>
        <v>142470.77376605762</v>
      </c>
      <c r="L67" s="10">
        <f t="shared" si="4"/>
        <v>83225.697616640013</v>
      </c>
      <c r="M67" s="10">
        <f>'D) Ecrêtage'!C66</f>
        <v>77413.833852725787</v>
      </c>
      <c r="N67" s="10">
        <f t="shared" si="7"/>
        <v>99484.29520715792</v>
      </c>
      <c r="O67" s="55">
        <f t="shared" si="5"/>
        <v>241955.06897321553</v>
      </c>
      <c r="P67" s="218"/>
      <c r="Q67" s="219"/>
      <c r="R67" s="215"/>
      <c r="S67" s="215"/>
      <c r="T67" s="220"/>
    </row>
    <row r="68" spans="1:20" s="214" customFormat="1" x14ac:dyDescent="0.25">
      <c r="A68" s="306">
        <f>'A) Base RI'!A69</f>
        <v>5499</v>
      </c>
      <c r="B68" s="227" t="str">
        <f>'A) Base RI'!B69</f>
        <v>Senarclens</v>
      </c>
      <c r="C68" s="243">
        <v>0</v>
      </c>
      <c r="D68" s="216">
        <f>'B) D RI'!AA69</f>
        <v>477</v>
      </c>
      <c r="E68" s="217">
        <f>'B) D RI'!S69</f>
        <v>68.5</v>
      </c>
      <c r="F68" s="10">
        <f>'B) D RI'!R69</f>
        <v>1336537.0305015808</v>
      </c>
      <c r="G68" s="10">
        <f>'B) D RI'!U69</f>
        <v>19511.48949637344</v>
      </c>
      <c r="H68" s="41">
        <f>'B) D RI'!T69</f>
        <v>1242023.4305015807</v>
      </c>
      <c r="I68" s="10">
        <f t="shared" si="3"/>
        <v>36263.457824863668</v>
      </c>
      <c r="J68" s="31">
        <f t="shared" si="6"/>
        <v>40610.04030537411</v>
      </c>
      <c r="K68" s="10">
        <f t="shared" si="1"/>
        <v>36263.457824863668</v>
      </c>
      <c r="L68" s="10">
        <f t="shared" si="4"/>
        <v>4346.5824805104421</v>
      </c>
      <c r="M68" s="10">
        <f>'D) Ecrêtage'!C67</f>
        <v>19511.48949637344</v>
      </c>
      <c r="N68" s="10">
        <f t="shared" si="7"/>
        <v>25074.159027976235</v>
      </c>
      <c r="O68" s="55">
        <f t="shared" si="5"/>
        <v>61337.616852839899</v>
      </c>
      <c r="P68" s="218"/>
      <c r="Q68" s="219"/>
      <c r="R68" s="215"/>
      <c r="S68" s="215"/>
      <c r="T68" s="220"/>
    </row>
    <row r="69" spans="1:20" s="214" customFormat="1" x14ac:dyDescent="0.25">
      <c r="A69" s="306">
        <f>'A) Base RI'!A70</f>
        <v>5500</v>
      </c>
      <c r="B69" s="227" t="str">
        <f>'A) Base RI'!B70</f>
        <v>Sévery</v>
      </c>
      <c r="C69" s="243">
        <v>0</v>
      </c>
      <c r="D69" s="216">
        <f>'B) D RI'!AA70</f>
        <v>227</v>
      </c>
      <c r="E69" s="217">
        <f>'B) D RI'!S70</f>
        <v>75</v>
      </c>
      <c r="F69" s="10">
        <f>'B) D RI'!R70</f>
        <v>524205.51666666672</v>
      </c>
      <c r="G69" s="10">
        <f>'B) D RI'!U70</f>
        <v>6989.4068888888896</v>
      </c>
      <c r="H69" s="41">
        <f>'B) D RI'!T70</f>
        <v>481793.15</v>
      </c>
      <c r="I69" s="10">
        <f t="shared" si="3"/>
        <v>12847.817333333334</v>
      </c>
      <c r="J69" s="31">
        <f t="shared" ref="J69:J100" si="8">+$I$314/$D$314*D69</f>
        <v>19325.952095010322</v>
      </c>
      <c r="K69" s="10">
        <f t="shared" ref="K69:K132" si="9">IF(C69=1,0,IF(J69&gt;I69,I69,J69))</f>
        <v>12847.817333333334</v>
      </c>
      <c r="L69" s="10">
        <f t="shared" si="4"/>
        <v>6478.1347616769872</v>
      </c>
      <c r="M69" s="10">
        <f>'D) Ecrêtage'!C68</f>
        <v>6989.4068888888896</v>
      </c>
      <c r="N69" s="10">
        <f t="shared" ref="N69:N132" si="10">+$N$5*M69</f>
        <v>8982.0666882354944</v>
      </c>
      <c r="O69" s="55">
        <f t="shared" ref="O69:O132" si="11">+N69+K69</f>
        <v>21829.884021568829</v>
      </c>
      <c r="P69" s="218"/>
      <c r="Q69" s="219"/>
      <c r="R69" s="215"/>
      <c r="S69" s="215"/>
      <c r="T69" s="220"/>
    </row>
    <row r="70" spans="1:20" s="214" customFormat="1" x14ac:dyDescent="0.25">
      <c r="A70" s="306">
        <f>'A) Base RI'!A71</f>
        <v>5501</v>
      </c>
      <c r="B70" s="227" t="str">
        <f>'A) Base RI'!B71</f>
        <v>Sullens</v>
      </c>
      <c r="C70" s="243">
        <v>0</v>
      </c>
      <c r="D70" s="216">
        <f>'B) D RI'!AA71</f>
        <v>1035</v>
      </c>
      <c r="E70" s="217">
        <f>'B) D RI'!S71</f>
        <v>70</v>
      </c>
      <c r="F70" s="10">
        <f>'B) D RI'!R71</f>
        <v>2829407.8672229494</v>
      </c>
      <c r="G70" s="10">
        <f>'B) D RI'!U71</f>
        <v>40420.112388899281</v>
      </c>
      <c r="H70" s="41">
        <f>'B) D RI'!T71</f>
        <v>2607610.1172229494</v>
      </c>
      <c r="I70" s="10">
        <f t="shared" ref="I70:I133" si="12">+H70/E70*$I$5</f>
        <v>74503.146206369987</v>
      </c>
      <c r="J70" s="31">
        <f t="shared" si="8"/>
        <v>88116.125190906096</v>
      </c>
      <c r="K70" s="10">
        <f t="shared" si="9"/>
        <v>74503.146206369987</v>
      </c>
      <c r="L70" s="10">
        <f t="shared" ref="L70:L133" si="13">+J70-K70</f>
        <v>13612.978984536108</v>
      </c>
      <c r="M70" s="10">
        <f>'D) Ecrêtage'!C69</f>
        <v>40420.112388899281</v>
      </c>
      <c r="N70" s="10">
        <f t="shared" si="10"/>
        <v>51943.770164564325</v>
      </c>
      <c r="O70" s="55">
        <f t="shared" si="11"/>
        <v>126446.91637093431</v>
      </c>
      <c r="P70" s="218"/>
      <c r="Q70" s="219"/>
      <c r="R70" s="215"/>
      <c r="S70" s="215"/>
      <c r="T70" s="220"/>
    </row>
    <row r="71" spans="1:20" s="214" customFormat="1" x14ac:dyDescent="0.25">
      <c r="A71" s="306">
        <f>'A) Base RI'!A72</f>
        <v>5503</v>
      </c>
      <c r="B71" s="227" t="str">
        <f>'A) Base RI'!B72</f>
        <v>Vufflens-la-Ville</v>
      </c>
      <c r="C71" s="243">
        <v>0</v>
      </c>
      <c r="D71" s="216">
        <f>'B) D RI'!AA72</f>
        <v>1295</v>
      </c>
      <c r="E71" s="217">
        <f>'B) D RI'!S72</f>
        <v>67</v>
      </c>
      <c r="F71" s="10">
        <f>'B) D RI'!R72</f>
        <v>6000325.4628648646</v>
      </c>
      <c r="G71" s="10">
        <f>'B) D RI'!U72</f>
        <v>89557.096460669622</v>
      </c>
      <c r="H71" s="41">
        <f>'B) D RI'!T72</f>
        <v>5616108.6628648648</v>
      </c>
      <c r="I71" s="10">
        <f t="shared" si="12"/>
        <v>167645.03471238402</v>
      </c>
      <c r="J71" s="31">
        <f t="shared" si="8"/>
        <v>110251.57692968444</v>
      </c>
      <c r="K71" s="10">
        <f t="shared" si="9"/>
        <v>110251.57692968444</v>
      </c>
      <c r="L71" s="10">
        <f t="shared" si="13"/>
        <v>0</v>
      </c>
      <c r="M71" s="10">
        <f>'D) Ecrêtage'!C70</f>
        <v>89557.096460669622</v>
      </c>
      <c r="N71" s="10">
        <f t="shared" si="10"/>
        <v>115089.56705514547</v>
      </c>
      <c r="O71" s="55">
        <f t="shared" si="11"/>
        <v>225341.14398482989</v>
      </c>
      <c r="P71" s="218"/>
      <c r="Q71" s="219"/>
      <c r="R71" s="215"/>
      <c r="S71" s="215"/>
      <c r="T71" s="220"/>
    </row>
    <row r="72" spans="1:20" s="214" customFormat="1" x14ac:dyDescent="0.25">
      <c r="A72" s="306">
        <f>'A) Base RI'!A73</f>
        <v>5511</v>
      </c>
      <c r="B72" s="227" t="str">
        <f>'A) Base RI'!B73</f>
        <v>Assens</v>
      </c>
      <c r="C72" s="243">
        <v>0</v>
      </c>
      <c r="D72" s="216">
        <f>'B) D RI'!AA73</f>
        <v>1074</v>
      </c>
      <c r="E72" s="217">
        <f>'B) D RI'!S73</f>
        <v>70</v>
      </c>
      <c r="F72" s="10">
        <f>'B) D RI'!R73</f>
        <v>3503986.8996571656</v>
      </c>
      <c r="G72" s="10">
        <f>'B) D RI'!U73</f>
        <v>50056.955709388079</v>
      </c>
      <c r="H72" s="41">
        <f>'B) D RI'!T73</f>
        <v>3264251.8496571658</v>
      </c>
      <c r="I72" s="10">
        <f t="shared" si="12"/>
        <v>93264.338561633311</v>
      </c>
      <c r="J72" s="31">
        <f t="shared" si="8"/>
        <v>91436.442951722842</v>
      </c>
      <c r="K72" s="10">
        <f t="shared" si="9"/>
        <v>91436.442951722842</v>
      </c>
      <c r="L72" s="10">
        <f t="shared" si="13"/>
        <v>0</v>
      </c>
      <c r="M72" s="10">
        <f>'D) Ecrêtage'!C71</f>
        <v>50056.955709388079</v>
      </c>
      <c r="N72" s="10">
        <f t="shared" si="10"/>
        <v>64328.049795831786</v>
      </c>
      <c r="O72" s="55">
        <f t="shared" si="11"/>
        <v>155764.49274755461</v>
      </c>
      <c r="P72" s="218"/>
      <c r="Q72" s="219"/>
      <c r="R72" s="215"/>
      <c r="S72" s="215"/>
      <c r="T72" s="220"/>
    </row>
    <row r="73" spans="1:20" s="214" customFormat="1" x14ac:dyDescent="0.25">
      <c r="A73" s="306">
        <f>'A) Base RI'!A74</f>
        <v>5512</v>
      </c>
      <c r="B73" s="227" t="str">
        <f>'A) Base RI'!B74</f>
        <v>Bercher</v>
      </c>
      <c r="C73" s="243">
        <v>0</v>
      </c>
      <c r="D73" s="216">
        <f>'B) D RI'!AA74</f>
        <v>1280</v>
      </c>
      <c r="E73" s="217">
        <f>'B) D RI'!S74</f>
        <v>79</v>
      </c>
      <c r="F73" s="10">
        <f>'B) D RI'!R74</f>
        <v>3161119.7220332287</v>
      </c>
      <c r="G73" s="10">
        <f>'B) D RI'!U74</f>
        <v>40014.173696623147</v>
      </c>
      <c r="H73" s="41">
        <f>'B) D RI'!T74</f>
        <v>2903502.0220332285</v>
      </c>
      <c r="I73" s="10">
        <f t="shared" si="12"/>
        <v>73506.380304638704</v>
      </c>
      <c r="J73" s="31">
        <f t="shared" si="8"/>
        <v>108974.53163706261</v>
      </c>
      <c r="K73" s="10">
        <f t="shared" si="9"/>
        <v>73506.380304638704</v>
      </c>
      <c r="L73" s="10">
        <f t="shared" si="13"/>
        <v>35468.151332423906</v>
      </c>
      <c r="M73" s="10">
        <f>'D) Ecrêtage'!C72</f>
        <v>40014.173696623147</v>
      </c>
      <c r="N73" s="10">
        <f t="shared" si="10"/>
        <v>51422.099518782394</v>
      </c>
      <c r="O73" s="55">
        <f t="shared" si="11"/>
        <v>124928.4798234211</v>
      </c>
      <c r="P73" s="218"/>
      <c r="Q73" s="219"/>
      <c r="R73" s="215"/>
      <c r="S73" s="215"/>
      <c r="T73" s="220"/>
    </row>
    <row r="74" spans="1:20" s="214" customFormat="1" x14ac:dyDescent="0.25">
      <c r="A74" s="306">
        <f>'A) Base RI'!A75</f>
        <v>5513</v>
      </c>
      <c r="B74" s="227" t="str">
        <f>'A) Base RI'!B75</f>
        <v>Bioley-Orjulaz</v>
      </c>
      <c r="C74" s="243">
        <v>0</v>
      </c>
      <c r="D74" s="216">
        <f>'B) D RI'!AA75</f>
        <v>521</v>
      </c>
      <c r="E74" s="217">
        <f>'B) D RI'!S75</f>
        <v>68</v>
      </c>
      <c r="F74" s="10">
        <f>'B) D RI'!R75</f>
        <v>1433722.6187676254</v>
      </c>
      <c r="G74" s="10">
        <f>'B) D RI'!U75</f>
        <v>21084.156158347432</v>
      </c>
      <c r="H74" s="41">
        <f>'B) D RI'!T75</f>
        <v>1308484.2687676253</v>
      </c>
      <c r="I74" s="10">
        <f t="shared" si="12"/>
        <v>38484.831434341919</v>
      </c>
      <c r="J74" s="31">
        <f t="shared" si="8"/>
        <v>44356.039830398142</v>
      </c>
      <c r="K74" s="10">
        <f t="shared" si="9"/>
        <v>38484.831434341919</v>
      </c>
      <c r="L74" s="10">
        <f t="shared" si="13"/>
        <v>5871.2083960562231</v>
      </c>
      <c r="M74" s="10">
        <f>'D) Ecrêtage'!C73</f>
        <v>21084.156158347432</v>
      </c>
      <c r="N74" s="10">
        <f t="shared" si="10"/>
        <v>27095.18843158285</v>
      </c>
      <c r="O74" s="55">
        <f t="shared" si="11"/>
        <v>65580.019865924769</v>
      </c>
      <c r="P74" s="218"/>
      <c r="Q74" s="219"/>
      <c r="R74" s="215"/>
      <c r="S74" s="215"/>
      <c r="T74" s="220"/>
    </row>
    <row r="75" spans="1:20" s="214" customFormat="1" x14ac:dyDescent="0.25">
      <c r="A75" s="306">
        <f>'A) Base RI'!A76</f>
        <v>5514</v>
      </c>
      <c r="B75" s="227" t="str">
        <f>'A) Base RI'!B76</f>
        <v>Bottens</v>
      </c>
      <c r="C75" s="243">
        <v>0</v>
      </c>
      <c r="D75" s="216">
        <f>'B) D RI'!AA76</f>
        <v>1299</v>
      </c>
      <c r="E75" s="217">
        <f>'B) D RI'!S76</f>
        <v>74</v>
      </c>
      <c r="F75" s="10">
        <f>'B) D RI'!R76</f>
        <v>3019827.2112189513</v>
      </c>
      <c r="G75" s="10">
        <f>'B) D RI'!U76</f>
        <v>40808.475827283124</v>
      </c>
      <c r="H75" s="41">
        <f>'B) D RI'!T76</f>
        <v>2779591.9112189515</v>
      </c>
      <c r="I75" s="10">
        <f t="shared" si="12"/>
        <v>75124.105708620307</v>
      </c>
      <c r="J75" s="31">
        <f t="shared" si="8"/>
        <v>110592.12234105026</v>
      </c>
      <c r="K75" s="10">
        <f t="shared" si="9"/>
        <v>75124.105708620307</v>
      </c>
      <c r="L75" s="10">
        <f t="shared" si="13"/>
        <v>35468.01663242995</v>
      </c>
      <c r="M75" s="10">
        <f>'D) Ecrêtage'!C74</f>
        <v>40808.475827283124</v>
      </c>
      <c r="N75" s="10">
        <f t="shared" si="10"/>
        <v>52442.854902123603</v>
      </c>
      <c r="O75" s="55">
        <f t="shared" si="11"/>
        <v>127566.9606107439</v>
      </c>
      <c r="P75" s="218"/>
      <c r="Q75" s="219"/>
      <c r="R75" s="215"/>
      <c r="S75" s="215"/>
      <c r="T75" s="220"/>
    </row>
    <row r="76" spans="1:20" s="214" customFormat="1" x14ac:dyDescent="0.25">
      <c r="A76" s="306">
        <f>'A) Base RI'!A77</f>
        <v>5515</v>
      </c>
      <c r="B76" s="227" t="str">
        <f>'A) Base RI'!B77</f>
        <v>Bretigny-sur-Morrens</v>
      </c>
      <c r="C76" s="243">
        <v>0</v>
      </c>
      <c r="D76" s="216">
        <f>'B) D RI'!AA77</f>
        <v>861</v>
      </c>
      <c r="E76" s="217">
        <f>'B) D RI'!S77</f>
        <v>81</v>
      </c>
      <c r="F76" s="10">
        <f>'B) D RI'!R77</f>
        <v>2334203.3647068697</v>
      </c>
      <c r="G76" s="10">
        <f>'B) D RI'!U77</f>
        <v>28817.325490208266</v>
      </c>
      <c r="H76" s="41">
        <f>'B) D RI'!T77</f>
        <v>2167533.3647068697</v>
      </c>
      <c r="I76" s="10">
        <f t="shared" si="12"/>
        <v>53519.342338441231</v>
      </c>
      <c r="J76" s="31">
        <f t="shared" si="8"/>
        <v>73302.3997964929</v>
      </c>
      <c r="K76" s="10">
        <f t="shared" si="9"/>
        <v>53519.342338441231</v>
      </c>
      <c r="L76" s="10">
        <f t="shared" si="13"/>
        <v>19783.05745805167</v>
      </c>
      <c r="M76" s="10">
        <f>'D) Ecrêtage'!C75</f>
        <v>28817.325490208266</v>
      </c>
      <c r="N76" s="10">
        <f t="shared" si="10"/>
        <v>37033.062095886518</v>
      </c>
      <c r="O76" s="55">
        <f t="shared" si="11"/>
        <v>90552.404434327749</v>
      </c>
      <c r="P76" s="218"/>
      <c r="Q76" s="219"/>
      <c r="R76" s="215"/>
      <c r="S76" s="215"/>
      <c r="T76" s="220"/>
    </row>
    <row r="77" spans="1:20" s="214" customFormat="1" x14ac:dyDescent="0.25">
      <c r="A77" s="306">
        <f>'A) Base RI'!A78</f>
        <v>5516</v>
      </c>
      <c r="B77" s="227" t="str">
        <f>'A) Base RI'!B78</f>
        <v>Cugy</v>
      </c>
      <c r="C77" s="243">
        <v>0</v>
      </c>
      <c r="D77" s="216">
        <f>'B) D RI'!AA78</f>
        <v>2768</v>
      </c>
      <c r="E77" s="217">
        <f>'B) D RI'!S78</f>
        <v>78</v>
      </c>
      <c r="F77" s="10">
        <f>'B) D RI'!R78</f>
        <v>8651357.4735008962</v>
      </c>
      <c r="G77" s="10">
        <f>'B) D RI'!U78</f>
        <v>110914.83940385764</v>
      </c>
      <c r="H77" s="41">
        <f>'B) D RI'!T78</f>
        <v>8048525.5651675621</v>
      </c>
      <c r="I77" s="10">
        <f t="shared" si="12"/>
        <v>206372.45038891185</v>
      </c>
      <c r="J77" s="31">
        <f t="shared" si="8"/>
        <v>235657.4246651479</v>
      </c>
      <c r="K77" s="10">
        <f t="shared" si="9"/>
        <v>206372.45038891185</v>
      </c>
      <c r="L77" s="10">
        <f t="shared" si="13"/>
        <v>29284.974276236055</v>
      </c>
      <c r="M77" s="10">
        <f>'D) Ecrêtage'!C76</f>
        <v>110914.83940385764</v>
      </c>
      <c r="N77" s="10">
        <f t="shared" si="10"/>
        <v>142536.34107696838</v>
      </c>
      <c r="O77" s="55">
        <f t="shared" si="11"/>
        <v>348908.79146588023</v>
      </c>
      <c r="P77" s="218"/>
      <c r="Q77" s="219"/>
      <c r="R77" s="215"/>
      <c r="S77" s="215"/>
      <c r="T77" s="220"/>
    </row>
    <row r="78" spans="1:20" s="214" customFormat="1" x14ac:dyDescent="0.25">
      <c r="A78" s="306">
        <f>'A) Base RI'!A79</f>
        <v>5518</v>
      </c>
      <c r="B78" s="227" t="str">
        <f>'A) Base RI'!B79</f>
        <v>Echallens</v>
      </c>
      <c r="C78" s="243">
        <v>0</v>
      </c>
      <c r="D78" s="216">
        <f>'B) D RI'!AA79</f>
        <v>5725</v>
      </c>
      <c r="E78" s="217">
        <f>'B) D RI'!S79</f>
        <v>74</v>
      </c>
      <c r="F78" s="10">
        <f>'B) D RI'!R79</f>
        <v>13744825.431080382</v>
      </c>
      <c r="G78" s="10">
        <f>'B) D RI'!U79</f>
        <v>185740.88420378894</v>
      </c>
      <c r="H78" s="41">
        <f>'B) D RI'!T79</f>
        <v>12641487.181080382</v>
      </c>
      <c r="I78" s="10">
        <f t="shared" si="12"/>
        <v>341661.81570487522</v>
      </c>
      <c r="J78" s="31">
        <f t="shared" si="8"/>
        <v>487405.6200173308</v>
      </c>
      <c r="K78" s="10">
        <f t="shared" si="9"/>
        <v>341661.81570487522</v>
      </c>
      <c r="L78" s="10">
        <f t="shared" si="13"/>
        <v>145743.80431245558</v>
      </c>
      <c r="M78" s="10">
        <f>'D) Ecrêtage'!C77</f>
        <v>185740.88420378894</v>
      </c>
      <c r="N78" s="10">
        <f t="shared" si="10"/>
        <v>238695.07601602454</v>
      </c>
      <c r="O78" s="55">
        <f t="shared" si="11"/>
        <v>580356.89172089973</v>
      </c>
      <c r="P78" s="218"/>
      <c r="Q78" s="219"/>
      <c r="R78" s="215"/>
      <c r="S78" s="215"/>
      <c r="T78" s="220"/>
    </row>
    <row r="79" spans="1:20" s="214" customFormat="1" x14ac:dyDescent="0.25">
      <c r="A79" s="306">
        <f>'A) Base RI'!A80</f>
        <v>5520</v>
      </c>
      <c r="B79" s="227" t="str">
        <f>'A) Base RI'!B80</f>
        <v>Essertines-sur-Yverdon</v>
      </c>
      <c r="C79" s="243">
        <v>0</v>
      </c>
      <c r="D79" s="216">
        <f>'B) D RI'!AA80</f>
        <v>1030</v>
      </c>
      <c r="E79" s="217">
        <f>'B) D RI'!S80</f>
        <v>73</v>
      </c>
      <c r="F79" s="10">
        <f>'B) D RI'!R80</f>
        <v>2177783.6879770225</v>
      </c>
      <c r="G79" s="10">
        <f>'B) D RI'!U80</f>
        <v>29832.653259959214</v>
      </c>
      <c r="H79" s="41">
        <f>'B) D RI'!T80</f>
        <v>1992451.2879770224</v>
      </c>
      <c r="I79" s="10">
        <f t="shared" si="12"/>
        <v>54587.706519918422</v>
      </c>
      <c r="J79" s="31">
        <f t="shared" si="8"/>
        <v>87690.443426698825</v>
      </c>
      <c r="K79" s="10">
        <f t="shared" si="9"/>
        <v>54587.706519918422</v>
      </c>
      <c r="L79" s="10">
        <f t="shared" si="13"/>
        <v>33102.736906780403</v>
      </c>
      <c r="M79" s="10">
        <f>'D) Ecrêtage'!C78</f>
        <v>29832.653259959214</v>
      </c>
      <c r="N79" s="10">
        <f t="shared" si="10"/>
        <v>38337.856892254458</v>
      </c>
      <c r="O79" s="55">
        <f t="shared" si="11"/>
        <v>92925.56341217288</v>
      </c>
      <c r="P79" s="218"/>
      <c r="Q79" s="219"/>
      <c r="R79" s="215"/>
      <c r="S79" s="215"/>
      <c r="T79" s="220"/>
    </row>
    <row r="80" spans="1:20" s="214" customFormat="1" x14ac:dyDescent="0.25">
      <c r="A80" s="306">
        <f>'A) Base RI'!A81</f>
        <v>5521</v>
      </c>
      <c r="B80" s="227" t="str">
        <f>'A) Base RI'!B81</f>
        <v>Etagnières</v>
      </c>
      <c r="C80" s="243">
        <v>0</v>
      </c>
      <c r="D80" s="216">
        <f>'B) D RI'!AA81</f>
        <v>1143</v>
      </c>
      <c r="E80" s="217">
        <f>'B) D RI'!S81</f>
        <v>73</v>
      </c>
      <c r="F80" s="10">
        <f>'B) D RI'!R81</f>
        <v>3510749.0880746832</v>
      </c>
      <c r="G80" s="10">
        <f>'B) D RI'!U81</f>
        <v>48092.453261297029</v>
      </c>
      <c r="H80" s="41">
        <f>'B) D RI'!T81</f>
        <v>3246304.138074683</v>
      </c>
      <c r="I80" s="10">
        <f t="shared" si="12"/>
        <v>88939.83939930638</v>
      </c>
      <c r="J80" s="31">
        <f t="shared" si="8"/>
        <v>97310.851297783258</v>
      </c>
      <c r="K80" s="10">
        <f t="shared" si="9"/>
        <v>88939.83939930638</v>
      </c>
      <c r="L80" s="10">
        <f t="shared" si="13"/>
        <v>8371.0118984768778</v>
      </c>
      <c r="M80" s="10">
        <f>'D) Ecrêtage'!C79</f>
        <v>48092.453261297029</v>
      </c>
      <c r="N80" s="10">
        <f t="shared" si="10"/>
        <v>61803.473350581968</v>
      </c>
      <c r="O80" s="55">
        <f t="shared" si="11"/>
        <v>150743.31274988834</v>
      </c>
      <c r="P80" s="218"/>
      <c r="Q80" s="219"/>
      <c r="R80" s="215"/>
      <c r="S80" s="215"/>
      <c r="T80" s="220"/>
    </row>
    <row r="81" spans="1:20" s="214" customFormat="1" x14ac:dyDescent="0.25">
      <c r="A81" s="306">
        <f>'A) Base RI'!A82</f>
        <v>5522</v>
      </c>
      <c r="B81" s="227" t="str">
        <f>'A) Base RI'!B82</f>
        <v>Fey</v>
      </c>
      <c r="C81" s="243">
        <v>0</v>
      </c>
      <c r="D81" s="216">
        <f>'B) D RI'!AA82</f>
        <v>751</v>
      </c>
      <c r="E81" s="217">
        <f>'B) D RI'!S82</f>
        <v>75</v>
      </c>
      <c r="F81" s="10">
        <f>'B) D RI'!R82</f>
        <v>1699883.48</v>
      </c>
      <c r="G81" s="10">
        <f>'B) D RI'!U82</f>
        <v>22665.113066666665</v>
      </c>
      <c r="H81" s="41">
        <f>'B) D RI'!T82</f>
        <v>1565019.93</v>
      </c>
      <c r="I81" s="10">
        <f t="shared" si="12"/>
        <v>41733.864799999996</v>
      </c>
      <c r="J81" s="31">
        <f t="shared" si="8"/>
        <v>63937.400983932828</v>
      </c>
      <c r="K81" s="10">
        <f t="shared" si="9"/>
        <v>41733.864799999996</v>
      </c>
      <c r="L81" s="10">
        <f t="shared" si="13"/>
        <v>22203.536183932833</v>
      </c>
      <c r="M81" s="10">
        <f>'D) Ecrêtage'!C80</f>
        <v>22665.113066666665</v>
      </c>
      <c r="N81" s="10">
        <f t="shared" si="10"/>
        <v>29126.871606921264</v>
      </c>
      <c r="O81" s="55">
        <f t="shared" si="11"/>
        <v>70860.736406921264</v>
      </c>
      <c r="P81" s="218"/>
      <c r="Q81" s="219"/>
      <c r="R81" s="215"/>
      <c r="S81" s="215"/>
      <c r="T81" s="220"/>
    </row>
    <row r="82" spans="1:20" s="214" customFormat="1" x14ac:dyDescent="0.25">
      <c r="A82" s="306">
        <f>'A) Base RI'!A83</f>
        <v>5523</v>
      </c>
      <c r="B82" s="227" t="str">
        <f>'A) Base RI'!B83</f>
        <v>Froideville</v>
      </c>
      <c r="C82" s="243">
        <v>0</v>
      </c>
      <c r="D82" s="216">
        <f>'B) D RI'!AA83</f>
        <v>2638</v>
      </c>
      <c r="E82" s="217">
        <f>'B) D RI'!S83</f>
        <v>76</v>
      </c>
      <c r="F82" s="10">
        <f>'B) D RI'!R83</f>
        <v>6774268.1051451452</v>
      </c>
      <c r="G82" s="10">
        <f>'B) D RI'!U83</f>
        <v>89135.106646646644</v>
      </c>
      <c r="H82" s="41">
        <f>'B) D RI'!T83</f>
        <v>6239796.6051451452</v>
      </c>
      <c r="I82" s="10">
        <f t="shared" si="12"/>
        <v>164205.17381960907</v>
      </c>
      <c r="J82" s="31">
        <f t="shared" si="8"/>
        <v>224589.69879575871</v>
      </c>
      <c r="K82" s="10">
        <f t="shared" si="9"/>
        <v>164205.17381960907</v>
      </c>
      <c r="L82" s="10">
        <f t="shared" si="13"/>
        <v>60384.524976149638</v>
      </c>
      <c r="M82" s="10">
        <f>'D) Ecrêtage'!C81</f>
        <v>89135.106646646644</v>
      </c>
      <c r="N82" s="10">
        <f t="shared" si="10"/>
        <v>114547.26915897691</v>
      </c>
      <c r="O82" s="55">
        <f t="shared" si="11"/>
        <v>278752.44297858595</v>
      </c>
      <c r="P82" s="218"/>
      <c r="Q82" s="219"/>
      <c r="R82" s="215"/>
      <c r="S82" s="215"/>
      <c r="T82" s="220"/>
    </row>
    <row r="83" spans="1:20" s="214" customFormat="1" x14ac:dyDescent="0.25">
      <c r="A83" s="306">
        <f>'A) Base RI'!A84</f>
        <v>5527</v>
      </c>
      <c r="B83" s="227" t="str">
        <f>'A) Base RI'!B84</f>
        <v>Morrens</v>
      </c>
      <c r="C83" s="243">
        <v>0</v>
      </c>
      <c r="D83" s="216">
        <f>'B) D RI'!AA84</f>
        <v>1126</v>
      </c>
      <c r="E83" s="217">
        <f>'B) D RI'!S84</f>
        <v>74</v>
      </c>
      <c r="F83" s="10">
        <f>'B) D RI'!R84</f>
        <v>2971835.55902552</v>
      </c>
      <c r="G83" s="10">
        <f>'B) D RI'!U84</f>
        <v>40159.939986831349</v>
      </c>
      <c r="H83" s="41">
        <f>'B) D RI'!T84</f>
        <v>2740557.0090255197</v>
      </c>
      <c r="I83" s="10">
        <f t="shared" si="12"/>
        <v>74069.108352041076</v>
      </c>
      <c r="J83" s="31">
        <f t="shared" si="8"/>
        <v>95863.533299478513</v>
      </c>
      <c r="K83" s="10">
        <f t="shared" si="9"/>
        <v>74069.108352041076</v>
      </c>
      <c r="L83" s="10">
        <f t="shared" si="13"/>
        <v>21794.424947437437</v>
      </c>
      <c r="M83" s="10">
        <f>'D) Ecrêtage'!C82</f>
        <v>40159.939986831349</v>
      </c>
      <c r="N83" s="10">
        <f t="shared" si="10"/>
        <v>51609.423359039589</v>
      </c>
      <c r="O83" s="55">
        <f t="shared" si="11"/>
        <v>125678.53171108066</v>
      </c>
      <c r="P83" s="218"/>
      <c r="Q83" s="219"/>
      <c r="R83" s="215"/>
      <c r="S83" s="215"/>
      <c r="T83" s="220"/>
    </row>
    <row r="84" spans="1:20" s="214" customFormat="1" x14ac:dyDescent="0.25">
      <c r="A84" s="306">
        <f>'A) Base RI'!A85</f>
        <v>5529</v>
      </c>
      <c r="B84" s="227" t="str">
        <f>'A) Base RI'!B85</f>
        <v>Oulens-sous-Echallens</v>
      </c>
      <c r="C84" s="243">
        <v>0</v>
      </c>
      <c r="D84" s="216">
        <f>'B) D RI'!AA85</f>
        <v>615</v>
      </c>
      <c r="E84" s="217">
        <f>'B) D RI'!S85</f>
        <v>71</v>
      </c>
      <c r="F84" s="10">
        <f>'B) D RI'!R85</f>
        <v>1533513.3648907056</v>
      </c>
      <c r="G84" s="10">
        <f>'B) D RI'!U85</f>
        <v>21598.779787193034</v>
      </c>
      <c r="H84" s="41">
        <f>'B) D RI'!T85</f>
        <v>1410777.5148907055</v>
      </c>
      <c r="I84" s="10">
        <f t="shared" si="12"/>
        <v>39740.211687062125</v>
      </c>
      <c r="J84" s="31">
        <f t="shared" si="8"/>
        <v>52358.856997494928</v>
      </c>
      <c r="K84" s="10">
        <f t="shared" si="9"/>
        <v>39740.211687062125</v>
      </c>
      <c r="L84" s="10">
        <f t="shared" si="13"/>
        <v>12618.645310432803</v>
      </c>
      <c r="M84" s="10">
        <f>'D) Ecrêtage'!C83</f>
        <v>21598.779787193034</v>
      </c>
      <c r="N84" s="10">
        <f t="shared" si="10"/>
        <v>27756.529776723481</v>
      </c>
      <c r="O84" s="55">
        <f t="shared" si="11"/>
        <v>67496.741463785613</v>
      </c>
      <c r="P84" s="218"/>
      <c r="Q84" s="219"/>
      <c r="R84" s="215"/>
      <c r="S84" s="215"/>
      <c r="T84" s="220"/>
    </row>
    <row r="85" spans="1:20" s="214" customFormat="1" x14ac:dyDescent="0.25">
      <c r="A85" s="306">
        <f>'A) Base RI'!A86</f>
        <v>5530</v>
      </c>
      <c r="B85" s="227" t="str">
        <f>'A) Base RI'!B86</f>
        <v>Pailly</v>
      </c>
      <c r="C85" s="243">
        <v>0</v>
      </c>
      <c r="D85" s="216">
        <f>'B) D RI'!AA86</f>
        <v>563</v>
      </c>
      <c r="E85" s="217">
        <f>'B) D RI'!S86</f>
        <v>77.5</v>
      </c>
      <c r="F85" s="10">
        <f>'B) D RI'!R86</f>
        <v>1364484.3659118081</v>
      </c>
      <c r="G85" s="10">
        <f>'B) D RI'!U86</f>
        <v>17606.249882733009</v>
      </c>
      <c r="H85" s="41">
        <f>'B) D RI'!T86</f>
        <v>1261783.8242451414</v>
      </c>
      <c r="I85" s="10">
        <f t="shared" si="12"/>
        <v>32562.16320632623</v>
      </c>
      <c r="J85" s="31">
        <f t="shared" si="8"/>
        <v>47931.766649739257</v>
      </c>
      <c r="K85" s="10">
        <f t="shared" si="9"/>
        <v>32562.16320632623</v>
      </c>
      <c r="L85" s="10">
        <f t="shared" si="13"/>
        <v>15369.603443413027</v>
      </c>
      <c r="M85" s="10">
        <f>'D) Ecrêtage'!C84</f>
        <v>17606.249882733009</v>
      </c>
      <c r="N85" s="10">
        <f t="shared" si="10"/>
        <v>22625.741080812357</v>
      </c>
      <c r="O85" s="55">
        <f t="shared" si="11"/>
        <v>55187.90428713859</v>
      </c>
      <c r="P85" s="218"/>
      <c r="Q85" s="219"/>
      <c r="R85" s="215"/>
      <c r="S85" s="215"/>
      <c r="T85" s="220"/>
    </row>
    <row r="86" spans="1:20" s="214" customFormat="1" x14ac:dyDescent="0.25">
      <c r="A86" s="306">
        <f>'A) Base RI'!A87</f>
        <v>5531</v>
      </c>
      <c r="B86" s="227" t="str">
        <f>'A) Base RI'!B87</f>
        <v>Penthéréaz</v>
      </c>
      <c r="C86" s="243">
        <v>0</v>
      </c>
      <c r="D86" s="216">
        <f>'B) D RI'!AA87</f>
        <v>421</v>
      </c>
      <c r="E86" s="217">
        <f>'B) D RI'!S87</f>
        <v>78</v>
      </c>
      <c r="F86" s="10">
        <f>'B) D RI'!R87</f>
        <v>1142416.4527679977</v>
      </c>
      <c r="G86" s="10">
        <f>'B) D RI'!U87</f>
        <v>14646.364779076894</v>
      </c>
      <c r="H86" s="41">
        <f>'B) D RI'!T87</f>
        <v>1064853.9527679977</v>
      </c>
      <c r="I86" s="10">
        <f t="shared" si="12"/>
        <v>27303.947506871737</v>
      </c>
      <c r="J86" s="31">
        <f t="shared" si="8"/>
        <v>35842.404546252626</v>
      </c>
      <c r="K86" s="10">
        <f t="shared" si="9"/>
        <v>27303.947506871737</v>
      </c>
      <c r="L86" s="10">
        <f t="shared" si="13"/>
        <v>8538.4570393808899</v>
      </c>
      <c r="M86" s="10">
        <f>'D) Ecrêtage'!C85</f>
        <v>14646.364779076894</v>
      </c>
      <c r="N86" s="10">
        <f t="shared" si="10"/>
        <v>18822.001248063771</v>
      </c>
      <c r="O86" s="55">
        <f t="shared" si="11"/>
        <v>46125.948754935511</v>
      </c>
      <c r="P86" s="218"/>
      <c r="Q86" s="219"/>
      <c r="R86" s="215"/>
      <c r="S86" s="215"/>
      <c r="T86" s="220"/>
    </row>
    <row r="87" spans="1:20" s="214" customFormat="1" x14ac:dyDescent="0.25">
      <c r="A87" s="306">
        <f>'A) Base RI'!A88</f>
        <v>5533</v>
      </c>
      <c r="B87" s="227" t="str">
        <f>'A) Base RI'!B88</f>
        <v>Poliez-Pittet</v>
      </c>
      <c r="C87" s="243">
        <v>0</v>
      </c>
      <c r="D87" s="216">
        <f>'B) D RI'!AA88</f>
        <v>829</v>
      </c>
      <c r="E87" s="217">
        <f>'B) D RI'!S88</f>
        <v>73</v>
      </c>
      <c r="F87" s="10">
        <f>'B) D RI'!R88</f>
        <v>1643938.75</v>
      </c>
      <c r="G87" s="10">
        <f>'B) D RI'!U88</f>
        <v>22519.70890410959</v>
      </c>
      <c r="H87" s="41">
        <f>'B) D RI'!T88</f>
        <v>1504733.8</v>
      </c>
      <c r="I87" s="10">
        <f t="shared" si="12"/>
        <v>41225.583561643834</v>
      </c>
      <c r="J87" s="31">
        <f t="shared" si="8"/>
        <v>70578.036505566328</v>
      </c>
      <c r="K87" s="10">
        <f t="shared" si="9"/>
        <v>41225.583561643834</v>
      </c>
      <c r="L87" s="10">
        <f t="shared" si="13"/>
        <v>29352.452943922493</v>
      </c>
      <c r="M87" s="10">
        <f>'D) Ecrêtage'!C86</f>
        <v>22519.70890410959</v>
      </c>
      <c r="N87" s="10">
        <f t="shared" si="10"/>
        <v>28940.013135866891</v>
      </c>
      <c r="O87" s="55">
        <f t="shared" si="11"/>
        <v>70165.596697510729</v>
      </c>
      <c r="P87" s="218"/>
      <c r="Q87" s="219"/>
      <c r="R87" s="215"/>
      <c r="S87" s="215"/>
      <c r="T87" s="220"/>
    </row>
    <row r="88" spans="1:20" s="214" customFormat="1" x14ac:dyDescent="0.25">
      <c r="A88" s="306">
        <f>'A) Base RI'!A89</f>
        <v>5534</v>
      </c>
      <c r="B88" s="227" t="str">
        <f>'A) Base RI'!B89</f>
        <v>Rueyres</v>
      </c>
      <c r="C88" s="243">
        <v>0</v>
      </c>
      <c r="D88" s="216">
        <f>'B) D RI'!AA89</f>
        <v>265</v>
      </c>
      <c r="E88" s="217">
        <f>'B) D RI'!S89</f>
        <v>73</v>
      </c>
      <c r="F88" s="10">
        <f>'B) D RI'!R89</f>
        <v>756016.19017526333</v>
      </c>
      <c r="G88" s="10">
        <f>'B) D RI'!U89</f>
        <v>10356.386166784428</v>
      </c>
      <c r="H88" s="41">
        <f>'B) D RI'!T89</f>
        <v>676355.59017526335</v>
      </c>
      <c r="I88" s="10">
        <f t="shared" si="12"/>
        <v>18530.290141788038</v>
      </c>
      <c r="J88" s="31">
        <f t="shared" si="8"/>
        <v>22561.13350298562</v>
      </c>
      <c r="K88" s="10">
        <f t="shared" si="9"/>
        <v>18530.290141788038</v>
      </c>
      <c r="L88" s="10">
        <f t="shared" si="13"/>
        <v>4030.8433611975815</v>
      </c>
      <c r="M88" s="10">
        <f>'D) Ecrêtage'!C87</f>
        <v>10356.386166784428</v>
      </c>
      <c r="N88" s="10">
        <f t="shared" si="10"/>
        <v>13308.962073313352</v>
      </c>
      <c r="O88" s="55">
        <f t="shared" si="11"/>
        <v>31839.252215101391</v>
      </c>
      <c r="P88" s="218"/>
      <c r="Q88" s="219"/>
      <c r="R88" s="215"/>
      <c r="S88" s="215"/>
      <c r="T88" s="220"/>
    </row>
    <row r="89" spans="1:20" s="214" customFormat="1" x14ac:dyDescent="0.25">
      <c r="A89" s="306">
        <f>'A) Base RI'!A90</f>
        <v>5535</v>
      </c>
      <c r="B89" s="227" t="str">
        <f>'A) Base RI'!B90</f>
        <v>Saint-Barthélemy</v>
      </c>
      <c r="C89" s="243">
        <v>0</v>
      </c>
      <c r="D89" s="216">
        <f>'B) D RI'!AA90</f>
        <v>791</v>
      </c>
      <c r="E89" s="217">
        <f>'B) D RI'!S90</f>
        <v>77</v>
      </c>
      <c r="F89" s="10">
        <f>'B) D RI'!R90</f>
        <v>1728258.5339654393</v>
      </c>
      <c r="G89" s="10">
        <f>'B) D RI'!U90</f>
        <v>22444.916025525185</v>
      </c>
      <c r="H89" s="41">
        <f>'B) D RI'!T90</f>
        <v>1579986.1339654392</v>
      </c>
      <c r="I89" s="10">
        <f t="shared" si="12"/>
        <v>41038.600882219202</v>
      </c>
      <c r="J89" s="31">
        <f t="shared" si="8"/>
        <v>67342.855097591033</v>
      </c>
      <c r="K89" s="10">
        <f t="shared" si="9"/>
        <v>41038.600882219202</v>
      </c>
      <c r="L89" s="10">
        <f t="shared" si="13"/>
        <v>26304.254215371831</v>
      </c>
      <c r="M89" s="10">
        <f>'D) Ecrêtage'!C88</f>
        <v>22444.916025525185</v>
      </c>
      <c r="N89" s="10">
        <f t="shared" si="10"/>
        <v>28843.897022736008</v>
      </c>
      <c r="O89" s="55">
        <f t="shared" si="11"/>
        <v>69882.497904955206</v>
      </c>
      <c r="P89" s="218"/>
      <c r="Q89" s="219"/>
      <c r="R89" s="215"/>
      <c r="S89" s="215"/>
      <c r="T89" s="220"/>
    </row>
    <row r="90" spans="1:20" s="214" customFormat="1" x14ac:dyDescent="0.25">
      <c r="A90" s="306">
        <f>'A) Base RI'!A91</f>
        <v>5537</v>
      </c>
      <c r="B90" s="227" t="str">
        <f>'A) Base RI'!B91</f>
        <v>Villars-le-Terroir</v>
      </c>
      <c r="C90" s="243">
        <v>0</v>
      </c>
      <c r="D90" s="216">
        <f>'B) D RI'!AA91</f>
        <v>1228</v>
      </c>
      <c r="E90" s="217">
        <f>'B) D RI'!S91</f>
        <v>73</v>
      </c>
      <c r="F90" s="10">
        <f>'B) D RI'!R91</f>
        <v>2648392.0054691555</v>
      </c>
      <c r="G90" s="10">
        <f>'B) D RI'!U91</f>
        <v>36279.342540673366</v>
      </c>
      <c r="H90" s="41">
        <f>'B) D RI'!T91</f>
        <v>2415692.9429691555</v>
      </c>
      <c r="I90" s="10">
        <f t="shared" si="12"/>
        <v>66183.368300524802</v>
      </c>
      <c r="J90" s="31">
        <f t="shared" si="8"/>
        <v>104547.44128930694</v>
      </c>
      <c r="K90" s="10">
        <f t="shared" si="9"/>
        <v>66183.368300524802</v>
      </c>
      <c r="L90" s="10">
        <f t="shared" si="13"/>
        <v>38364.072988782136</v>
      </c>
      <c r="M90" s="10">
        <f>'D) Ecrêtage'!C89</f>
        <v>36279.342540673366</v>
      </c>
      <c r="N90" s="10">
        <f t="shared" si="10"/>
        <v>46622.478743324362</v>
      </c>
      <c r="O90" s="55">
        <f t="shared" si="11"/>
        <v>112805.84704384916</v>
      </c>
      <c r="P90" s="218"/>
      <c r="Q90" s="219"/>
      <c r="R90" s="215"/>
      <c r="S90" s="215"/>
      <c r="T90" s="220"/>
    </row>
    <row r="91" spans="1:20" s="214" customFormat="1" x14ac:dyDescent="0.25">
      <c r="A91" s="306">
        <f>'A) Base RI'!A92</f>
        <v>5539</v>
      </c>
      <c r="B91" s="227" t="str">
        <f>'A) Base RI'!B92</f>
        <v>Vuarrens</v>
      </c>
      <c r="C91" s="243">
        <v>0</v>
      </c>
      <c r="D91" s="216">
        <f>'B) D RI'!AA92</f>
        <v>1054</v>
      </c>
      <c r="E91" s="217">
        <f>'B) D RI'!S92</f>
        <v>75</v>
      </c>
      <c r="F91" s="10">
        <f>'B) D RI'!R92</f>
        <v>2250132.143047493</v>
      </c>
      <c r="G91" s="10">
        <f>'B) D RI'!U92</f>
        <v>30001.761907299908</v>
      </c>
      <c r="H91" s="41">
        <f>'B) D RI'!T92</f>
        <v>2066791.118047493</v>
      </c>
      <c r="I91" s="10">
        <f t="shared" si="12"/>
        <v>55114.429814599811</v>
      </c>
      <c r="J91" s="31">
        <f t="shared" si="8"/>
        <v>89733.715894893743</v>
      </c>
      <c r="K91" s="10">
        <f t="shared" si="9"/>
        <v>55114.429814599811</v>
      </c>
      <c r="L91" s="10">
        <f t="shared" si="13"/>
        <v>34619.286080293932</v>
      </c>
      <c r="M91" s="10">
        <f>'D) Ecrêtage'!C90</f>
        <v>30001.761907299908</v>
      </c>
      <c r="N91" s="10">
        <f t="shared" si="10"/>
        <v>38555.177928519508</v>
      </c>
      <c r="O91" s="55">
        <f t="shared" si="11"/>
        <v>93669.607743119326</v>
      </c>
      <c r="P91" s="218"/>
      <c r="Q91" s="219"/>
      <c r="R91" s="215"/>
      <c r="S91" s="215"/>
      <c r="T91" s="220"/>
    </row>
    <row r="92" spans="1:20" s="214" customFormat="1" x14ac:dyDescent="0.25">
      <c r="A92" s="306">
        <f>'A) Base RI'!A93</f>
        <v>5540</v>
      </c>
      <c r="B92" s="227" t="str">
        <f>'A) Base RI'!B93</f>
        <v>Montilliez</v>
      </c>
      <c r="C92" s="243">
        <v>0</v>
      </c>
      <c r="D92" s="216">
        <f>'B) D RI'!AA93</f>
        <v>1819</v>
      </c>
      <c r="E92" s="217">
        <f>'B) D RI'!S93</f>
        <v>74</v>
      </c>
      <c r="F92" s="10">
        <f>'B) D RI'!R93</f>
        <v>4783185.8216597997</v>
      </c>
      <c r="G92" s="10">
        <f>'B) D RI'!U93</f>
        <v>64637.646238645939</v>
      </c>
      <c r="H92" s="41">
        <f>'B) D RI'!T93</f>
        <v>4441126.7216598</v>
      </c>
      <c r="I92" s="10">
        <f t="shared" si="12"/>
        <v>120030.45193675136</v>
      </c>
      <c r="J92" s="31">
        <f t="shared" si="8"/>
        <v>154863.02581860695</v>
      </c>
      <c r="K92" s="10">
        <f t="shared" si="9"/>
        <v>120030.45193675136</v>
      </c>
      <c r="L92" s="10">
        <f t="shared" si="13"/>
        <v>34832.573881855598</v>
      </c>
      <c r="M92" s="10">
        <f>'D) Ecrêtage'!C91</f>
        <v>64637.646238645939</v>
      </c>
      <c r="N92" s="10">
        <f t="shared" si="10"/>
        <v>83065.65325436178</v>
      </c>
      <c r="O92" s="55">
        <f t="shared" si="11"/>
        <v>203096.10519111314</v>
      </c>
      <c r="P92" s="218"/>
      <c r="Q92" s="219"/>
      <c r="R92" s="215"/>
      <c r="S92" s="215"/>
      <c r="T92" s="220"/>
    </row>
    <row r="93" spans="1:20" s="214" customFormat="1" x14ac:dyDescent="0.25">
      <c r="A93" s="306">
        <f>'A) Base RI'!A94</f>
        <v>5541</v>
      </c>
      <c r="B93" s="227" t="str">
        <f>'A) Base RI'!B94</f>
        <v>Goumoëns</v>
      </c>
      <c r="C93" s="243">
        <v>0</v>
      </c>
      <c r="D93" s="216">
        <f>'B) D RI'!AA94</f>
        <v>1140</v>
      </c>
      <c r="E93" s="217">
        <f>'B) D RI'!S94</f>
        <v>77</v>
      </c>
      <c r="F93" s="10">
        <f>'B) D RI'!R94</f>
        <v>2871205.9814540665</v>
      </c>
      <c r="G93" s="10">
        <f>'B) D RI'!U94</f>
        <v>37288.389369533332</v>
      </c>
      <c r="H93" s="41">
        <f>'B) D RI'!T94</f>
        <v>2662337.4814540665</v>
      </c>
      <c r="I93" s="10">
        <f t="shared" si="12"/>
        <v>69151.622894910819</v>
      </c>
      <c r="J93" s="31">
        <f t="shared" si="8"/>
        <v>97055.442239258889</v>
      </c>
      <c r="K93" s="10">
        <f t="shared" si="9"/>
        <v>69151.622894910819</v>
      </c>
      <c r="L93" s="10">
        <f t="shared" si="13"/>
        <v>27903.81934434807</v>
      </c>
      <c r="M93" s="10">
        <f>'D) Ecrêtage'!C92</f>
        <v>37288.389369533332</v>
      </c>
      <c r="N93" s="10">
        <f t="shared" si="10"/>
        <v>47919.201920620108</v>
      </c>
      <c r="O93" s="55">
        <f t="shared" si="11"/>
        <v>117070.82481553093</v>
      </c>
      <c r="P93" s="218"/>
      <c r="Q93" s="219"/>
      <c r="R93" s="215"/>
      <c r="S93" s="215"/>
      <c r="T93" s="220"/>
    </row>
    <row r="94" spans="1:20" s="214" customFormat="1" x14ac:dyDescent="0.25">
      <c r="A94" s="306">
        <f>'A) Base RI'!A95</f>
        <v>5551</v>
      </c>
      <c r="B94" s="227" t="str">
        <f>'A) Base RI'!B95</f>
        <v>Bonvillars</v>
      </c>
      <c r="C94" s="243">
        <v>0</v>
      </c>
      <c r="D94" s="216">
        <f>'B) D RI'!AA95</f>
        <v>490</v>
      </c>
      <c r="E94" s="217">
        <f>'B) D RI'!S95</f>
        <v>55</v>
      </c>
      <c r="F94" s="10">
        <f>'B) D RI'!R95</f>
        <v>1004718.4011555255</v>
      </c>
      <c r="G94" s="10">
        <f>'B) D RI'!U95</f>
        <v>18267.607293736826</v>
      </c>
      <c r="H94" s="41">
        <f>'B) D RI'!T95</f>
        <v>885016.40115552547</v>
      </c>
      <c r="I94" s="10">
        <f t="shared" si="12"/>
        <v>32182.414587473653</v>
      </c>
      <c r="J94" s="31">
        <f t="shared" si="8"/>
        <v>41716.812892313028</v>
      </c>
      <c r="K94" s="10">
        <f t="shared" si="9"/>
        <v>32182.414587473653</v>
      </c>
      <c r="L94" s="10">
        <f t="shared" si="13"/>
        <v>9534.3983048393748</v>
      </c>
      <c r="M94" s="10">
        <f>'D) Ecrêtage'!C93</f>
        <v>18267.607293736826</v>
      </c>
      <c r="N94" s="10">
        <f t="shared" si="10"/>
        <v>23475.649587332202</v>
      </c>
      <c r="O94" s="55">
        <f t="shared" si="11"/>
        <v>55658.064174805855</v>
      </c>
      <c r="P94" s="218"/>
      <c r="Q94" s="219"/>
      <c r="R94" s="215"/>
      <c r="S94" s="215"/>
      <c r="T94" s="220"/>
    </row>
    <row r="95" spans="1:20" s="214" customFormat="1" x14ac:dyDescent="0.25">
      <c r="A95" s="306">
        <f>'A) Base RI'!A96</f>
        <v>5552</v>
      </c>
      <c r="B95" s="227" t="str">
        <f>'A) Base RI'!B96</f>
        <v>Bullet</v>
      </c>
      <c r="C95" s="243">
        <v>0</v>
      </c>
      <c r="D95" s="216">
        <f>'B) D RI'!AA96</f>
        <v>657</v>
      </c>
      <c r="E95" s="217">
        <f>'B) D RI'!S96</f>
        <v>73</v>
      </c>
      <c r="F95" s="10">
        <f>'B) D RI'!R96</f>
        <v>1341029.3985001857</v>
      </c>
      <c r="G95" s="10">
        <f>'B) D RI'!U96</f>
        <v>18370.265732879256</v>
      </c>
      <c r="H95" s="41">
        <f>'B) D RI'!T96</f>
        <v>1220498.0985001856</v>
      </c>
      <c r="I95" s="10">
        <f t="shared" si="12"/>
        <v>33438.304068498233</v>
      </c>
      <c r="J95" s="31">
        <f t="shared" si="8"/>
        <v>55934.583816836042</v>
      </c>
      <c r="K95" s="10">
        <f t="shared" si="9"/>
        <v>33438.304068498233</v>
      </c>
      <c r="L95" s="10">
        <f t="shared" si="13"/>
        <v>22496.279748337809</v>
      </c>
      <c r="M95" s="10">
        <f>'D) Ecrêtage'!C94</f>
        <v>18370.265732879256</v>
      </c>
      <c r="N95" s="10">
        <f t="shared" si="10"/>
        <v>23607.575652182328</v>
      </c>
      <c r="O95" s="55">
        <f t="shared" si="11"/>
        <v>57045.879720680561</v>
      </c>
      <c r="P95" s="218"/>
      <c r="Q95" s="219"/>
      <c r="R95" s="215"/>
      <c r="S95" s="215"/>
      <c r="T95" s="220"/>
    </row>
    <row r="96" spans="1:20" s="214" customFormat="1" x14ac:dyDescent="0.25">
      <c r="A96" s="306">
        <f>'A) Base RI'!A97</f>
        <v>5553</v>
      </c>
      <c r="B96" s="227" t="str">
        <f>'A) Base RI'!B97</f>
        <v>Champagne</v>
      </c>
      <c r="C96" s="243">
        <v>0</v>
      </c>
      <c r="D96" s="216">
        <f>'B) D RI'!AA97</f>
        <v>1059</v>
      </c>
      <c r="E96" s="217">
        <f>'B) D RI'!S97</f>
        <v>65</v>
      </c>
      <c r="F96" s="10">
        <f>'B) D RI'!R97</f>
        <v>2452313.01268666</v>
      </c>
      <c r="G96" s="10">
        <f>'B) D RI'!U97</f>
        <v>37727.892502871691</v>
      </c>
      <c r="H96" s="41">
        <f>'B) D RI'!T97</f>
        <v>2195672.76268666</v>
      </c>
      <c r="I96" s="10">
        <f t="shared" si="12"/>
        <v>67559.161928820307</v>
      </c>
      <c r="J96" s="31">
        <f t="shared" si="8"/>
        <v>90159.397659101014</v>
      </c>
      <c r="K96" s="10">
        <f t="shared" si="9"/>
        <v>67559.161928820307</v>
      </c>
      <c r="L96" s="10">
        <f t="shared" si="13"/>
        <v>22600.235730280707</v>
      </c>
      <c r="M96" s="10">
        <f>'D) Ecrêtage'!C95</f>
        <v>37727.892502871691</v>
      </c>
      <c r="N96" s="10">
        <f t="shared" si="10"/>
        <v>48484.006133064686</v>
      </c>
      <c r="O96" s="55">
        <f t="shared" si="11"/>
        <v>116043.16806188499</v>
      </c>
      <c r="P96" s="218"/>
      <c r="Q96" s="219"/>
      <c r="R96" s="215"/>
      <c r="S96" s="215"/>
      <c r="T96" s="220"/>
    </row>
    <row r="97" spans="1:20" s="214" customFormat="1" x14ac:dyDescent="0.25">
      <c r="A97" s="306">
        <f>'A) Base RI'!A98</f>
        <v>5554</v>
      </c>
      <c r="B97" s="227" t="str">
        <f>'A) Base RI'!B98</f>
        <v>Concise</v>
      </c>
      <c r="C97" s="243">
        <v>0</v>
      </c>
      <c r="D97" s="216">
        <f>'B) D RI'!AA98</f>
        <v>1025</v>
      </c>
      <c r="E97" s="217">
        <f>'B) D RI'!S98</f>
        <v>75</v>
      </c>
      <c r="F97" s="10">
        <f>'B) D RI'!R98</f>
        <v>2495513.4096529712</v>
      </c>
      <c r="G97" s="10">
        <f>'B) D RI'!U98</f>
        <v>33273.512128706279</v>
      </c>
      <c r="H97" s="41">
        <f>'B) D RI'!T98</f>
        <v>2320140.8596529709</v>
      </c>
      <c r="I97" s="10">
        <f t="shared" si="12"/>
        <v>61870.422924079227</v>
      </c>
      <c r="J97" s="31">
        <f t="shared" si="8"/>
        <v>87264.761662491539</v>
      </c>
      <c r="K97" s="10">
        <f t="shared" si="9"/>
        <v>61870.422924079227</v>
      </c>
      <c r="L97" s="10">
        <f t="shared" si="13"/>
        <v>25394.338738412313</v>
      </c>
      <c r="M97" s="10">
        <f>'D) Ecrêtage'!C96</f>
        <v>33273.512128706279</v>
      </c>
      <c r="N97" s="10">
        <f t="shared" si="10"/>
        <v>42759.694727024704</v>
      </c>
      <c r="O97" s="55">
        <f t="shared" si="11"/>
        <v>104630.11765110394</v>
      </c>
      <c r="P97" s="218"/>
      <c r="Q97" s="219"/>
      <c r="R97" s="215"/>
      <c r="S97" s="215"/>
      <c r="T97" s="220"/>
    </row>
    <row r="98" spans="1:20" s="214" customFormat="1" x14ac:dyDescent="0.25">
      <c r="A98" s="306">
        <f>'A) Base RI'!A99</f>
        <v>5555</v>
      </c>
      <c r="B98" s="227" t="str">
        <f>'A) Base RI'!B99</f>
        <v>Corcelles-près-Concise</v>
      </c>
      <c r="C98" s="243">
        <v>0</v>
      </c>
      <c r="D98" s="216">
        <f>'B) D RI'!AA99</f>
        <v>401</v>
      </c>
      <c r="E98" s="217">
        <f>'B) D RI'!S99</f>
        <v>71</v>
      </c>
      <c r="F98" s="10">
        <f>'B) D RI'!R99</f>
        <v>960833.16685894923</v>
      </c>
      <c r="G98" s="10">
        <f>'B) D RI'!U99</f>
        <v>13532.861505055624</v>
      </c>
      <c r="H98" s="41">
        <f>'B) D RI'!T99</f>
        <v>868103.41685894923</v>
      </c>
      <c r="I98" s="10">
        <f t="shared" si="12"/>
        <v>24453.61737630843</v>
      </c>
      <c r="J98" s="31">
        <f t="shared" si="8"/>
        <v>34139.67748942352</v>
      </c>
      <c r="K98" s="10">
        <f t="shared" si="9"/>
        <v>24453.61737630843</v>
      </c>
      <c r="L98" s="10">
        <f t="shared" si="13"/>
        <v>9686.0601131150906</v>
      </c>
      <c r="M98" s="10">
        <f>'D) Ecrêtage'!C97</f>
        <v>13532.861505055624</v>
      </c>
      <c r="N98" s="10">
        <f t="shared" si="10"/>
        <v>17391.041393554919</v>
      </c>
      <c r="O98" s="55">
        <f t="shared" si="11"/>
        <v>41844.658769863352</v>
      </c>
      <c r="P98" s="218"/>
      <c r="Q98" s="219"/>
      <c r="R98" s="215"/>
      <c r="S98" s="215"/>
      <c r="T98" s="220"/>
    </row>
    <row r="99" spans="1:20" s="214" customFormat="1" x14ac:dyDescent="0.25">
      <c r="A99" s="306">
        <f>'A) Base RI'!A100</f>
        <v>5556</v>
      </c>
      <c r="B99" s="227" t="str">
        <f>'A) Base RI'!B100</f>
        <v>Fiez</v>
      </c>
      <c r="C99" s="243">
        <v>0</v>
      </c>
      <c r="D99" s="216">
        <f>'B) D RI'!AA100</f>
        <v>445</v>
      </c>
      <c r="E99" s="217">
        <f>'B) D RI'!S100</f>
        <v>69</v>
      </c>
      <c r="F99" s="10">
        <f>'B) D RI'!R100</f>
        <v>901507.53409040987</v>
      </c>
      <c r="G99" s="10">
        <f>'B) D RI'!U100</f>
        <v>13065.326581020432</v>
      </c>
      <c r="H99" s="41">
        <f>'B) D RI'!T100</f>
        <v>828184.65075707645</v>
      </c>
      <c r="I99" s="10">
        <f t="shared" si="12"/>
        <v>24005.352195857289</v>
      </c>
      <c r="J99" s="31">
        <f t="shared" si="8"/>
        <v>37885.677014447545</v>
      </c>
      <c r="K99" s="10">
        <f t="shared" si="9"/>
        <v>24005.352195857289</v>
      </c>
      <c r="L99" s="10">
        <f t="shared" si="13"/>
        <v>13880.324818590256</v>
      </c>
      <c r="M99" s="10">
        <f>'D) Ecrêtage'!C98</f>
        <v>13065.326581020432</v>
      </c>
      <c r="N99" s="10">
        <f t="shared" si="10"/>
        <v>16790.213607517868</v>
      </c>
      <c r="O99" s="55">
        <f t="shared" si="11"/>
        <v>40795.565803375153</v>
      </c>
      <c r="P99" s="218"/>
      <c r="Q99" s="219"/>
      <c r="R99" s="215"/>
      <c r="S99" s="215"/>
      <c r="T99" s="220"/>
    </row>
    <row r="100" spans="1:20" s="214" customFormat="1" x14ac:dyDescent="0.25">
      <c r="A100" s="306">
        <f>'A) Base RI'!A101</f>
        <v>5557</v>
      </c>
      <c r="B100" s="227" t="str">
        <f>'A) Base RI'!B101</f>
        <v>Fontaines-sur-Grandson</v>
      </c>
      <c r="C100" s="243">
        <v>0</v>
      </c>
      <c r="D100" s="216">
        <f>'B) D RI'!AA101</f>
        <v>215</v>
      </c>
      <c r="E100" s="217">
        <f>'B) D RI'!S101</f>
        <v>69</v>
      </c>
      <c r="F100" s="10">
        <f>'B) D RI'!R101</f>
        <v>450447.37152394245</v>
      </c>
      <c r="G100" s="10">
        <f>'B) D RI'!U101</f>
        <v>6528.2227757093106</v>
      </c>
      <c r="H100" s="41">
        <f>'B) D RI'!T101</f>
        <v>412255.42152394244</v>
      </c>
      <c r="I100" s="10">
        <f t="shared" si="12"/>
        <v>11949.432507940361</v>
      </c>
      <c r="J100" s="31">
        <f t="shared" si="8"/>
        <v>18304.315860912859</v>
      </c>
      <c r="K100" s="10">
        <f t="shared" si="9"/>
        <v>11949.432507940361</v>
      </c>
      <c r="L100" s="10">
        <f t="shared" si="13"/>
        <v>6354.883352972498</v>
      </c>
      <c r="M100" s="10">
        <f>'D) Ecrêtage'!C99</f>
        <v>6528.2227757093106</v>
      </c>
      <c r="N100" s="10">
        <f t="shared" si="10"/>
        <v>8389.4003109612077</v>
      </c>
      <c r="O100" s="55">
        <f t="shared" si="11"/>
        <v>20338.832818901566</v>
      </c>
      <c r="P100" s="218"/>
      <c r="Q100" s="219"/>
      <c r="R100" s="215"/>
      <c r="S100" s="215"/>
      <c r="T100" s="220"/>
    </row>
    <row r="101" spans="1:20" s="214" customFormat="1" x14ac:dyDescent="0.25">
      <c r="A101" s="306">
        <f>'A) Base RI'!A102</f>
        <v>5559</v>
      </c>
      <c r="B101" s="227" t="str">
        <f>'A) Base RI'!B102</f>
        <v>Giez</v>
      </c>
      <c r="C101" s="243">
        <v>0</v>
      </c>
      <c r="D101" s="216">
        <f>'B) D RI'!AA102</f>
        <v>414</v>
      </c>
      <c r="E101" s="217">
        <f>'B) D RI'!S102</f>
        <v>66</v>
      </c>
      <c r="F101" s="10">
        <f>'B) D RI'!R102</f>
        <v>1381340.9169823376</v>
      </c>
      <c r="G101" s="10">
        <f>'B) D RI'!U102</f>
        <v>20929.407833065721</v>
      </c>
      <c r="H101" s="41">
        <f>'B) D RI'!T102</f>
        <v>1288558.3169823375</v>
      </c>
      <c r="I101" s="10">
        <f t="shared" si="12"/>
        <v>39047.221726737502</v>
      </c>
      <c r="J101" s="31">
        <f t="shared" ref="J101:J132" si="14">+$I$314/$D$314*D101</f>
        <v>35246.450076362438</v>
      </c>
      <c r="K101" s="10">
        <f t="shared" si="9"/>
        <v>35246.450076362438</v>
      </c>
      <c r="L101" s="10">
        <f t="shared" si="13"/>
        <v>0</v>
      </c>
      <c r="M101" s="10">
        <f>'D) Ecrêtage'!C100</f>
        <v>20929.407833065721</v>
      </c>
      <c r="N101" s="10">
        <f t="shared" si="10"/>
        <v>26896.321803889059</v>
      </c>
      <c r="O101" s="55">
        <f t="shared" si="11"/>
        <v>62142.771880251501</v>
      </c>
      <c r="P101" s="218"/>
      <c r="Q101" s="219"/>
      <c r="R101" s="215"/>
      <c r="S101" s="215"/>
      <c r="T101" s="220"/>
    </row>
    <row r="102" spans="1:20" s="214" customFormat="1" x14ac:dyDescent="0.25">
      <c r="A102" s="306">
        <f>'A) Base RI'!A103</f>
        <v>5560</v>
      </c>
      <c r="B102" s="227" t="str">
        <f>'A) Base RI'!B103</f>
        <v>Grandevent</v>
      </c>
      <c r="C102" s="243">
        <v>0</v>
      </c>
      <c r="D102" s="216">
        <f>'B) D RI'!AA103</f>
        <v>222</v>
      </c>
      <c r="E102" s="217">
        <f>'B) D RI'!S103</f>
        <v>68</v>
      </c>
      <c r="F102" s="10">
        <f>'B) D RI'!R103</f>
        <v>504344.25378747022</v>
      </c>
      <c r="G102" s="10">
        <f>'B) D RI'!U103</f>
        <v>7416.8272615804444</v>
      </c>
      <c r="H102" s="41">
        <f>'B) D RI'!T103</f>
        <v>462078.80378747021</v>
      </c>
      <c r="I102" s="10">
        <f t="shared" si="12"/>
        <v>13590.553052572654</v>
      </c>
      <c r="J102" s="31">
        <f t="shared" si="14"/>
        <v>18900.270330803047</v>
      </c>
      <c r="K102" s="10">
        <f t="shared" si="9"/>
        <v>13590.553052572654</v>
      </c>
      <c r="L102" s="10">
        <f t="shared" si="13"/>
        <v>5309.7172782303933</v>
      </c>
      <c r="M102" s="10">
        <f>'D) Ecrêtage'!C101</f>
        <v>7416.8272615804444</v>
      </c>
      <c r="N102" s="10">
        <f t="shared" si="10"/>
        <v>9531.3433797283142</v>
      </c>
      <c r="O102" s="55">
        <f t="shared" si="11"/>
        <v>23121.896432300968</v>
      </c>
      <c r="P102" s="218"/>
      <c r="Q102" s="219"/>
      <c r="R102" s="215"/>
      <c r="S102" s="215"/>
      <c r="T102" s="220"/>
    </row>
    <row r="103" spans="1:20" s="214" customFormat="1" x14ac:dyDescent="0.25">
      <c r="A103" s="306">
        <f>'A) Base RI'!A104</f>
        <v>5561</v>
      </c>
      <c r="B103" s="227" t="str">
        <f>'A) Base RI'!B104</f>
        <v>Grandson</v>
      </c>
      <c r="C103" s="243">
        <v>0</v>
      </c>
      <c r="D103" s="216">
        <f>'B) D RI'!AA104</f>
        <v>3340</v>
      </c>
      <c r="E103" s="217">
        <f>'B) D RI'!S104</f>
        <v>69</v>
      </c>
      <c r="F103" s="10">
        <f>'B) D RI'!R104</f>
        <v>7815849.3743214412</v>
      </c>
      <c r="G103" s="10">
        <f>'B) D RI'!U104</f>
        <v>113273.1793379919</v>
      </c>
      <c r="H103" s="41">
        <f>'B) D RI'!T104</f>
        <v>7194421.2743214406</v>
      </c>
      <c r="I103" s="10">
        <f t="shared" si="12"/>
        <v>208533.94998033161</v>
      </c>
      <c r="J103" s="31">
        <f t="shared" si="14"/>
        <v>284355.41849046026</v>
      </c>
      <c r="K103" s="10">
        <f t="shared" si="9"/>
        <v>208533.94998033161</v>
      </c>
      <c r="L103" s="10">
        <f t="shared" si="13"/>
        <v>75821.468510128645</v>
      </c>
      <c r="M103" s="10">
        <f>'D) Ecrêtage'!C102</f>
        <v>113273.1793379919</v>
      </c>
      <c r="N103" s="10">
        <f t="shared" si="10"/>
        <v>145567.03694267871</v>
      </c>
      <c r="O103" s="55">
        <f t="shared" si="11"/>
        <v>354100.98692301032</v>
      </c>
      <c r="P103" s="218"/>
      <c r="Q103" s="219"/>
      <c r="R103" s="215"/>
      <c r="S103" s="215"/>
      <c r="T103" s="220"/>
    </row>
    <row r="104" spans="1:20" s="214" customFormat="1" x14ac:dyDescent="0.25">
      <c r="A104" s="306">
        <f>'A) Base RI'!A105</f>
        <v>5562</v>
      </c>
      <c r="B104" s="227" t="str">
        <f>'A) Base RI'!B105</f>
        <v>Mauborget</v>
      </c>
      <c r="C104" s="243">
        <v>0</v>
      </c>
      <c r="D104" s="216">
        <f>'B) D RI'!AA105</f>
        <v>120</v>
      </c>
      <c r="E104" s="217">
        <f>'B) D RI'!S105</f>
        <v>70</v>
      </c>
      <c r="F104" s="10">
        <f>'B) D RI'!R105</f>
        <v>383729.88500000001</v>
      </c>
      <c r="G104" s="10">
        <f>'B) D RI'!U105</f>
        <v>5481.8555000000006</v>
      </c>
      <c r="H104" s="41">
        <f>'B) D RI'!T105</f>
        <v>351719.01</v>
      </c>
      <c r="I104" s="10">
        <f t="shared" si="12"/>
        <v>10049.114571428572</v>
      </c>
      <c r="J104" s="31">
        <f t="shared" si="14"/>
        <v>10216.36234097462</v>
      </c>
      <c r="K104" s="10">
        <f t="shared" si="9"/>
        <v>10049.114571428572</v>
      </c>
      <c r="L104" s="10">
        <f t="shared" si="13"/>
        <v>167.24776954604749</v>
      </c>
      <c r="M104" s="10">
        <f>'D) Ecrêtage'!C103</f>
        <v>5481.8555000000006</v>
      </c>
      <c r="N104" s="10">
        <f t="shared" si="10"/>
        <v>7044.7167347697505</v>
      </c>
      <c r="O104" s="55">
        <f t="shared" si="11"/>
        <v>17093.831306198321</v>
      </c>
      <c r="P104" s="218"/>
      <c r="Q104" s="219"/>
      <c r="R104" s="215"/>
      <c r="S104" s="215"/>
      <c r="T104" s="220"/>
    </row>
    <row r="105" spans="1:20" s="214" customFormat="1" x14ac:dyDescent="0.25">
      <c r="A105" s="306">
        <f>'A) Base RI'!A106</f>
        <v>5563</v>
      </c>
      <c r="B105" s="227" t="str">
        <f>'A) Base RI'!B106</f>
        <v>Mutrux</v>
      </c>
      <c r="C105" s="243">
        <v>0</v>
      </c>
      <c r="D105" s="216">
        <f>'B) D RI'!AA106</f>
        <v>153</v>
      </c>
      <c r="E105" s="217">
        <f>'B) D RI'!S106</f>
        <v>80</v>
      </c>
      <c r="F105" s="10">
        <f>'B) D RI'!R106</f>
        <v>321931.07004698185</v>
      </c>
      <c r="G105" s="10">
        <f>'B) D RI'!U106</f>
        <v>4024.138375587273</v>
      </c>
      <c r="H105" s="41">
        <f>'B) D RI'!T106</f>
        <v>299604.72004698188</v>
      </c>
      <c r="I105" s="10">
        <f t="shared" si="12"/>
        <v>7490.1180011745473</v>
      </c>
      <c r="J105" s="31">
        <f t="shared" si="14"/>
        <v>13025.86198474264</v>
      </c>
      <c r="K105" s="10">
        <f t="shared" si="9"/>
        <v>7490.1180011745473</v>
      </c>
      <c r="L105" s="10">
        <f t="shared" si="13"/>
        <v>5535.7439835680925</v>
      </c>
      <c r="M105" s="10">
        <f>'D) Ecrêtage'!C104</f>
        <v>4024.138375587273</v>
      </c>
      <c r="N105" s="10">
        <f t="shared" si="10"/>
        <v>5171.4086512365784</v>
      </c>
      <c r="O105" s="55">
        <f t="shared" si="11"/>
        <v>12661.526652411125</v>
      </c>
      <c r="P105" s="218"/>
      <c r="Q105" s="219"/>
      <c r="R105" s="215"/>
      <c r="S105" s="215"/>
      <c r="T105" s="220"/>
    </row>
    <row r="106" spans="1:20" s="214" customFormat="1" x14ac:dyDescent="0.25">
      <c r="A106" s="306">
        <f>'A) Base RI'!A107</f>
        <v>5564</v>
      </c>
      <c r="B106" s="227" t="str">
        <f>'A) Base RI'!B107</f>
        <v>Novalles</v>
      </c>
      <c r="C106" s="243">
        <v>0</v>
      </c>
      <c r="D106" s="216">
        <f>'B) D RI'!AA107</f>
        <v>100</v>
      </c>
      <c r="E106" s="217">
        <f>'B) D RI'!S107</f>
        <v>76</v>
      </c>
      <c r="F106" s="10">
        <f>'B) D RI'!R107</f>
        <v>171980.40735817407</v>
      </c>
      <c r="G106" s="10">
        <f>'B) D RI'!U107</f>
        <v>2262.9000968180799</v>
      </c>
      <c r="H106" s="41">
        <f>'B) D RI'!T107</f>
        <v>158357.03235817407</v>
      </c>
      <c r="I106" s="10">
        <f t="shared" si="12"/>
        <v>4167.2903252151073</v>
      </c>
      <c r="J106" s="31">
        <f t="shared" si="14"/>
        <v>8513.6352841455155</v>
      </c>
      <c r="K106" s="10">
        <f t="shared" si="9"/>
        <v>4167.2903252151073</v>
      </c>
      <c r="L106" s="10">
        <f t="shared" si="13"/>
        <v>4346.3449589304082</v>
      </c>
      <c r="M106" s="10">
        <f>'D) Ecrêtage'!C105</f>
        <v>2262.9000968180799</v>
      </c>
      <c r="N106" s="10">
        <f t="shared" si="10"/>
        <v>2908.0464053031706</v>
      </c>
      <c r="O106" s="55">
        <f t="shared" si="11"/>
        <v>7075.3367305182783</v>
      </c>
      <c r="P106" s="218"/>
      <c r="Q106" s="219"/>
      <c r="R106" s="215"/>
      <c r="S106" s="215"/>
      <c r="T106" s="220"/>
    </row>
    <row r="107" spans="1:20" s="214" customFormat="1" x14ac:dyDescent="0.25">
      <c r="A107" s="306">
        <f>'A) Base RI'!A108</f>
        <v>5565</v>
      </c>
      <c r="B107" s="227" t="str">
        <f>'A) Base RI'!B108</f>
        <v>Onnens</v>
      </c>
      <c r="C107" s="243">
        <v>0</v>
      </c>
      <c r="D107" s="216">
        <f>'B) D RI'!AA108</f>
        <v>497</v>
      </c>
      <c r="E107" s="217">
        <f>'B) D RI'!S108</f>
        <v>65</v>
      </c>
      <c r="F107" s="10">
        <f>'B) D RI'!R108</f>
        <v>1213062.2791528387</v>
      </c>
      <c r="G107" s="10">
        <f>'B) D RI'!U108</f>
        <v>18662.496602351366</v>
      </c>
      <c r="H107" s="41">
        <f>'B) D RI'!T108</f>
        <v>1061527.2291528387</v>
      </c>
      <c r="I107" s="10">
        <f t="shared" si="12"/>
        <v>32662.376281625806</v>
      </c>
      <c r="J107" s="31">
        <f t="shared" si="14"/>
        <v>42312.767362203216</v>
      </c>
      <c r="K107" s="10">
        <f t="shared" si="9"/>
        <v>32662.376281625806</v>
      </c>
      <c r="L107" s="10">
        <f t="shared" si="13"/>
        <v>9650.3910805774103</v>
      </c>
      <c r="M107" s="10">
        <f>'D) Ecrêtage'!C106</f>
        <v>18662.496602351366</v>
      </c>
      <c r="N107" s="10">
        <f t="shared" si="10"/>
        <v>23983.120701953612</v>
      </c>
      <c r="O107" s="55">
        <f t="shared" si="11"/>
        <v>56645.496983579418</v>
      </c>
      <c r="P107" s="218"/>
      <c r="Q107" s="219"/>
      <c r="R107" s="215"/>
      <c r="S107" s="215"/>
      <c r="T107" s="220"/>
    </row>
    <row r="108" spans="1:20" s="214" customFormat="1" x14ac:dyDescent="0.25">
      <c r="A108" s="306">
        <f>'A) Base RI'!A109</f>
        <v>5566</v>
      </c>
      <c r="B108" s="227" t="str">
        <f>'A) Base RI'!B109</f>
        <v>Provence</v>
      </c>
      <c r="C108" s="243">
        <v>0</v>
      </c>
      <c r="D108" s="216">
        <f>'B) D RI'!AA109</f>
        <v>379</v>
      </c>
      <c r="E108" s="217">
        <f>'B) D RI'!S109</f>
        <v>81</v>
      </c>
      <c r="F108" s="10">
        <f>'B) D RI'!R109</f>
        <v>689109.39561621542</v>
      </c>
      <c r="G108" s="10">
        <f>'B) D RI'!U109</f>
        <v>8507.523402669327</v>
      </c>
      <c r="H108" s="41">
        <f>'B) D RI'!T109</f>
        <v>632498.4956162154</v>
      </c>
      <c r="I108" s="10">
        <f t="shared" si="12"/>
        <v>15617.246805338651</v>
      </c>
      <c r="J108" s="31">
        <f t="shared" si="14"/>
        <v>32266.677726911508</v>
      </c>
      <c r="K108" s="10">
        <f t="shared" si="9"/>
        <v>15617.246805338651</v>
      </c>
      <c r="L108" s="10">
        <f t="shared" si="13"/>
        <v>16649.430921572857</v>
      </c>
      <c r="M108" s="10">
        <f>'D) Ecrêtage'!C107</f>
        <v>8507.523402669327</v>
      </c>
      <c r="N108" s="10">
        <f t="shared" si="10"/>
        <v>10932.993853309321</v>
      </c>
      <c r="O108" s="55">
        <f t="shared" si="11"/>
        <v>26550.24065864797</v>
      </c>
      <c r="P108" s="218"/>
      <c r="Q108" s="219"/>
      <c r="R108" s="215"/>
      <c r="S108" s="215"/>
      <c r="T108" s="220"/>
    </row>
    <row r="109" spans="1:20" s="214" customFormat="1" x14ac:dyDescent="0.25">
      <c r="A109" s="306">
        <f>'A) Base RI'!A110</f>
        <v>5568</v>
      </c>
      <c r="B109" s="227" t="str">
        <f>'A) Base RI'!B110</f>
        <v>Sainte-Croix</v>
      </c>
      <c r="C109" s="243">
        <v>0</v>
      </c>
      <c r="D109" s="216">
        <f>'B) D RI'!AA110</f>
        <v>4888</v>
      </c>
      <c r="E109" s="217">
        <f>'B) D RI'!S110</f>
        <v>70</v>
      </c>
      <c r="F109" s="10">
        <f>'B) D RI'!R110</f>
        <v>7660975.0403031548</v>
      </c>
      <c r="G109" s="10">
        <f>'B) D RI'!U110</f>
        <v>109442.50057575936</v>
      </c>
      <c r="H109" s="41">
        <f>'B) D RI'!T110</f>
        <v>7009444.5403031548</v>
      </c>
      <c r="I109" s="10">
        <f t="shared" si="12"/>
        <v>200269.84400866157</v>
      </c>
      <c r="J109" s="31">
        <f t="shared" si="14"/>
        <v>416146.49268903286</v>
      </c>
      <c r="K109" s="10">
        <f t="shared" si="9"/>
        <v>200269.84400866157</v>
      </c>
      <c r="L109" s="10">
        <f t="shared" si="13"/>
        <v>215876.64868037129</v>
      </c>
      <c r="M109" s="10">
        <f>'D) Ecrêtage'!C108</f>
        <v>109442.50057575936</v>
      </c>
      <c r="N109" s="10">
        <f t="shared" si="10"/>
        <v>140644.24268408751</v>
      </c>
      <c r="O109" s="55">
        <f t="shared" si="11"/>
        <v>340914.08669274906</v>
      </c>
      <c r="P109" s="218"/>
      <c r="Q109" s="219"/>
      <c r="R109" s="215"/>
      <c r="S109" s="215"/>
      <c r="T109" s="220"/>
    </row>
    <row r="110" spans="1:20" s="214" customFormat="1" x14ac:dyDescent="0.25">
      <c r="A110" s="306">
        <f>'A) Base RI'!A111</f>
        <v>5571</v>
      </c>
      <c r="B110" s="227" t="str">
        <f>'A) Base RI'!B111</f>
        <v>Tévenon</v>
      </c>
      <c r="C110" s="243">
        <v>0</v>
      </c>
      <c r="D110" s="216">
        <f>'B) D RI'!AA111</f>
        <v>896</v>
      </c>
      <c r="E110" s="217">
        <f>'B) D RI'!S111</f>
        <v>73</v>
      </c>
      <c r="F110" s="10">
        <f>'B) D RI'!R111</f>
        <v>1811475.9943267619</v>
      </c>
      <c r="G110" s="10">
        <f>'B) D RI'!U111</f>
        <v>24814.739648311806</v>
      </c>
      <c r="H110" s="41">
        <f>'B) D RI'!T111</f>
        <v>1639363.8359934287</v>
      </c>
      <c r="I110" s="10">
        <f t="shared" si="12"/>
        <v>44914.077698450099</v>
      </c>
      <c r="J110" s="31">
        <f t="shared" si="14"/>
        <v>76282.172145943827</v>
      </c>
      <c r="K110" s="10">
        <f t="shared" si="9"/>
        <v>44914.077698450099</v>
      </c>
      <c r="L110" s="10">
        <f t="shared" si="13"/>
        <v>31368.094447493728</v>
      </c>
      <c r="M110" s="10">
        <f>'D) Ecrêtage'!C109</f>
        <v>24814.739648311806</v>
      </c>
      <c r="N110" s="10">
        <f t="shared" si="10"/>
        <v>31889.350543701232</v>
      </c>
      <c r="O110" s="55">
        <f t="shared" si="11"/>
        <v>76803.428242151334</v>
      </c>
      <c r="P110" s="218"/>
      <c r="Q110" s="219"/>
      <c r="R110" s="215"/>
      <c r="S110" s="215"/>
      <c r="T110" s="220"/>
    </row>
    <row r="111" spans="1:20" s="214" customFormat="1" x14ac:dyDescent="0.25">
      <c r="A111" s="306">
        <f>'A) Base RI'!A112</f>
        <v>5581</v>
      </c>
      <c r="B111" s="227" t="str">
        <f>'A) Base RI'!B112</f>
        <v>Belmont-sur-Lausanne</v>
      </c>
      <c r="C111" s="243">
        <v>1</v>
      </c>
      <c r="D111" s="216">
        <f>'B) D RI'!AA112</f>
        <v>3773</v>
      </c>
      <c r="E111" s="217">
        <f>'B) D RI'!S112</f>
        <v>72</v>
      </c>
      <c r="F111" s="10">
        <f>'B) D RI'!R112</f>
        <v>13492101.386666665</v>
      </c>
      <c r="G111" s="10">
        <f>'B) D RI'!U112</f>
        <v>187390.297037037</v>
      </c>
      <c r="H111" s="41">
        <f>'B) D RI'!T112</f>
        <v>12564814.77</v>
      </c>
      <c r="I111" s="10">
        <f t="shared" si="12"/>
        <v>349022.63250000001</v>
      </c>
      <c r="J111" s="31">
        <f t="shared" si="14"/>
        <v>321219.45927081036</v>
      </c>
      <c r="K111" s="10">
        <f t="shared" si="9"/>
        <v>0</v>
      </c>
      <c r="L111" s="10">
        <f t="shared" si="13"/>
        <v>321219.45927081036</v>
      </c>
      <c r="M111" s="10">
        <f>'D) Ecrêtage'!C110</f>
        <v>187390.297037037</v>
      </c>
      <c r="N111" s="10">
        <f t="shared" si="10"/>
        <v>240814.73170357899</v>
      </c>
      <c r="O111" s="55">
        <f t="shared" si="11"/>
        <v>240814.73170357899</v>
      </c>
      <c r="P111" s="218"/>
      <c r="Q111" s="219"/>
      <c r="R111" s="215"/>
      <c r="S111" s="215"/>
      <c r="T111" s="220"/>
    </row>
    <row r="112" spans="1:20" s="214" customFormat="1" x14ac:dyDescent="0.25">
      <c r="A112" s="306">
        <f>'A) Base RI'!A113</f>
        <v>5582</v>
      </c>
      <c r="B112" s="227" t="str">
        <f>'A) Base RI'!B113</f>
        <v>Cheseaux-sur-Lausanne</v>
      </c>
      <c r="C112" s="243">
        <v>0</v>
      </c>
      <c r="D112" s="216">
        <f>'B) D RI'!AA113</f>
        <v>4339</v>
      </c>
      <c r="E112" s="217">
        <f>'B) D RI'!S113</f>
        <v>74.5</v>
      </c>
      <c r="F112" s="10">
        <f>'B) D RI'!R113</f>
        <v>12336917.204797737</v>
      </c>
      <c r="G112" s="10">
        <f>'B) D RI'!U113</f>
        <v>165596.20409124478</v>
      </c>
      <c r="H112" s="41">
        <f>'B) D RI'!T113</f>
        <v>11399979.654797738</v>
      </c>
      <c r="I112" s="10">
        <f t="shared" si="12"/>
        <v>306039.72227644938</v>
      </c>
      <c r="J112" s="31">
        <f t="shared" si="14"/>
        <v>369406.63497907395</v>
      </c>
      <c r="K112" s="10">
        <f t="shared" si="9"/>
        <v>306039.72227644938</v>
      </c>
      <c r="L112" s="10">
        <f t="shared" si="13"/>
        <v>63366.91270262457</v>
      </c>
      <c r="M112" s="10">
        <f>'D) Ecrêtage'!C111</f>
        <v>165596.20409124478</v>
      </c>
      <c r="N112" s="10">
        <f t="shared" si="10"/>
        <v>212807.20554854811</v>
      </c>
      <c r="O112" s="55">
        <f t="shared" si="11"/>
        <v>518846.92782499746</v>
      </c>
      <c r="P112" s="218"/>
      <c r="Q112" s="219"/>
      <c r="R112" s="215"/>
      <c r="S112" s="215"/>
      <c r="T112" s="220"/>
    </row>
    <row r="113" spans="1:20" s="214" customFormat="1" x14ac:dyDescent="0.25">
      <c r="A113" s="306">
        <f>'A) Base RI'!A114</f>
        <v>5583</v>
      </c>
      <c r="B113" s="227" t="str">
        <f>'A) Base RI'!B114</f>
        <v>Crissier</v>
      </c>
      <c r="C113" s="243">
        <v>1</v>
      </c>
      <c r="D113" s="216">
        <f>'B) D RI'!AA114</f>
        <v>7944</v>
      </c>
      <c r="E113" s="217">
        <f>'B) D RI'!S114</f>
        <v>65</v>
      </c>
      <c r="F113" s="10">
        <f>'B) D RI'!R114</f>
        <v>19980097.86953596</v>
      </c>
      <c r="G113" s="10">
        <f>'B) D RI'!U114</f>
        <v>307386.12106978399</v>
      </c>
      <c r="H113" s="41">
        <f>'B) D RI'!T114</f>
        <v>17299472.31953596</v>
      </c>
      <c r="I113" s="10">
        <f t="shared" si="12"/>
        <v>532291.45598572178</v>
      </c>
      <c r="J113" s="31">
        <f t="shared" si="14"/>
        <v>676323.18697251985</v>
      </c>
      <c r="K113" s="10">
        <f t="shared" si="9"/>
        <v>0</v>
      </c>
      <c r="L113" s="10">
        <f t="shared" si="13"/>
        <v>676323.18697251985</v>
      </c>
      <c r="M113" s="10">
        <f>'D) Ecrêtage'!C112</f>
        <v>307386.12106978399</v>
      </c>
      <c r="N113" s="10">
        <f t="shared" si="10"/>
        <v>395021.02000613982</v>
      </c>
      <c r="O113" s="55">
        <f t="shared" si="11"/>
        <v>395021.02000613982</v>
      </c>
      <c r="P113" s="218"/>
      <c r="Q113" s="219"/>
      <c r="R113" s="215"/>
      <c r="S113" s="215"/>
      <c r="T113" s="220"/>
    </row>
    <row r="114" spans="1:20" s="214" customFormat="1" x14ac:dyDescent="0.25">
      <c r="A114" s="306">
        <f>'A) Base RI'!A115</f>
        <v>5584</v>
      </c>
      <c r="B114" s="227" t="str">
        <f>'A) Base RI'!B115</f>
        <v>Epalinges</v>
      </c>
      <c r="C114" s="243">
        <v>0</v>
      </c>
      <c r="D114" s="216">
        <f>'B) D RI'!AA115</f>
        <v>9701</v>
      </c>
      <c r="E114" s="217">
        <f>'B) D RI'!S115</f>
        <v>66</v>
      </c>
      <c r="F114" s="10">
        <f>'B) D RI'!R115</f>
        <v>31297855.838005856</v>
      </c>
      <c r="G114" s="10">
        <f>'B) D RI'!U115</f>
        <v>474209.93693948264</v>
      </c>
      <c r="H114" s="41">
        <f>'B) D RI'!T115</f>
        <v>28833509.788005855</v>
      </c>
      <c r="I114" s="10">
        <f t="shared" si="12"/>
        <v>873742.72084866231</v>
      </c>
      <c r="J114" s="31">
        <f t="shared" si="14"/>
        <v>825907.75891495659</v>
      </c>
      <c r="K114" s="10">
        <f t="shared" si="9"/>
        <v>825907.75891495659</v>
      </c>
      <c r="L114" s="10">
        <f t="shared" si="13"/>
        <v>0</v>
      </c>
      <c r="M114" s="10">
        <f>'D) Ecrêtage'!C113</f>
        <v>474209.93693948264</v>
      </c>
      <c r="N114" s="10">
        <f t="shared" si="10"/>
        <v>609405.82592001581</v>
      </c>
      <c r="O114" s="55">
        <f t="shared" si="11"/>
        <v>1435313.5848349724</v>
      </c>
      <c r="P114" s="218"/>
      <c r="Q114" s="219"/>
      <c r="R114" s="215"/>
      <c r="S114" s="215"/>
      <c r="T114" s="220"/>
    </row>
    <row r="115" spans="1:20" s="214" customFormat="1" x14ac:dyDescent="0.25">
      <c r="A115" s="306">
        <f>'A) Base RI'!A116</f>
        <v>5585</v>
      </c>
      <c r="B115" s="227" t="str">
        <f>'A) Base RI'!B116</f>
        <v>Jouxtens-Mézery</v>
      </c>
      <c r="C115" s="243">
        <v>0</v>
      </c>
      <c r="D115" s="216">
        <f>'B) D RI'!AA116</f>
        <v>1423</v>
      </c>
      <c r="E115" s="217">
        <f>'B) D RI'!S116</f>
        <v>59</v>
      </c>
      <c r="F115" s="10">
        <f>'B) D RI'!R116</f>
        <v>13550368.612383729</v>
      </c>
      <c r="G115" s="10">
        <f>'B) D RI'!U116</f>
        <v>229667.26461667338</v>
      </c>
      <c r="H115" s="41">
        <f>'B) D RI'!T116</f>
        <v>13011941.762383729</v>
      </c>
      <c r="I115" s="10">
        <f t="shared" si="12"/>
        <v>441082.77160622808</v>
      </c>
      <c r="J115" s="31">
        <f t="shared" si="14"/>
        <v>121149.0300933907</v>
      </c>
      <c r="K115" s="10">
        <f t="shared" si="9"/>
        <v>121149.0300933907</v>
      </c>
      <c r="L115" s="10">
        <f t="shared" si="13"/>
        <v>0</v>
      </c>
      <c r="M115" s="10">
        <f>'D) Ecrêtage'!C114</f>
        <v>229667.26461667338</v>
      </c>
      <c r="N115" s="10">
        <f t="shared" si="10"/>
        <v>295144.74113260943</v>
      </c>
      <c r="O115" s="55">
        <f t="shared" si="11"/>
        <v>416293.77122600016</v>
      </c>
      <c r="P115" s="218"/>
      <c r="Q115" s="219"/>
      <c r="R115" s="215"/>
      <c r="S115" s="215"/>
      <c r="T115" s="220"/>
    </row>
    <row r="116" spans="1:20" s="214" customFormat="1" x14ac:dyDescent="0.25">
      <c r="A116" s="306">
        <f>'A) Base RI'!A117</f>
        <v>5586</v>
      </c>
      <c r="B116" s="227" t="str">
        <f>'A) Base RI'!B117</f>
        <v>Lausanne</v>
      </c>
      <c r="C116" s="243">
        <v>1</v>
      </c>
      <c r="D116" s="216">
        <f>'B) D RI'!AA117</f>
        <v>139726</v>
      </c>
      <c r="E116" s="217">
        <f>'B) D RI'!S117</f>
        <v>79</v>
      </c>
      <c r="F116" s="10">
        <f>'B) D RI'!R117</f>
        <v>467770794.52945912</v>
      </c>
      <c r="G116" s="10">
        <f>'B) D RI'!U117</f>
        <v>5921149.2978412546</v>
      </c>
      <c r="H116" s="41">
        <f>'B) D RI'!T117</f>
        <v>437238480.86279249</v>
      </c>
      <c r="I116" s="10">
        <f t="shared" si="12"/>
        <v>11069328.629437784</v>
      </c>
      <c r="J116" s="31">
        <f t="shared" si="14"/>
        <v>11895762.037125165</v>
      </c>
      <c r="K116" s="10">
        <f t="shared" si="9"/>
        <v>0</v>
      </c>
      <c r="L116" s="10">
        <f t="shared" si="13"/>
        <v>11895762.037125165</v>
      </c>
      <c r="M116" s="10">
        <f>'D) Ecrêtage'!C115</f>
        <v>5921149.2978412546</v>
      </c>
      <c r="N116" s="10">
        <f t="shared" si="10"/>
        <v>7609251.9307691418</v>
      </c>
      <c r="O116" s="55">
        <f t="shared" si="11"/>
        <v>7609251.9307691418</v>
      </c>
      <c r="P116" s="218"/>
      <c r="Q116" s="219"/>
      <c r="R116" s="215"/>
      <c r="S116" s="215"/>
      <c r="T116" s="220"/>
    </row>
    <row r="117" spans="1:20" s="214" customFormat="1" x14ac:dyDescent="0.25">
      <c r="A117" s="306">
        <f>'A) Base RI'!A118</f>
        <v>5587</v>
      </c>
      <c r="B117" s="227" t="str">
        <f>'A) Base RI'!B118</f>
        <v>Le Mont-sur-Lausanne</v>
      </c>
      <c r="C117" s="243">
        <v>0</v>
      </c>
      <c r="D117" s="216">
        <f>'B) D RI'!AA118</f>
        <v>8991</v>
      </c>
      <c r="E117" s="217">
        <f>'B) D RI'!S118</f>
        <v>75</v>
      </c>
      <c r="F117" s="10">
        <f>'B) D RI'!R118</f>
        <v>32649420.060060821</v>
      </c>
      <c r="G117" s="10">
        <f>'B) D RI'!U118</f>
        <v>435325.60080081096</v>
      </c>
      <c r="H117" s="41">
        <f>'B) D RI'!T118</f>
        <v>30093985.093394153</v>
      </c>
      <c r="I117" s="10">
        <f t="shared" si="12"/>
        <v>802506.26915717742</v>
      </c>
      <c r="J117" s="31">
        <f t="shared" si="14"/>
        <v>765460.94839752337</v>
      </c>
      <c r="K117" s="10">
        <f t="shared" si="9"/>
        <v>765460.94839752337</v>
      </c>
      <c r="L117" s="10">
        <f t="shared" si="13"/>
        <v>0</v>
      </c>
      <c r="M117" s="10">
        <f>'D) Ecrêtage'!C116</f>
        <v>435325.60080081096</v>
      </c>
      <c r="N117" s="10">
        <f t="shared" si="10"/>
        <v>559435.67739703623</v>
      </c>
      <c r="O117" s="55">
        <f t="shared" si="11"/>
        <v>1324896.6257945597</v>
      </c>
      <c r="P117" s="218"/>
      <c r="Q117" s="219"/>
      <c r="R117" s="215"/>
      <c r="S117" s="215"/>
      <c r="T117" s="220"/>
    </row>
    <row r="118" spans="1:20" s="214" customFormat="1" x14ac:dyDescent="0.25">
      <c r="A118" s="306">
        <f>'A) Base RI'!A119</f>
        <v>5588</v>
      </c>
      <c r="B118" s="227" t="str">
        <f>'A) Base RI'!B119</f>
        <v>Paudex</v>
      </c>
      <c r="C118" s="243">
        <v>1</v>
      </c>
      <c r="D118" s="216">
        <f>'B) D RI'!AA119</f>
        <v>1532</v>
      </c>
      <c r="E118" s="217">
        <f>'B) D RI'!S119</f>
        <v>68</v>
      </c>
      <c r="F118" s="10">
        <f>'B) D RI'!R119</f>
        <v>9056967.1277578156</v>
      </c>
      <c r="G118" s="10">
        <f>'B) D RI'!U119</f>
        <v>133190.693055262</v>
      </c>
      <c r="H118" s="41">
        <f>'B) D RI'!T119</f>
        <v>8524153.0777578149</v>
      </c>
      <c r="I118" s="10">
        <f t="shared" si="12"/>
        <v>250710.38463993574</v>
      </c>
      <c r="J118" s="31">
        <f t="shared" si="14"/>
        <v>130428.89255310931</v>
      </c>
      <c r="K118" s="10">
        <f t="shared" si="9"/>
        <v>0</v>
      </c>
      <c r="L118" s="10">
        <f t="shared" si="13"/>
        <v>130428.89255310931</v>
      </c>
      <c r="M118" s="10">
        <f>'D) Ecrêtage'!C117</f>
        <v>133190.693055262</v>
      </c>
      <c r="N118" s="10">
        <f t="shared" si="10"/>
        <v>171162.97652902111</v>
      </c>
      <c r="O118" s="55">
        <f t="shared" si="11"/>
        <v>171162.97652902111</v>
      </c>
      <c r="P118" s="218"/>
      <c r="Q118" s="219"/>
      <c r="R118" s="215"/>
      <c r="S118" s="215"/>
      <c r="T118" s="220"/>
    </row>
    <row r="119" spans="1:20" s="214" customFormat="1" x14ac:dyDescent="0.25">
      <c r="A119" s="306">
        <f>'A) Base RI'!A120</f>
        <v>5589</v>
      </c>
      <c r="B119" s="227" t="str">
        <f>'A) Base RI'!B120</f>
        <v>Prilly</v>
      </c>
      <c r="C119" s="243">
        <v>1</v>
      </c>
      <c r="D119" s="216">
        <f>'B) D RI'!AA120</f>
        <v>12423</v>
      </c>
      <c r="E119" s="217">
        <f>'B) D RI'!S120</f>
        <v>73.5</v>
      </c>
      <c r="F119" s="10">
        <f>'B) D RI'!R120</f>
        <v>29878137.182311133</v>
      </c>
      <c r="G119" s="10">
        <f>'B) D RI'!U120</f>
        <v>406505.26778654603</v>
      </c>
      <c r="H119" s="41">
        <f>'B) D RI'!T120</f>
        <v>27375045.047695749</v>
      </c>
      <c r="I119" s="10">
        <f t="shared" si="12"/>
        <v>744899.18497131288</v>
      </c>
      <c r="J119" s="31">
        <f t="shared" si="14"/>
        <v>1057648.9113493974</v>
      </c>
      <c r="K119" s="10">
        <f t="shared" si="9"/>
        <v>0</v>
      </c>
      <c r="L119" s="10">
        <f t="shared" si="13"/>
        <v>1057648.9113493974</v>
      </c>
      <c r="M119" s="10">
        <f>'D) Ecrêtage'!C118</f>
        <v>406505.26778654603</v>
      </c>
      <c r="N119" s="10">
        <f t="shared" si="10"/>
        <v>522398.75034063542</v>
      </c>
      <c r="O119" s="55">
        <f t="shared" si="11"/>
        <v>522398.75034063542</v>
      </c>
      <c r="P119" s="218"/>
      <c r="Q119" s="219"/>
      <c r="R119" s="215"/>
      <c r="S119" s="215"/>
      <c r="T119" s="220"/>
    </row>
    <row r="120" spans="1:20" s="214" customFormat="1" x14ac:dyDescent="0.25">
      <c r="A120" s="306">
        <f>'A) Base RI'!A121</f>
        <v>5590</v>
      </c>
      <c r="B120" s="227" t="str">
        <f>'A) Base RI'!B121</f>
        <v>Pully</v>
      </c>
      <c r="C120" s="243">
        <v>1</v>
      </c>
      <c r="D120" s="216">
        <f>'B) D RI'!AA121</f>
        <v>18495</v>
      </c>
      <c r="E120" s="217">
        <f>'B) D RI'!S121</f>
        <v>61</v>
      </c>
      <c r="F120" s="10">
        <f>'B) D RI'!R121</f>
        <v>93033366.254976228</v>
      </c>
      <c r="G120" s="10">
        <f>'B) D RI'!U121</f>
        <v>1525137.1517209217</v>
      </c>
      <c r="H120" s="41">
        <f>'B) D RI'!T121</f>
        <v>87663418.876404792</v>
      </c>
      <c r="I120" s="10">
        <f t="shared" si="12"/>
        <v>2874210.4549640915</v>
      </c>
      <c r="J120" s="31">
        <f t="shared" si="14"/>
        <v>1574596.8458027132</v>
      </c>
      <c r="K120" s="10">
        <f t="shared" si="9"/>
        <v>0</v>
      </c>
      <c r="L120" s="10">
        <f t="shared" si="13"/>
        <v>1574596.8458027132</v>
      </c>
      <c r="M120" s="10">
        <f>'D) Ecrêtage'!C119</f>
        <v>1525137.1517209217</v>
      </c>
      <c r="N120" s="10">
        <f t="shared" si="10"/>
        <v>1959949.3666966318</v>
      </c>
      <c r="O120" s="55">
        <f t="shared" si="11"/>
        <v>1959949.3666966318</v>
      </c>
      <c r="P120" s="218"/>
      <c r="Q120" s="219"/>
      <c r="R120" s="215"/>
      <c r="S120" s="215"/>
      <c r="T120" s="220"/>
    </row>
    <row r="121" spans="1:20" s="214" customFormat="1" x14ac:dyDescent="0.25">
      <c r="A121" s="306">
        <f>'A) Base RI'!A122</f>
        <v>5591</v>
      </c>
      <c r="B121" s="227" t="str">
        <f>'A) Base RI'!B122</f>
        <v>Renens</v>
      </c>
      <c r="C121" s="243">
        <v>1</v>
      </c>
      <c r="D121" s="216">
        <f>'B) D RI'!AA122</f>
        <v>20928</v>
      </c>
      <c r="E121" s="217">
        <f>'B) D RI'!S122</f>
        <v>78.5</v>
      </c>
      <c r="F121" s="10">
        <f>'B) D RI'!R122</f>
        <v>44030256.597522803</v>
      </c>
      <c r="G121" s="10">
        <f>'B) D RI'!U122</f>
        <v>560894.98850347521</v>
      </c>
      <c r="H121" s="41">
        <f>'B) D RI'!T122</f>
        <v>39749848.968951374</v>
      </c>
      <c r="I121" s="10">
        <f t="shared" si="12"/>
        <v>1012735.0055783789</v>
      </c>
      <c r="J121" s="31">
        <f t="shared" si="14"/>
        <v>1781733.5922659736</v>
      </c>
      <c r="K121" s="10">
        <f t="shared" si="9"/>
        <v>0</v>
      </c>
      <c r="L121" s="10">
        <f t="shared" si="13"/>
        <v>1781733.5922659736</v>
      </c>
      <c r="M121" s="10">
        <f>'D) Ecrêtage'!C120</f>
        <v>560894.98850347521</v>
      </c>
      <c r="N121" s="10">
        <f t="shared" si="10"/>
        <v>720804.53633973352</v>
      </c>
      <c r="O121" s="55">
        <f t="shared" si="11"/>
        <v>720804.53633973352</v>
      </c>
      <c r="P121" s="218"/>
      <c r="Q121" s="219"/>
      <c r="R121" s="215"/>
      <c r="S121" s="215"/>
      <c r="T121" s="220"/>
    </row>
    <row r="122" spans="1:20" s="214" customFormat="1" x14ac:dyDescent="0.25">
      <c r="A122" s="306">
        <f>'A) Base RI'!A123</f>
        <v>5592</v>
      </c>
      <c r="B122" s="227" t="str">
        <f>'A) Base RI'!B123</f>
        <v>Romanel-sur-Lausanne</v>
      </c>
      <c r="C122" s="243">
        <v>0</v>
      </c>
      <c r="D122" s="216">
        <f>'B) D RI'!AA123</f>
        <v>3294</v>
      </c>
      <c r="E122" s="217">
        <f>'B) D RI'!S123</f>
        <v>72</v>
      </c>
      <c r="F122" s="10">
        <f>'B) D RI'!R123</f>
        <v>8106531.3211477371</v>
      </c>
      <c r="G122" s="10">
        <f>'B) D RI'!U123</f>
        <v>112590.71279371857</v>
      </c>
      <c r="H122" s="41">
        <f>'B) D RI'!T123</f>
        <v>7149621.1511477372</v>
      </c>
      <c r="I122" s="10">
        <f t="shared" si="12"/>
        <v>198600.58753188158</v>
      </c>
      <c r="J122" s="31">
        <f t="shared" si="14"/>
        <v>280439.14625975332</v>
      </c>
      <c r="K122" s="10">
        <f t="shared" si="9"/>
        <v>198600.58753188158</v>
      </c>
      <c r="L122" s="10">
        <f t="shared" si="13"/>
        <v>81838.558727871743</v>
      </c>
      <c r="M122" s="10">
        <f>'D) Ecrêtage'!C121</f>
        <v>112590.71279371857</v>
      </c>
      <c r="N122" s="10">
        <f t="shared" si="10"/>
        <v>144690.00114971359</v>
      </c>
      <c r="O122" s="55">
        <f t="shared" si="11"/>
        <v>343290.58868159517</v>
      </c>
      <c r="P122" s="218"/>
      <c r="Q122" s="219"/>
      <c r="R122" s="215"/>
      <c r="S122" s="215"/>
      <c r="T122" s="220"/>
    </row>
    <row r="123" spans="1:20" s="214" customFormat="1" x14ac:dyDescent="0.25">
      <c r="A123" s="306">
        <f>'A) Base RI'!A124</f>
        <v>5601</v>
      </c>
      <c r="B123" s="227" t="str">
        <f>'A) Base RI'!B124</f>
        <v>Chexbres</v>
      </c>
      <c r="C123" s="243">
        <v>1</v>
      </c>
      <c r="D123" s="216">
        <f>'B) D RI'!AA124</f>
        <v>2235</v>
      </c>
      <c r="E123" s="217">
        <f>'B) D RI'!S124</f>
        <v>69</v>
      </c>
      <c r="F123" s="10">
        <f>'B) D RI'!R124</f>
        <v>7126590.2117991196</v>
      </c>
      <c r="G123" s="10">
        <f>'B) D RI'!U124</f>
        <v>103283.91611303072</v>
      </c>
      <c r="H123" s="41">
        <f>'B) D RI'!T124</f>
        <v>6640003.6617991198</v>
      </c>
      <c r="I123" s="10">
        <f t="shared" si="12"/>
        <v>192463.87425504695</v>
      </c>
      <c r="J123" s="31">
        <f t="shared" si="14"/>
        <v>190279.7486006523</v>
      </c>
      <c r="K123" s="10">
        <f t="shared" si="9"/>
        <v>0</v>
      </c>
      <c r="L123" s="10">
        <f t="shared" si="13"/>
        <v>190279.7486006523</v>
      </c>
      <c r="M123" s="10">
        <f>'D) Ecrêtage'!C122</f>
        <v>103283.91611303072</v>
      </c>
      <c r="N123" s="10">
        <f t="shared" si="10"/>
        <v>132729.86350589184</v>
      </c>
      <c r="O123" s="55">
        <f t="shared" si="11"/>
        <v>132729.86350589184</v>
      </c>
      <c r="P123" s="218"/>
      <c r="Q123" s="219"/>
      <c r="R123" s="215"/>
      <c r="S123" s="215"/>
      <c r="T123" s="220"/>
    </row>
    <row r="124" spans="1:20" s="214" customFormat="1" x14ac:dyDescent="0.25">
      <c r="A124" s="306">
        <f>'A) Base RI'!A125</f>
        <v>5604</v>
      </c>
      <c r="B124" s="227" t="str">
        <f>'A) Base RI'!B125</f>
        <v>Forel (Lavaux)</v>
      </c>
      <c r="C124" s="243">
        <v>0</v>
      </c>
      <c r="D124" s="216">
        <f>'B) D RI'!AA125</f>
        <v>2064</v>
      </c>
      <c r="E124" s="217">
        <f>'B) D RI'!S125</f>
        <v>70</v>
      </c>
      <c r="F124" s="10">
        <f>'B) D RI'!R125</f>
        <v>5156380.8073087055</v>
      </c>
      <c r="G124" s="10">
        <f>'B) D RI'!U125</f>
        <v>73662.582961552936</v>
      </c>
      <c r="H124" s="41">
        <f>'B) D RI'!T125</f>
        <v>4725476.6073087053</v>
      </c>
      <c r="I124" s="10">
        <f t="shared" si="12"/>
        <v>135013.6173516773</v>
      </c>
      <c r="J124" s="31">
        <f t="shared" si="14"/>
        <v>175721.43226476345</v>
      </c>
      <c r="K124" s="10">
        <f t="shared" si="9"/>
        <v>135013.6173516773</v>
      </c>
      <c r="L124" s="10">
        <f t="shared" si="13"/>
        <v>40707.814913086157</v>
      </c>
      <c r="M124" s="10">
        <f>'D) Ecrêtage'!C123</f>
        <v>73662.582961552936</v>
      </c>
      <c r="N124" s="10">
        <f t="shared" si="10"/>
        <v>94663.57347719527</v>
      </c>
      <c r="O124" s="55">
        <f t="shared" si="11"/>
        <v>229677.19082887255</v>
      </c>
      <c r="P124" s="218"/>
      <c r="Q124" s="219"/>
      <c r="R124" s="215"/>
      <c r="S124" s="215"/>
      <c r="T124" s="220"/>
    </row>
    <row r="125" spans="1:20" s="214" customFormat="1" x14ac:dyDescent="0.25">
      <c r="A125" s="306">
        <f>'A) Base RI'!A126</f>
        <v>5606</v>
      </c>
      <c r="B125" s="227" t="str">
        <f>'A) Base RI'!B126</f>
        <v>Lutry</v>
      </c>
      <c r="C125" s="243">
        <v>1</v>
      </c>
      <c r="D125" s="216">
        <f>'B) D RI'!AA126</f>
        <v>10357</v>
      </c>
      <c r="E125" s="217">
        <f>'B) D RI'!S126</f>
        <v>55.5</v>
      </c>
      <c r="F125" s="10">
        <f>'B) D RI'!R126</f>
        <v>44840332.644046634</v>
      </c>
      <c r="G125" s="10">
        <f>'B) D RI'!U126</f>
        <v>807933.92151435383</v>
      </c>
      <c r="H125" s="41">
        <f>'B) D RI'!T126</f>
        <v>41724902.036903776</v>
      </c>
      <c r="I125" s="10">
        <f t="shared" si="12"/>
        <v>1503600.073401938</v>
      </c>
      <c r="J125" s="31">
        <f t="shared" si="14"/>
        <v>881757.20637895109</v>
      </c>
      <c r="K125" s="10">
        <f t="shared" si="9"/>
        <v>0</v>
      </c>
      <c r="L125" s="10">
        <f t="shared" si="13"/>
        <v>881757.20637895109</v>
      </c>
      <c r="M125" s="10">
        <f>'D) Ecrêtage'!C124</f>
        <v>807933.92151435383</v>
      </c>
      <c r="N125" s="10">
        <f t="shared" si="10"/>
        <v>1038273.5585570101</v>
      </c>
      <c r="O125" s="55">
        <f t="shared" si="11"/>
        <v>1038273.5585570101</v>
      </c>
      <c r="P125" s="218"/>
      <c r="Q125" s="219"/>
      <c r="R125" s="215"/>
      <c r="S125" s="215"/>
      <c r="T125" s="220"/>
    </row>
    <row r="126" spans="1:20" s="214" customFormat="1" x14ac:dyDescent="0.25">
      <c r="A126" s="306">
        <f>'A) Base RI'!A127</f>
        <v>5607</v>
      </c>
      <c r="B126" s="227" t="str">
        <f>'A) Base RI'!B127</f>
        <v>Puidoux</v>
      </c>
      <c r="C126" s="243">
        <v>1</v>
      </c>
      <c r="D126" s="216">
        <f>'B) D RI'!AA127</f>
        <v>2881</v>
      </c>
      <c r="E126" s="217">
        <f>'B) D RI'!S127</f>
        <v>70</v>
      </c>
      <c r="F126" s="10">
        <f>'B) D RI'!R127</f>
        <v>6995117.4548644321</v>
      </c>
      <c r="G126" s="10">
        <f>'B) D RI'!U127</f>
        <v>99930.249355206179</v>
      </c>
      <c r="H126" s="41">
        <f>'B) D RI'!T127</f>
        <v>6280348.698342693</v>
      </c>
      <c r="I126" s="10">
        <f t="shared" si="12"/>
        <v>179438.53423836266</v>
      </c>
      <c r="J126" s="31">
        <f t="shared" si="14"/>
        <v>245277.83253623234</v>
      </c>
      <c r="K126" s="10">
        <f t="shared" si="9"/>
        <v>0</v>
      </c>
      <c r="L126" s="10">
        <f t="shared" si="13"/>
        <v>245277.83253623234</v>
      </c>
      <c r="M126" s="10">
        <f>'D) Ecrêtage'!C125</f>
        <v>99930.249355206179</v>
      </c>
      <c r="N126" s="10">
        <f t="shared" si="10"/>
        <v>128420.07600206444</v>
      </c>
      <c r="O126" s="55">
        <f t="shared" si="11"/>
        <v>128420.07600206444</v>
      </c>
      <c r="P126" s="218"/>
      <c r="Q126" s="219"/>
      <c r="R126" s="215"/>
      <c r="S126" s="215"/>
      <c r="T126" s="220"/>
    </row>
    <row r="127" spans="1:20" s="214" customFormat="1" x14ac:dyDescent="0.25">
      <c r="A127" s="306">
        <f>'A) Base RI'!A128</f>
        <v>5609</v>
      </c>
      <c r="B127" s="227" t="str">
        <f>'A) Base RI'!B128</f>
        <v>Rivaz</v>
      </c>
      <c r="C127" s="243">
        <v>1</v>
      </c>
      <c r="D127" s="216">
        <f>'B) D RI'!AA128</f>
        <v>342</v>
      </c>
      <c r="E127" s="217">
        <f>'B) D RI'!S128</f>
        <v>63.5</v>
      </c>
      <c r="F127" s="10">
        <f>'B) D RI'!R128</f>
        <v>868117.59963058622</v>
      </c>
      <c r="G127" s="10">
        <f>'B) D RI'!U128</f>
        <v>13671.143301269074</v>
      </c>
      <c r="H127" s="41">
        <f>'B) D RI'!T128</f>
        <v>813800.34963058622</v>
      </c>
      <c r="I127" s="10">
        <f t="shared" si="12"/>
        <v>25631.507074979094</v>
      </c>
      <c r="J127" s="31">
        <f t="shared" si="14"/>
        <v>29116.632671777665</v>
      </c>
      <c r="K127" s="10">
        <f t="shared" si="9"/>
        <v>0</v>
      </c>
      <c r="L127" s="10">
        <f t="shared" si="13"/>
        <v>29116.632671777665</v>
      </c>
      <c r="M127" s="10">
        <f>'D) Ecrêtage'!C126</f>
        <v>13671.143301269074</v>
      </c>
      <c r="N127" s="10">
        <f t="shared" si="10"/>
        <v>17568.746932108224</v>
      </c>
      <c r="O127" s="55">
        <f t="shared" si="11"/>
        <v>17568.746932108224</v>
      </c>
      <c r="P127" s="218"/>
      <c r="Q127" s="219"/>
      <c r="R127" s="215"/>
      <c r="S127" s="215"/>
      <c r="T127" s="220"/>
    </row>
    <row r="128" spans="1:20" s="214" customFormat="1" x14ac:dyDescent="0.25">
      <c r="A128" s="306">
        <f>'A) Base RI'!A129</f>
        <v>5610</v>
      </c>
      <c r="B128" s="227" t="str">
        <f>'A) Base RI'!B129</f>
        <v>St-Saphorin (Lavaux)</v>
      </c>
      <c r="C128" s="243">
        <v>1</v>
      </c>
      <c r="D128" s="216">
        <f>'B) D RI'!AA129</f>
        <v>384</v>
      </c>
      <c r="E128" s="217">
        <f>'B) D RI'!S129</f>
        <v>70</v>
      </c>
      <c r="F128" s="10">
        <f>'B) D RI'!R129</f>
        <v>1559117.3722887067</v>
      </c>
      <c r="G128" s="10">
        <f>'B) D RI'!U129</f>
        <v>22273.105318410097</v>
      </c>
      <c r="H128" s="41">
        <f>'B) D RI'!T129</f>
        <v>1434794.9722887068</v>
      </c>
      <c r="I128" s="10">
        <f t="shared" si="12"/>
        <v>40994.142065391621</v>
      </c>
      <c r="J128" s="31">
        <f t="shared" si="14"/>
        <v>32692.359491118783</v>
      </c>
      <c r="K128" s="10">
        <f t="shared" si="9"/>
        <v>0</v>
      </c>
      <c r="L128" s="10">
        <f t="shared" si="13"/>
        <v>32692.359491118783</v>
      </c>
      <c r="M128" s="10">
        <f>'D) Ecrêtage'!C127</f>
        <v>22273.105318410097</v>
      </c>
      <c r="N128" s="10">
        <f t="shared" si="10"/>
        <v>28623.103577227223</v>
      </c>
      <c r="O128" s="55">
        <f t="shared" si="11"/>
        <v>28623.103577227223</v>
      </c>
      <c r="P128" s="218"/>
      <c r="Q128" s="219"/>
      <c r="R128" s="215"/>
      <c r="S128" s="215"/>
      <c r="T128" s="220"/>
    </row>
    <row r="129" spans="1:20" s="214" customFormat="1" x14ac:dyDescent="0.25">
      <c r="A129" s="306">
        <f>'A) Base RI'!A130</f>
        <v>5611</v>
      </c>
      <c r="B129" s="227" t="str">
        <f>'A) Base RI'!B130</f>
        <v>Savigny</v>
      </c>
      <c r="C129" s="243">
        <v>1</v>
      </c>
      <c r="D129" s="216">
        <f>'B) D RI'!AA130</f>
        <v>3359</v>
      </c>
      <c r="E129" s="217">
        <f>'B) D RI'!S130</f>
        <v>69</v>
      </c>
      <c r="F129" s="10">
        <f>'B) D RI'!R130</f>
        <v>9281319.9575465359</v>
      </c>
      <c r="G129" s="10">
        <f>'B) D RI'!U130</f>
        <v>134511.88344270343</v>
      </c>
      <c r="H129" s="41">
        <f>'B) D RI'!T130</f>
        <v>8605788.6325465366</v>
      </c>
      <c r="I129" s="10">
        <f t="shared" si="12"/>
        <v>249443.14876946484</v>
      </c>
      <c r="J129" s="31">
        <f t="shared" si="14"/>
        <v>285973.00919444789</v>
      </c>
      <c r="K129" s="10">
        <f t="shared" si="9"/>
        <v>0</v>
      </c>
      <c r="L129" s="10">
        <f t="shared" si="13"/>
        <v>285973.00919444789</v>
      </c>
      <c r="M129" s="10">
        <f>'D) Ecrêtage'!C128</f>
        <v>134511.88344270343</v>
      </c>
      <c r="N129" s="10">
        <f t="shared" si="10"/>
        <v>172860.83449558471</v>
      </c>
      <c r="O129" s="55">
        <f t="shared" si="11"/>
        <v>172860.83449558471</v>
      </c>
      <c r="P129" s="218"/>
      <c r="Q129" s="219"/>
      <c r="R129" s="215"/>
      <c r="S129" s="215"/>
      <c r="T129" s="220"/>
    </row>
    <row r="130" spans="1:20" s="214" customFormat="1" x14ac:dyDescent="0.25">
      <c r="A130" s="306">
        <f>'A) Base RI'!A131</f>
        <v>5613</v>
      </c>
      <c r="B130" s="227" t="str">
        <f>'A) Base RI'!B131</f>
        <v>Bourg-en-Lavaux</v>
      </c>
      <c r="C130" s="243">
        <v>1</v>
      </c>
      <c r="D130" s="216">
        <f>'B) D RI'!AA131</f>
        <v>5345</v>
      </c>
      <c r="E130" s="217">
        <f>'B) D RI'!S131</f>
        <v>64</v>
      </c>
      <c r="F130" s="10">
        <f>'B) D RI'!R131</f>
        <v>21307672.033955351</v>
      </c>
      <c r="G130" s="10">
        <f>'B) D RI'!U131</f>
        <v>332932.37553055235</v>
      </c>
      <c r="H130" s="41">
        <f>'B) D RI'!T131</f>
        <v>19887631.48395535</v>
      </c>
      <c r="I130" s="10">
        <f t="shared" si="12"/>
        <v>621488.48387360468</v>
      </c>
      <c r="J130" s="31">
        <f t="shared" si="14"/>
        <v>455053.80593757785</v>
      </c>
      <c r="K130" s="10">
        <f t="shared" si="9"/>
        <v>0</v>
      </c>
      <c r="L130" s="10">
        <f t="shared" si="13"/>
        <v>455053.80593757785</v>
      </c>
      <c r="M130" s="10">
        <f>'D) Ecrêtage'!C129</f>
        <v>332932.37553055235</v>
      </c>
      <c r="N130" s="10">
        <f t="shared" si="10"/>
        <v>427850.4381311636</v>
      </c>
      <c r="O130" s="55">
        <f t="shared" si="11"/>
        <v>427850.4381311636</v>
      </c>
      <c r="P130" s="218"/>
      <c r="Q130" s="219"/>
      <c r="R130" s="215"/>
      <c r="S130" s="215"/>
      <c r="T130" s="220"/>
    </row>
    <row r="131" spans="1:20" s="214" customFormat="1" x14ac:dyDescent="0.25">
      <c r="A131" s="306">
        <f>'A) Base RI'!A132</f>
        <v>5621</v>
      </c>
      <c r="B131" s="227" t="str">
        <f>'A) Base RI'!B132</f>
        <v>Aclens</v>
      </c>
      <c r="C131" s="243">
        <v>0</v>
      </c>
      <c r="D131" s="216">
        <f>'B) D RI'!AA132</f>
        <v>539</v>
      </c>
      <c r="E131" s="217">
        <f>'B) D RI'!S132</f>
        <v>62</v>
      </c>
      <c r="F131" s="10">
        <f>'B) D RI'!R132</f>
        <v>1674707.4806574252</v>
      </c>
      <c r="G131" s="10">
        <f>'B) D RI'!U132</f>
        <v>27011.410978345568</v>
      </c>
      <c r="H131" s="41">
        <f>'B) D RI'!T132</f>
        <v>1362366.1942937891</v>
      </c>
      <c r="I131" s="10">
        <f t="shared" si="12"/>
        <v>43947.296590122227</v>
      </c>
      <c r="J131" s="31">
        <f t="shared" si="14"/>
        <v>45888.494181544331</v>
      </c>
      <c r="K131" s="10">
        <f t="shared" si="9"/>
        <v>43947.296590122227</v>
      </c>
      <c r="L131" s="10">
        <f t="shared" si="13"/>
        <v>1941.1975914221039</v>
      </c>
      <c r="M131" s="10">
        <f>'D) Ecrêtage'!C130</f>
        <v>27011.410978345568</v>
      </c>
      <c r="N131" s="10">
        <f t="shared" si="10"/>
        <v>34712.286551313577</v>
      </c>
      <c r="O131" s="55">
        <f t="shared" si="11"/>
        <v>78659.583141435811</v>
      </c>
      <c r="P131" s="218"/>
      <c r="Q131" s="219"/>
      <c r="R131" s="215"/>
      <c r="S131" s="215"/>
      <c r="T131" s="220"/>
    </row>
    <row r="132" spans="1:20" s="214" customFormat="1" x14ac:dyDescent="0.25">
      <c r="A132" s="306">
        <f>'A) Base RI'!A133</f>
        <v>5622</v>
      </c>
      <c r="B132" s="227" t="str">
        <f>'A) Base RI'!B133</f>
        <v>Bremblens</v>
      </c>
      <c r="C132" s="243">
        <v>0</v>
      </c>
      <c r="D132" s="216">
        <f>'B) D RI'!AA133</f>
        <v>577</v>
      </c>
      <c r="E132" s="217">
        <f>'B) D RI'!S133</f>
        <v>66</v>
      </c>
      <c r="F132" s="10">
        <f>'B) D RI'!R133</f>
        <v>1777864.81</v>
      </c>
      <c r="G132" s="10">
        <f>'B) D RI'!U133</f>
        <v>26937.345606060608</v>
      </c>
      <c r="H132" s="41">
        <f>'B) D RI'!T133</f>
        <v>1627706.4100000001</v>
      </c>
      <c r="I132" s="10">
        <f t="shared" si="12"/>
        <v>49324.436666666668</v>
      </c>
      <c r="J132" s="31">
        <f t="shared" si="14"/>
        <v>49123.675589519633</v>
      </c>
      <c r="K132" s="10">
        <f t="shared" si="9"/>
        <v>49123.675589519633</v>
      </c>
      <c r="L132" s="10">
        <f t="shared" si="13"/>
        <v>0</v>
      </c>
      <c r="M132" s="10">
        <f>'D) Ecrêtage'!C131</f>
        <v>26937.345606060608</v>
      </c>
      <c r="N132" s="10">
        <f t="shared" si="10"/>
        <v>34617.105354435473</v>
      </c>
      <c r="O132" s="55">
        <f t="shared" si="11"/>
        <v>83740.780943955106</v>
      </c>
      <c r="P132" s="218"/>
      <c r="Q132" s="219"/>
      <c r="R132" s="215"/>
      <c r="S132" s="215"/>
      <c r="T132" s="220"/>
    </row>
    <row r="133" spans="1:20" s="214" customFormat="1" x14ac:dyDescent="0.25">
      <c r="A133" s="306">
        <f>'A) Base RI'!A134</f>
        <v>5623</v>
      </c>
      <c r="B133" s="227" t="str">
        <f>'A) Base RI'!B134</f>
        <v>Buchillon</v>
      </c>
      <c r="C133" s="243">
        <v>1</v>
      </c>
      <c r="D133" s="216">
        <f>'B) D RI'!AA134</f>
        <v>686</v>
      </c>
      <c r="E133" s="217">
        <f>'B) D RI'!S134</f>
        <v>53</v>
      </c>
      <c r="F133" s="10">
        <f>'B) D RI'!R134</f>
        <v>4741479.503158533</v>
      </c>
      <c r="G133" s="10">
        <f>'B) D RI'!U134</f>
        <v>89461.877418085525</v>
      </c>
      <c r="H133" s="41">
        <f>'B) D RI'!T134</f>
        <v>4396422.7031585332</v>
      </c>
      <c r="I133" s="10">
        <f t="shared" si="12"/>
        <v>165902.74351541634</v>
      </c>
      <c r="J133" s="31">
        <f t="shared" ref="J133:J168" si="15">+$I$314/$D$314*D133</f>
        <v>58403.538049238239</v>
      </c>
      <c r="K133" s="10">
        <f t="shared" ref="K133:K191" si="16">IF(C133=1,0,IF(J133&gt;I133,I133,J133))</f>
        <v>0</v>
      </c>
      <c r="L133" s="10">
        <f t="shared" si="13"/>
        <v>58403.538049238239</v>
      </c>
      <c r="M133" s="10">
        <f>'D) Ecrêtage'!C132</f>
        <v>89461.877418085525</v>
      </c>
      <c r="N133" s="10">
        <f t="shared" ref="N133:N191" si="17">+$N$5*M133</f>
        <v>114967.20133741341</v>
      </c>
      <c r="O133" s="55">
        <f t="shared" ref="O133:O191" si="18">+N133+K133</f>
        <v>114967.20133741341</v>
      </c>
      <c r="P133" s="218"/>
      <c r="Q133" s="219"/>
      <c r="R133" s="215"/>
      <c r="S133" s="215"/>
      <c r="T133" s="220"/>
    </row>
    <row r="134" spans="1:20" s="214" customFormat="1" x14ac:dyDescent="0.25">
      <c r="A134" s="306">
        <f>'A) Base RI'!A135</f>
        <v>5624</v>
      </c>
      <c r="B134" s="227" t="str">
        <f>'A) Base RI'!B135</f>
        <v>Bussigny</v>
      </c>
      <c r="C134" s="243">
        <v>1</v>
      </c>
      <c r="D134" s="216">
        <f>'B) D RI'!AA135</f>
        <v>8962</v>
      </c>
      <c r="E134" s="217">
        <f>'B) D RI'!S135</f>
        <v>64</v>
      </c>
      <c r="F134" s="10">
        <f>'B) D RI'!R135</f>
        <v>25624966.89003063</v>
      </c>
      <c r="G134" s="10">
        <f>'B) D RI'!U135</f>
        <v>400390.10765672859</v>
      </c>
      <c r="H134" s="41">
        <f>'B) D RI'!T135</f>
        <v>23310732.620030627</v>
      </c>
      <c r="I134" s="10">
        <f t="shared" ref="I134:I192" si="19">+H134/E134*$I$5</f>
        <v>728460.39437595708</v>
      </c>
      <c r="J134" s="31">
        <f t="shared" si="15"/>
        <v>762991.99416512123</v>
      </c>
      <c r="K134" s="10">
        <f t="shared" si="16"/>
        <v>0</v>
      </c>
      <c r="L134" s="10">
        <f t="shared" ref="L134:L192" si="20">+J134-K134</f>
        <v>762991.99416512123</v>
      </c>
      <c r="M134" s="10">
        <f>'D) Ecrêtage'!C133</f>
        <v>400390.10765672859</v>
      </c>
      <c r="N134" s="10">
        <f t="shared" si="17"/>
        <v>514540.17564775603</v>
      </c>
      <c r="O134" s="55">
        <f t="shared" si="18"/>
        <v>514540.17564775603</v>
      </c>
      <c r="P134" s="218"/>
      <c r="Q134" s="219"/>
      <c r="R134" s="215"/>
      <c r="S134" s="215"/>
      <c r="T134" s="220"/>
    </row>
    <row r="135" spans="1:20" s="214" customFormat="1" x14ac:dyDescent="0.25">
      <c r="A135" s="306">
        <f>'A) Base RI'!A136</f>
        <v>5625</v>
      </c>
      <c r="B135" s="227" t="str">
        <f>'A) Base RI'!B136</f>
        <v>Bussy-Chardonney</v>
      </c>
      <c r="C135" s="243">
        <v>0</v>
      </c>
      <c r="D135" s="216">
        <f>'B) D RI'!AA136</f>
        <v>384</v>
      </c>
      <c r="E135" s="217">
        <f>'B) D RI'!S136</f>
        <v>77</v>
      </c>
      <c r="F135" s="10">
        <f>'B) D RI'!R136</f>
        <v>1294764.8559568641</v>
      </c>
      <c r="G135" s="10">
        <f>'B) D RI'!U136</f>
        <v>16815.127999439792</v>
      </c>
      <c r="H135" s="41">
        <f>'B) D RI'!T136</f>
        <v>1194481.5226235308</v>
      </c>
      <c r="I135" s="10">
        <f t="shared" si="19"/>
        <v>31025.494094117683</v>
      </c>
      <c r="J135" s="31">
        <f t="shared" si="15"/>
        <v>32692.359491118783</v>
      </c>
      <c r="K135" s="10">
        <f t="shared" si="16"/>
        <v>31025.494094117683</v>
      </c>
      <c r="L135" s="10">
        <f t="shared" si="20"/>
        <v>1666.8653970011001</v>
      </c>
      <c r="M135" s="10">
        <f>'D) Ecrêtage'!C134</f>
        <v>16815.127999439792</v>
      </c>
      <c r="N135" s="10">
        <f t="shared" si="17"/>
        <v>21609.072624214354</v>
      </c>
      <c r="O135" s="55">
        <f t="shared" si="18"/>
        <v>52634.566718332033</v>
      </c>
      <c r="P135" s="218"/>
      <c r="Q135" s="219"/>
      <c r="R135" s="215"/>
      <c r="S135" s="215"/>
      <c r="T135" s="220"/>
    </row>
    <row r="136" spans="1:20" s="214" customFormat="1" x14ac:dyDescent="0.25">
      <c r="A136" s="306">
        <f>'A) Base RI'!A137</f>
        <v>5627</v>
      </c>
      <c r="B136" s="227" t="str">
        <f>'A) Base RI'!B137</f>
        <v>Chavannes-près-Renens</v>
      </c>
      <c r="C136" s="243">
        <v>1</v>
      </c>
      <c r="D136" s="216">
        <f>'B) D RI'!AA137</f>
        <v>7887</v>
      </c>
      <c r="E136" s="217">
        <f>'B) D RI'!S137</f>
        <v>79</v>
      </c>
      <c r="F136" s="10">
        <f>'B) D RI'!R137</f>
        <v>16932763.127068214</v>
      </c>
      <c r="G136" s="10">
        <f>'B) D RI'!U137</f>
        <v>214338.77376035714</v>
      </c>
      <c r="H136" s="41">
        <f>'B) D RI'!T137</f>
        <v>15576037.860401547</v>
      </c>
      <c r="I136" s="10">
        <f t="shared" si="19"/>
        <v>394330.07241522905</v>
      </c>
      <c r="J136" s="31">
        <f t="shared" si="15"/>
        <v>671470.41486055683</v>
      </c>
      <c r="K136" s="10">
        <f t="shared" si="16"/>
        <v>0</v>
      </c>
      <c r="L136" s="10">
        <f t="shared" si="20"/>
        <v>671470.41486055683</v>
      </c>
      <c r="M136" s="10">
        <f>'D) Ecrêtage'!C135</f>
        <v>214338.77376035714</v>
      </c>
      <c r="N136" s="10">
        <f t="shared" si="17"/>
        <v>275446.1416247866</v>
      </c>
      <c r="O136" s="55">
        <f t="shared" si="18"/>
        <v>275446.1416247866</v>
      </c>
      <c r="P136" s="218"/>
      <c r="Q136" s="219"/>
      <c r="R136" s="215"/>
      <c r="S136" s="215"/>
      <c r="T136" s="220"/>
    </row>
    <row r="137" spans="1:20" s="214" customFormat="1" x14ac:dyDescent="0.25">
      <c r="A137" s="306">
        <f>'A) Base RI'!A138</f>
        <v>5628</v>
      </c>
      <c r="B137" s="227" t="str">
        <f>'A) Base RI'!B138</f>
        <v>Chigny</v>
      </c>
      <c r="C137" s="243">
        <v>0</v>
      </c>
      <c r="D137" s="216">
        <f>'B) D RI'!AA138</f>
        <v>382</v>
      </c>
      <c r="E137" s="217">
        <f>'B) D RI'!S138</f>
        <v>62</v>
      </c>
      <c r="F137" s="10">
        <f>'B) D RI'!R138</f>
        <v>1387065.32</v>
      </c>
      <c r="G137" s="10">
        <f>'B) D RI'!U138</f>
        <v>22372.02129032258</v>
      </c>
      <c r="H137" s="41">
        <f>'B) D RI'!T138</f>
        <v>1291600.1200000001</v>
      </c>
      <c r="I137" s="10">
        <f t="shared" si="19"/>
        <v>41664.520000000004</v>
      </c>
      <c r="J137" s="31">
        <f t="shared" si="15"/>
        <v>32522.086785435873</v>
      </c>
      <c r="K137" s="10">
        <f t="shared" si="16"/>
        <v>32522.086785435873</v>
      </c>
      <c r="L137" s="10">
        <f t="shared" si="20"/>
        <v>0</v>
      </c>
      <c r="M137" s="10">
        <f>'D) Ecrêtage'!C136</f>
        <v>22372.02129032258</v>
      </c>
      <c r="N137" s="10">
        <f t="shared" si="17"/>
        <v>28750.220208205163</v>
      </c>
      <c r="O137" s="55">
        <f t="shared" si="18"/>
        <v>61272.306993641032</v>
      </c>
      <c r="P137" s="218"/>
      <c r="Q137" s="219"/>
      <c r="R137" s="215"/>
      <c r="S137" s="215"/>
      <c r="T137" s="220"/>
    </row>
    <row r="138" spans="1:20" s="214" customFormat="1" x14ac:dyDescent="0.25">
      <c r="A138" s="306">
        <f>'A) Base RI'!A139</f>
        <v>5629</v>
      </c>
      <c r="B138" s="227" t="str">
        <f>'A) Base RI'!B139</f>
        <v>Clarmont</v>
      </c>
      <c r="C138" s="243">
        <v>0</v>
      </c>
      <c r="D138" s="216">
        <f>'B) D RI'!AA139</f>
        <v>191</v>
      </c>
      <c r="E138" s="217">
        <f>'B) D RI'!S139</f>
        <v>75</v>
      </c>
      <c r="F138" s="10">
        <f>'B) D RI'!R139</f>
        <v>506243.77999999991</v>
      </c>
      <c r="G138" s="10">
        <f>'B) D RI'!U139</f>
        <v>6749.9170666666651</v>
      </c>
      <c r="H138" s="41">
        <f>'B) D RI'!T139</f>
        <v>468967.12999999995</v>
      </c>
      <c r="I138" s="10">
        <f t="shared" si="19"/>
        <v>12505.790133333332</v>
      </c>
      <c r="J138" s="31">
        <f t="shared" si="15"/>
        <v>16261.043392717937</v>
      </c>
      <c r="K138" s="10">
        <f t="shared" si="16"/>
        <v>12505.790133333332</v>
      </c>
      <c r="L138" s="10">
        <f t="shared" si="20"/>
        <v>3755.2532593846045</v>
      </c>
      <c r="M138" s="10">
        <f>'D) Ecrêtage'!C137</f>
        <v>6749.9170666666651</v>
      </c>
      <c r="N138" s="10">
        <f t="shared" si="17"/>
        <v>8674.2990065780814</v>
      </c>
      <c r="O138" s="55">
        <f t="shared" si="18"/>
        <v>21180.089139911412</v>
      </c>
      <c r="P138" s="218"/>
      <c r="Q138" s="219"/>
      <c r="R138" s="215"/>
      <c r="S138" s="215"/>
      <c r="T138" s="220"/>
    </row>
    <row r="139" spans="1:20" s="214" customFormat="1" x14ac:dyDescent="0.25">
      <c r="A139" s="306">
        <f>'A) Base RI'!A140</f>
        <v>5631</v>
      </c>
      <c r="B139" s="227" t="str">
        <f>'A) Base RI'!B140</f>
        <v>Denens</v>
      </c>
      <c r="C139" s="243">
        <v>0</v>
      </c>
      <c r="D139" s="216">
        <f>'B) D RI'!AA140</f>
        <v>742</v>
      </c>
      <c r="E139" s="217">
        <f>'B) D RI'!S140</f>
        <v>70</v>
      </c>
      <c r="F139" s="10">
        <f>'B) D RI'!R140</f>
        <v>3596186.69</v>
      </c>
      <c r="G139" s="10">
        <f>'B) D RI'!U140</f>
        <v>51374.095571428574</v>
      </c>
      <c r="H139" s="41">
        <f>'B) D RI'!T140</f>
        <v>3390420.59</v>
      </c>
      <c r="I139" s="10">
        <f t="shared" si="19"/>
        <v>96869.159714285706</v>
      </c>
      <c r="J139" s="31">
        <f t="shared" si="15"/>
        <v>63171.17380835973</v>
      </c>
      <c r="K139" s="10">
        <f t="shared" si="16"/>
        <v>63171.17380835973</v>
      </c>
      <c r="L139" s="10">
        <f t="shared" si="20"/>
        <v>0</v>
      </c>
      <c r="M139" s="10">
        <f>'D) Ecrêtage'!C138</f>
        <v>51374.095571428574</v>
      </c>
      <c r="N139" s="10">
        <f t="shared" si="17"/>
        <v>66020.702443853792</v>
      </c>
      <c r="O139" s="55">
        <f t="shared" si="18"/>
        <v>129191.87625221352</v>
      </c>
      <c r="P139" s="218"/>
      <c r="Q139" s="219"/>
      <c r="R139" s="215"/>
      <c r="S139" s="215"/>
      <c r="T139" s="220"/>
    </row>
    <row r="140" spans="1:20" s="214" customFormat="1" x14ac:dyDescent="0.25">
      <c r="A140" s="306">
        <f>'A) Base RI'!A141</f>
        <v>5632</v>
      </c>
      <c r="B140" s="227" t="str">
        <f>'A) Base RI'!B141</f>
        <v>Denges</v>
      </c>
      <c r="C140" s="243">
        <v>0</v>
      </c>
      <c r="D140" s="216">
        <f>'B) D RI'!AA141</f>
        <v>1609</v>
      </c>
      <c r="E140" s="217">
        <f>'B) D RI'!S141</f>
        <v>62</v>
      </c>
      <c r="F140" s="10">
        <f>'B) D RI'!R141</f>
        <v>4535932.6521471823</v>
      </c>
      <c r="G140" s="10">
        <f>'B) D RI'!U141</f>
        <v>73160.20406689003</v>
      </c>
      <c r="H140" s="41">
        <f>'B) D RI'!T141</f>
        <v>4169149.2521471828</v>
      </c>
      <c r="I140" s="10">
        <f t="shared" si="19"/>
        <v>134488.68555313494</v>
      </c>
      <c r="J140" s="31">
        <f t="shared" si="15"/>
        <v>136984.39172190137</v>
      </c>
      <c r="K140" s="10">
        <f t="shared" si="16"/>
        <v>134488.68555313494</v>
      </c>
      <c r="L140" s="10">
        <f t="shared" si="20"/>
        <v>2495.7061687664245</v>
      </c>
      <c r="M140" s="10">
        <f>'D) Ecrêtage'!C139</f>
        <v>73160.20406689003</v>
      </c>
      <c r="N140" s="10">
        <f t="shared" si="17"/>
        <v>94017.967804731466</v>
      </c>
      <c r="O140" s="55">
        <f t="shared" si="18"/>
        <v>228506.65335786639</v>
      </c>
      <c r="P140" s="218"/>
      <c r="Q140" s="219"/>
      <c r="R140" s="215"/>
      <c r="S140" s="215"/>
      <c r="T140" s="220"/>
    </row>
    <row r="141" spans="1:20" s="214" customFormat="1" x14ac:dyDescent="0.25">
      <c r="A141" s="306">
        <f>'A) Base RI'!A142</f>
        <v>5633</v>
      </c>
      <c r="B141" s="227" t="str">
        <f>'A) Base RI'!B142</f>
        <v>Echandens</v>
      </c>
      <c r="C141" s="243">
        <v>0</v>
      </c>
      <c r="D141" s="216">
        <f>'B) D RI'!AA142</f>
        <v>2739</v>
      </c>
      <c r="E141" s="217">
        <f>'B) D RI'!S142</f>
        <v>62</v>
      </c>
      <c r="F141" s="10">
        <f>'B) D RI'!R142</f>
        <v>9927119.5725339018</v>
      </c>
      <c r="G141" s="10">
        <f>'B) D RI'!U142</f>
        <v>160114.83181506293</v>
      </c>
      <c r="H141" s="41">
        <f>'B) D RI'!T142</f>
        <v>9265285.6725339033</v>
      </c>
      <c r="I141" s="10">
        <f t="shared" si="19"/>
        <v>298880.18298496463</v>
      </c>
      <c r="J141" s="31">
        <f t="shared" si="15"/>
        <v>233188.4704327457</v>
      </c>
      <c r="K141" s="10">
        <f t="shared" si="16"/>
        <v>233188.4704327457</v>
      </c>
      <c r="L141" s="10">
        <f t="shared" si="20"/>
        <v>0</v>
      </c>
      <c r="M141" s="10">
        <f>'D) Ecrêtage'!C140</f>
        <v>160114.83181506293</v>
      </c>
      <c r="N141" s="10">
        <f t="shared" si="17"/>
        <v>205763.10980331711</v>
      </c>
      <c r="O141" s="55">
        <f t="shared" si="18"/>
        <v>438951.58023606281</v>
      </c>
      <c r="P141" s="218"/>
      <c r="Q141" s="219"/>
      <c r="R141" s="215"/>
      <c r="S141" s="215"/>
      <c r="T141" s="220"/>
    </row>
    <row r="142" spans="1:20" s="214" customFormat="1" x14ac:dyDescent="0.25">
      <c r="A142" s="306">
        <f>'A) Base RI'!A143</f>
        <v>5634</v>
      </c>
      <c r="B142" s="227" t="str">
        <f>'A) Base RI'!B143</f>
        <v>Echichens</v>
      </c>
      <c r="C142" s="243">
        <v>0</v>
      </c>
      <c r="D142" s="216">
        <f>'B) D RI'!AA143</f>
        <v>3077</v>
      </c>
      <c r="E142" s="217">
        <f>'B) D RI'!S143</f>
        <v>68</v>
      </c>
      <c r="F142" s="10">
        <f>'B) D RI'!R143</f>
        <v>11824449.547536142</v>
      </c>
      <c r="G142" s="10">
        <f>'B) D RI'!U143</f>
        <v>173888.96393435504</v>
      </c>
      <c r="H142" s="41">
        <f>'B) D RI'!T143</f>
        <v>11209610.747536143</v>
      </c>
      <c r="I142" s="10">
        <f t="shared" si="19"/>
        <v>329694.43375106301</v>
      </c>
      <c r="J142" s="31">
        <f t="shared" si="15"/>
        <v>261964.55769315755</v>
      </c>
      <c r="K142" s="10">
        <f t="shared" si="16"/>
        <v>261964.55769315755</v>
      </c>
      <c r="L142" s="10">
        <f t="shared" si="20"/>
        <v>0</v>
      </c>
      <c r="M142" s="10">
        <f>'D) Ecrêtage'!C141</f>
        <v>173888.96393435504</v>
      </c>
      <c r="N142" s="10">
        <f t="shared" si="17"/>
        <v>223464.2073692246</v>
      </c>
      <c r="O142" s="55">
        <f t="shared" si="18"/>
        <v>485428.76506238215</v>
      </c>
      <c r="P142" s="218"/>
      <c r="Q142" s="219"/>
      <c r="R142" s="215"/>
      <c r="S142" s="215"/>
      <c r="T142" s="220"/>
    </row>
    <row r="143" spans="1:20" s="214" customFormat="1" x14ac:dyDescent="0.25">
      <c r="A143" s="306">
        <f>'A) Base RI'!A144</f>
        <v>5635</v>
      </c>
      <c r="B143" s="227" t="str">
        <f>'A) Base RI'!B144</f>
        <v>Ecublens</v>
      </c>
      <c r="C143" s="243">
        <v>1</v>
      </c>
      <c r="D143" s="216">
        <f>'B) D RI'!AA144</f>
        <v>13089</v>
      </c>
      <c r="E143" s="217">
        <f>'B) D RI'!S144</f>
        <v>64</v>
      </c>
      <c r="F143" s="10">
        <f>'B) D RI'!R144</f>
        <v>31264494.517193932</v>
      </c>
      <c r="G143" s="10">
        <f>'B) D RI'!U144</f>
        <v>488507.72683115519</v>
      </c>
      <c r="H143" s="41">
        <f>'B) D RI'!T144</f>
        <v>28527957.992193934</v>
      </c>
      <c r="I143" s="10">
        <f t="shared" si="19"/>
        <v>891498.68725606042</v>
      </c>
      <c r="J143" s="31">
        <f t="shared" si="15"/>
        <v>1114349.7223418066</v>
      </c>
      <c r="K143" s="10">
        <f t="shared" si="16"/>
        <v>0</v>
      </c>
      <c r="L143" s="10">
        <f t="shared" si="20"/>
        <v>1114349.7223418066</v>
      </c>
      <c r="M143" s="10">
        <f>'D) Ecrêtage'!C142</f>
        <v>488507.72683115519</v>
      </c>
      <c r="N143" s="10">
        <f t="shared" si="17"/>
        <v>627779.87458293431</v>
      </c>
      <c r="O143" s="55">
        <f t="shared" si="18"/>
        <v>627779.87458293431</v>
      </c>
      <c r="P143" s="218"/>
      <c r="Q143" s="219"/>
      <c r="R143" s="215"/>
      <c r="S143" s="215"/>
      <c r="T143" s="220"/>
    </row>
    <row r="144" spans="1:20" s="214" customFormat="1" x14ac:dyDescent="0.25">
      <c r="A144" s="306">
        <f>'A) Base RI'!A145</f>
        <v>5636</v>
      </c>
      <c r="B144" s="227" t="str">
        <f>'A) Base RI'!B145</f>
        <v>Etoy</v>
      </c>
      <c r="C144" s="243">
        <v>0</v>
      </c>
      <c r="D144" s="216">
        <f>'B) D RI'!AA145</f>
        <v>2933</v>
      </c>
      <c r="E144" s="217">
        <f>'B) D RI'!S145</f>
        <v>61</v>
      </c>
      <c r="F144" s="10">
        <f>'B) D RI'!R145</f>
        <v>10786729.065673199</v>
      </c>
      <c r="G144" s="10">
        <f>'B) D RI'!U145</f>
        <v>176831.6240274295</v>
      </c>
      <c r="H144" s="41">
        <f>'B) D RI'!T145</f>
        <v>9350125.9656731989</v>
      </c>
      <c r="I144" s="10">
        <f t="shared" si="19"/>
        <v>306561.50707125245</v>
      </c>
      <c r="J144" s="31">
        <f t="shared" si="15"/>
        <v>249704.92288398801</v>
      </c>
      <c r="K144" s="10">
        <f t="shared" si="16"/>
        <v>249704.92288398801</v>
      </c>
      <c r="L144" s="10">
        <f t="shared" si="20"/>
        <v>0</v>
      </c>
      <c r="M144" s="10">
        <f>'D) Ecrêtage'!C143</f>
        <v>176831.6240274295</v>
      </c>
      <c r="N144" s="10">
        <f t="shared" si="17"/>
        <v>227245.81139042156</v>
      </c>
      <c r="O144" s="55">
        <f t="shared" si="18"/>
        <v>476950.73427440959</v>
      </c>
      <c r="P144" s="218"/>
      <c r="Q144" s="219"/>
      <c r="R144" s="215"/>
      <c r="S144" s="215"/>
      <c r="T144" s="220"/>
    </row>
    <row r="145" spans="1:20" s="214" customFormat="1" x14ac:dyDescent="0.25">
      <c r="A145" s="306">
        <f>'A) Base RI'!A146</f>
        <v>5637</v>
      </c>
      <c r="B145" s="227" t="str">
        <f>'A) Base RI'!B146</f>
        <v>Lavigny</v>
      </c>
      <c r="C145" s="243">
        <v>0</v>
      </c>
      <c r="D145" s="216">
        <f>'B) D RI'!AA146</f>
        <v>992</v>
      </c>
      <c r="E145" s="217">
        <f>'B) D RI'!S146</f>
        <v>74.5</v>
      </c>
      <c r="F145" s="10">
        <f>'B) D RI'!R146</f>
        <v>2766757.3387990776</v>
      </c>
      <c r="G145" s="10">
        <f>'B) D RI'!U146</f>
        <v>37137.682399987621</v>
      </c>
      <c r="H145" s="41">
        <f>'B) D RI'!T146</f>
        <v>2571848.9554657442</v>
      </c>
      <c r="I145" s="10">
        <f t="shared" si="19"/>
        <v>69042.924978946161</v>
      </c>
      <c r="J145" s="31">
        <f t="shared" si="15"/>
        <v>84455.26201872353</v>
      </c>
      <c r="K145" s="10">
        <f t="shared" si="16"/>
        <v>69042.924978946161</v>
      </c>
      <c r="L145" s="10">
        <f t="shared" si="20"/>
        <v>15412.337039777369</v>
      </c>
      <c r="M145" s="10">
        <f>'D) Ecrêtage'!C144</f>
        <v>37137.682399987621</v>
      </c>
      <c r="N145" s="10">
        <f t="shared" si="17"/>
        <v>47725.528827557893</v>
      </c>
      <c r="O145" s="55">
        <f t="shared" si="18"/>
        <v>116768.45380650405</v>
      </c>
      <c r="P145" s="218"/>
      <c r="Q145" s="219"/>
      <c r="R145" s="215"/>
      <c r="S145" s="215"/>
      <c r="T145" s="220"/>
    </row>
    <row r="146" spans="1:20" s="214" customFormat="1" x14ac:dyDescent="0.25">
      <c r="A146" s="306">
        <f>'A) Base RI'!A147</f>
        <v>5638</v>
      </c>
      <c r="B146" s="227" t="str">
        <f>'A) Base RI'!B147</f>
        <v>Lonay</v>
      </c>
      <c r="C146" s="243">
        <v>0</v>
      </c>
      <c r="D146" s="216">
        <f>'B) D RI'!AA147</f>
        <v>2676</v>
      </c>
      <c r="E146" s="217">
        <f>'B) D RI'!S147</f>
        <v>55</v>
      </c>
      <c r="F146" s="10">
        <f>'B) D RI'!R147</f>
        <v>8513856.5211283453</v>
      </c>
      <c r="G146" s="10">
        <f>'B) D RI'!U147</f>
        <v>154797.39129324263</v>
      </c>
      <c r="H146" s="41">
        <f>'B) D RI'!T147</f>
        <v>7806427.4711283455</v>
      </c>
      <c r="I146" s="10">
        <f t="shared" si="19"/>
        <v>283870.08985921257</v>
      </c>
      <c r="J146" s="31">
        <f t="shared" si="15"/>
        <v>227824.88020373401</v>
      </c>
      <c r="K146" s="10">
        <f t="shared" si="16"/>
        <v>227824.88020373401</v>
      </c>
      <c r="L146" s="10">
        <f t="shared" si="20"/>
        <v>0</v>
      </c>
      <c r="M146" s="10">
        <f>'D) Ecrêtage'!C145</f>
        <v>154797.39129324263</v>
      </c>
      <c r="N146" s="10">
        <f t="shared" si="17"/>
        <v>198929.68228407472</v>
      </c>
      <c r="O146" s="55">
        <f t="shared" si="18"/>
        <v>426754.56248780875</v>
      </c>
      <c r="P146" s="218"/>
      <c r="Q146" s="219"/>
      <c r="R146" s="215"/>
      <c r="S146" s="215"/>
      <c r="T146" s="220"/>
    </row>
    <row r="147" spans="1:20" s="214" customFormat="1" x14ac:dyDescent="0.25">
      <c r="A147" s="306">
        <f>'A) Base RI'!A148</f>
        <v>5639</v>
      </c>
      <c r="B147" s="227" t="str">
        <f>'A) Base RI'!B148</f>
        <v>Lully</v>
      </c>
      <c r="C147" s="243">
        <v>0</v>
      </c>
      <c r="D147" s="216">
        <f>'B) D RI'!AA148</f>
        <v>818</v>
      </c>
      <c r="E147" s="217">
        <f>'B) D RI'!S148</f>
        <v>61</v>
      </c>
      <c r="F147" s="10">
        <f>'B) D RI'!R148</f>
        <v>2866419.8769595469</v>
      </c>
      <c r="G147" s="10">
        <f>'B) D RI'!U148</f>
        <v>46990.489786222082</v>
      </c>
      <c r="H147" s="41">
        <f>'B) D RI'!T148</f>
        <v>2666925.146959547</v>
      </c>
      <c r="I147" s="10">
        <f t="shared" si="19"/>
        <v>87440.168752772035</v>
      </c>
      <c r="J147" s="31">
        <f t="shared" si="15"/>
        <v>69641.53662431032</v>
      </c>
      <c r="K147" s="10">
        <f t="shared" si="16"/>
        <v>69641.53662431032</v>
      </c>
      <c r="L147" s="10">
        <f t="shared" si="20"/>
        <v>0</v>
      </c>
      <c r="M147" s="10">
        <f>'D) Ecrêtage'!C146</f>
        <v>46990.489786222082</v>
      </c>
      <c r="N147" s="10">
        <f t="shared" si="17"/>
        <v>60387.343258505389</v>
      </c>
      <c r="O147" s="55">
        <f t="shared" si="18"/>
        <v>130028.8798828157</v>
      </c>
      <c r="P147" s="218"/>
      <c r="Q147" s="219"/>
      <c r="R147" s="215"/>
      <c r="S147" s="215"/>
      <c r="T147" s="220"/>
    </row>
    <row r="148" spans="1:20" s="214" customFormat="1" x14ac:dyDescent="0.25">
      <c r="A148" s="306">
        <f>'A) Base RI'!A149</f>
        <v>5640</v>
      </c>
      <c r="B148" s="227" t="str">
        <f>'A) Base RI'!B149</f>
        <v>Lussy-sur-Morges</v>
      </c>
      <c r="C148" s="243">
        <v>1</v>
      </c>
      <c r="D148" s="216">
        <f>'B) D RI'!AA149</f>
        <v>696</v>
      </c>
      <c r="E148" s="217">
        <f>'B) D RI'!S149</f>
        <v>66</v>
      </c>
      <c r="F148" s="10">
        <f>'B) D RI'!R149</f>
        <v>4021555.2187190265</v>
      </c>
      <c r="G148" s="10">
        <f>'B) D RI'!U149</f>
        <v>60932.654829076157</v>
      </c>
      <c r="H148" s="41">
        <f>'B) D RI'!T149</f>
        <v>3824850.7187190265</v>
      </c>
      <c r="I148" s="10">
        <f t="shared" si="19"/>
        <v>115904.5672339099</v>
      </c>
      <c r="J148" s="31">
        <f t="shared" si="15"/>
        <v>59254.901577652796</v>
      </c>
      <c r="K148" s="10">
        <f t="shared" si="16"/>
        <v>0</v>
      </c>
      <c r="L148" s="10">
        <f t="shared" si="20"/>
        <v>59254.901577652796</v>
      </c>
      <c r="M148" s="10">
        <f>'D) Ecrêtage'!C147</f>
        <v>60932.654829076157</v>
      </c>
      <c r="N148" s="10">
        <f t="shared" si="17"/>
        <v>78304.379451144167</v>
      </c>
      <c r="O148" s="55">
        <f t="shared" si="18"/>
        <v>78304.379451144167</v>
      </c>
      <c r="P148" s="218"/>
      <c r="Q148" s="219"/>
      <c r="R148" s="215"/>
      <c r="S148" s="215"/>
      <c r="T148" s="220"/>
    </row>
    <row r="149" spans="1:20" s="214" customFormat="1" x14ac:dyDescent="0.25">
      <c r="A149" s="306">
        <f>'A) Base RI'!A150</f>
        <v>5642</v>
      </c>
      <c r="B149" s="227" t="str">
        <f>'A) Base RI'!B150</f>
        <v>Morges</v>
      </c>
      <c r="C149" s="243">
        <v>1</v>
      </c>
      <c r="D149" s="216">
        <f>'B) D RI'!AA150</f>
        <v>15862</v>
      </c>
      <c r="E149" s="217">
        <f>'B) D RI'!S150</f>
        <v>68.5</v>
      </c>
      <c r="F149" s="10">
        <f>'B) D RI'!R150</f>
        <v>58915032.753424294</v>
      </c>
      <c r="G149" s="10">
        <f>'B) D RI'!U150</f>
        <v>860073.47085290938</v>
      </c>
      <c r="H149" s="41">
        <f>'B) D RI'!T150</f>
        <v>55257722.303424291</v>
      </c>
      <c r="I149" s="10">
        <f t="shared" si="19"/>
        <v>1613364.1548445048</v>
      </c>
      <c r="J149" s="31">
        <f t="shared" si="15"/>
        <v>1350432.8287711618</v>
      </c>
      <c r="K149" s="10">
        <f t="shared" si="16"/>
        <v>0</v>
      </c>
      <c r="L149" s="10">
        <f t="shared" si="20"/>
        <v>1350432.8287711618</v>
      </c>
      <c r="M149" s="10">
        <f>'D) Ecrêtage'!C148</f>
        <v>860073.47085290938</v>
      </c>
      <c r="N149" s="10">
        <f t="shared" si="17"/>
        <v>1105277.9434352098</v>
      </c>
      <c r="O149" s="55">
        <f t="shared" si="18"/>
        <v>1105277.9434352098</v>
      </c>
      <c r="P149" s="218"/>
      <c r="Q149" s="219"/>
      <c r="R149" s="215"/>
      <c r="S149" s="215"/>
      <c r="T149" s="220"/>
    </row>
    <row r="150" spans="1:20" s="214" customFormat="1" x14ac:dyDescent="0.25">
      <c r="A150" s="306">
        <f>'A) Base RI'!A151</f>
        <v>5643</v>
      </c>
      <c r="B150" s="227" t="str">
        <f>'A) Base RI'!B151</f>
        <v>Préverenges</v>
      </c>
      <c r="C150" s="243">
        <v>1</v>
      </c>
      <c r="D150" s="216">
        <f>'B) D RI'!AA151</f>
        <v>5243</v>
      </c>
      <c r="E150" s="217">
        <f>'B) D RI'!S151</f>
        <v>64</v>
      </c>
      <c r="F150" s="10">
        <f>'B) D RI'!R151</f>
        <v>16560101.682898736</v>
      </c>
      <c r="G150" s="10">
        <f>'B) D RI'!U151</f>
        <v>258751.58879529274</v>
      </c>
      <c r="H150" s="41">
        <f>'B) D RI'!T151</f>
        <v>15346064.032898735</v>
      </c>
      <c r="I150" s="10">
        <f t="shared" si="19"/>
        <v>479564.50102808548</v>
      </c>
      <c r="J150" s="31">
        <f t="shared" si="15"/>
        <v>446369.89794774941</v>
      </c>
      <c r="K150" s="10">
        <f t="shared" si="16"/>
        <v>0</v>
      </c>
      <c r="L150" s="10">
        <f t="shared" si="20"/>
        <v>446369.89794774941</v>
      </c>
      <c r="M150" s="10">
        <f>'D) Ecrêtage'!C149</f>
        <v>258751.58879529274</v>
      </c>
      <c r="N150" s="10">
        <f t="shared" si="17"/>
        <v>332520.92247496481</v>
      </c>
      <c r="O150" s="55">
        <f t="shared" si="18"/>
        <v>332520.92247496481</v>
      </c>
      <c r="P150" s="218"/>
      <c r="Q150" s="219"/>
      <c r="R150" s="215"/>
      <c r="S150" s="215"/>
      <c r="T150" s="220"/>
    </row>
    <row r="151" spans="1:20" s="214" customFormat="1" x14ac:dyDescent="0.25">
      <c r="A151" s="306">
        <f>'A) Base RI'!A152</f>
        <v>5644</v>
      </c>
      <c r="B151" s="227" t="str">
        <f>'A) Base RI'!B152</f>
        <v>Reverolle</v>
      </c>
      <c r="C151" s="243">
        <v>0</v>
      </c>
      <c r="D151" s="216">
        <f>'B) D RI'!AA152</f>
        <v>413</v>
      </c>
      <c r="E151" s="217">
        <f>'B) D RI'!S152</f>
        <v>76</v>
      </c>
      <c r="F151" s="10">
        <f>'B) D RI'!R152</f>
        <v>1277258.4581775842</v>
      </c>
      <c r="G151" s="10">
        <f>'B) D RI'!U152</f>
        <v>16806.032344441897</v>
      </c>
      <c r="H151" s="41">
        <f>'B) D RI'!T152</f>
        <v>1197861.0081775843</v>
      </c>
      <c r="I151" s="10">
        <f t="shared" si="19"/>
        <v>31522.658109936427</v>
      </c>
      <c r="J151" s="31">
        <f t="shared" si="15"/>
        <v>35161.31372352098</v>
      </c>
      <c r="K151" s="10">
        <f t="shared" si="16"/>
        <v>31522.658109936427</v>
      </c>
      <c r="L151" s="10">
        <f t="shared" si="20"/>
        <v>3638.6556135845531</v>
      </c>
      <c r="M151" s="10">
        <f>'D) Ecrêtage'!C150</f>
        <v>16806.032344441897</v>
      </c>
      <c r="N151" s="10">
        <f t="shared" si="17"/>
        <v>21597.38382413975</v>
      </c>
      <c r="O151" s="55">
        <f t="shared" si="18"/>
        <v>53120.041934076173</v>
      </c>
      <c r="P151" s="218"/>
      <c r="Q151" s="219"/>
      <c r="R151" s="215"/>
      <c r="S151" s="215"/>
      <c r="T151" s="220"/>
    </row>
    <row r="152" spans="1:20" s="214" customFormat="1" x14ac:dyDescent="0.25">
      <c r="A152" s="306">
        <f>'A) Base RI'!A153</f>
        <v>5645</v>
      </c>
      <c r="B152" s="227" t="str">
        <f>'A) Base RI'!B153</f>
        <v>Romanel-sur-Morges</v>
      </c>
      <c r="C152" s="243">
        <v>0</v>
      </c>
      <c r="D152" s="216">
        <f>'B) D RI'!AA153</f>
        <v>470</v>
      </c>
      <c r="E152" s="217">
        <f>'B) D RI'!S153</f>
        <v>56</v>
      </c>
      <c r="F152" s="10">
        <f>'B) D RI'!R153</f>
        <v>1685858.9751402803</v>
      </c>
      <c r="G152" s="10">
        <f>'B) D RI'!U153</f>
        <v>30104.624556076433</v>
      </c>
      <c r="H152" s="41">
        <f>'B) D RI'!T153</f>
        <v>1507419.4251402803</v>
      </c>
      <c r="I152" s="10">
        <f t="shared" si="19"/>
        <v>53836.408040724295</v>
      </c>
      <c r="J152" s="31">
        <f t="shared" si="15"/>
        <v>40014.085835483929</v>
      </c>
      <c r="K152" s="10">
        <f t="shared" si="16"/>
        <v>40014.085835483929</v>
      </c>
      <c r="L152" s="10">
        <f t="shared" si="20"/>
        <v>0</v>
      </c>
      <c r="M152" s="10">
        <f>'D) Ecrêtage'!C151</f>
        <v>30104.624556076433</v>
      </c>
      <c r="N152" s="10">
        <f t="shared" si="17"/>
        <v>38687.366422583007</v>
      </c>
      <c r="O152" s="55">
        <f t="shared" si="18"/>
        <v>78701.452258066944</v>
      </c>
      <c r="P152" s="218"/>
      <c r="Q152" s="219"/>
      <c r="R152" s="215"/>
      <c r="S152" s="215"/>
      <c r="T152" s="220"/>
    </row>
    <row r="153" spans="1:20" s="214" customFormat="1" x14ac:dyDescent="0.25">
      <c r="A153" s="306">
        <f>'A) Base RI'!A154</f>
        <v>5646</v>
      </c>
      <c r="B153" s="227" t="str">
        <f>'A) Base RI'!B154</f>
        <v>Saint-Prex</v>
      </c>
      <c r="C153" s="243">
        <v>1</v>
      </c>
      <c r="D153" s="216">
        <f>'B) D RI'!AA154</f>
        <v>5774</v>
      </c>
      <c r="E153" s="217">
        <f>'B) D RI'!S154</f>
        <v>55</v>
      </c>
      <c r="F153" s="10">
        <f>'B) D RI'!R154</f>
        <v>22599321.407937236</v>
      </c>
      <c r="G153" s="10">
        <f>'B) D RI'!U154</f>
        <v>410896.75287158613</v>
      </c>
      <c r="H153" s="41">
        <f>'B) D RI'!T154</f>
        <v>20872755.857937239</v>
      </c>
      <c r="I153" s="10">
        <f t="shared" si="19"/>
        <v>759009.30392499047</v>
      </c>
      <c r="J153" s="31">
        <f t="shared" si="15"/>
        <v>491577.30130656209</v>
      </c>
      <c r="K153" s="10">
        <f t="shared" si="16"/>
        <v>0</v>
      </c>
      <c r="L153" s="10">
        <f t="shared" si="20"/>
        <v>491577.30130656209</v>
      </c>
      <c r="M153" s="10">
        <f>'D) Ecrêtage'!C152</f>
        <v>410896.75287158613</v>
      </c>
      <c r="N153" s="10">
        <f t="shared" si="17"/>
        <v>528042.23519153555</v>
      </c>
      <c r="O153" s="55">
        <f t="shared" si="18"/>
        <v>528042.23519153555</v>
      </c>
      <c r="P153" s="218"/>
      <c r="Q153" s="219"/>
      <c r="R153" s="215"/>
      <c r="S153" s="215"/>
      <c r="T153" s="220"/>
    </row>
    <row r="154" spans="1:20" s="214" customFormat="1" x14ac:dyDescent="0.25">
      <c r="A154" s="306">
        <f>'A) Base RI'!A155</f>
        <v>5648</v>
      </c>
      <c r="B154" s="227" t="str">
        <f>'A) Base RI'!B155</f>
        <v>Saint-Sulpice</v>
      </c>
      <c r="C154" s="243">
        <v>1</v>
      </c>
      <c r="D154" s="216">
        <f>'B) D RI'!AA155</f>
        <v>4717</v>
      </c>
      <c r="E154" s="217">
        <f>'B) D RI'!S155</f>
        <v>55</v>
      </c>
      <c r="F154" s="10">
        <f>'B) D RI'!R155</f>
        <v>21048551.485867627</v>
      </c>
      <c r="G154" s="10">
        <f>'B) D RI'!U155</f>
        <v>382700.93610668415</v>
      </c>
      <c r="H154" s="41">
        <f>'B) D RI'!T155</f>
        <v>19440292.485867627</v>
      </c>
      <c r="I154" s="10">
        <f t="shared" si="19"/>
        <v>706919.7267588228</v>
      </c>
      <c r="J154" s="31">
        <f t="shared" si="15"/>
        <v>401588.17635314399</v>
      </c>
      <c r="K154" s="10">
        <f t="shared" si="16"/>
        <v>0</v>
      </c>
      <c r="L154" s="10">
        <f t="shared" si="20"/>
        <v>401588.17635314399</v>
      </c>
      <c r="M154" s="10">
        <f>'D) Ecrêtage'!C153</f>
        <v>382700.93610668415</v>
      </c>
      <c r="N154" s="10">
        <f t="shared" si="17"/>
        <v>491807.87217080174</v>
      </c>
      <c r="O154" s="55">
        <f t="shared" si="18"/>
        <v>491807.87217080174</v>
      </c>
      <c r="P154" s="218"/>
      <c r="Q154" s="219"/>
      <c r="R154" s="215"/>
      <c r="S154" s="215"/>
      <c r="T154" s="220"/>
    </row>
    <row r="155" spans="1:20" s="214" customFormat="1" x14ac:dyDescent="0.25">
      <c r="A155" s="306">
        <f>'A) Base RI'!A156</f>
        <v>5649</v>
      </c>
      <c r="B155" s="227" t="str">
        <f>'A) Base RI'!B156</f>
        <v>Tolochenaz</v>
      </c>
      <c r="C155" s="243">
        <v>1</v>
      </c>
      <c r="D155" s="216">
        <f>'B) D RI'!AA156</f>
        <v>1907</v>
      </c>
      <c r="E155" s="217">
        <f>'B) D RI'!S156</f>
        <v>65</v>
      </c>
      <c r="F155" s="10">
        <f>'B) D RI'!R156</f>
        <v>6678894.3625385175</v>
      </c>
      <c r="G155" s="10">
        <f>'B) D RI'!U156</f>
        <v>102752.22096213103</v>
      </c>
      <c r="H155" s="41">
        <f>'B) D RI'!T156</f>
        <v>6060154.5625385176</v>
      </c>
      <c r="I155" s="10">
        <f t="shared" si="19"/>
        <v>186466.29423195438</v>
      </c>
      <c r="J155" s="31">
        <f t="shared" si="15"/>
        <v>162355.02486865499</v>
      </c>
      <c r="K155" s="10">
        <f t="shared" si="16"/>
        <v>0</v>
      </c>
      <c r="L155" s="10">
        <f t="shared" si="20"/>
        <v>162355.02486865499</v>
      </c>
      <c r="M155" s="10">
        <f>'D) Ecrêtage'!C154</f>
        <v>102752.22096213103</v>
      </c>
      <c r="N155" s="10">
        <f t="shared" si="17"/>
        <v>132046.58359686489</v>
      </c>
      <c r="O155" s="55">
        <f t="shared" si="18"/>
        <v>132046.58359686489</v>
      </c>
      <c r="P155" s="218"/>
      <c r="Q155" s="219"/>
      <c r="R155" s="215"/>
      <c r="S155" s="215"/>
      <c r="T155" s="220"/>
    </row>
    <row r="156" spans="1:20" s="214" customFormat="1" x14ac:dyDescent="0.25">
      <c r="A156" s="306">
        <f>'A) Base RI'!A157</f>
        <v>5650</v>
      </c>
      <c r="B156" s="227" t="str">
        <f>'A) Base RI'!B157</f>
        <v>Vaux-sur-Morges</v>
      </c>
      <c r="C156" s="243">
        <v>0</v>
      </c>
      <c r="D156" s="216">
        <f>'B) D RI'!AA157</f>
        <v>196</v>
      </c>
      <c r="E156" s="217">
        <f>'B) D RI'!S157</f>
        <v>56</v>
      </c>
      <c r="F156" s="10">
        <f>'B) D RI'!R157</f>
        <v>5116203.6900000004</v>
      </c>
      <c r="G156" s="10">
        <f>'B) D RI'!U157</f>
        <v>91360.78017857144</v>
      </c>
      <c r="H156" s="41">
        <f>'B) D RI'!T157</f>
        <v>5071946.6900000004</v>
      </c>
      <c r="I156" s="10">
        <f t="shared" si="19"/>
        <v>181140.95321428572</v>
      </c>
      <c r="J156" s="31">
        <f t="shared" si="15"/>
        <v>16686.725156925211</v>
      </c>
      <c r="K156" s="10">
        <f t="shared" si="16"/>
        <v>16686.725156925211</v>
      </c>
      <c r="L156" s="10">
        <f t="shared" si="20"/>
        <v>0</v>
      </c>
      <c r="M156" s="10">
        <f>'D) Ecrêtage'!C155</f>
        <v>91360.78017857144</v>
      </c>
      <c r="N156" s="10">
        <f t="shared" si="17"/>
        <v>117407.47581281605</v>
      </c>
      <c r="O156" s="55">
        <f t="shared" si="18"/>
        <v>134094.20096974127</v>
      </c>
      <c r="P156" s="218"/>
      <c r="Q156" s="219"/>
      <c r="R156" s="215"/>
      <c r="S156" s="215"/>
      <c r="T156" s="220"/>
    </row>
    <row r="157" spans="1:20" s="214" customFormat="1" x14ac:dyDescent="0.25">
      <c r="A157" s="306">
        <f>'A) Base RI'!A158</f>
        <v>5651</v>
      </c>
      <c r="B157" s="227" t="str">
        <f>'A) Base RI'!B158</f>
        <v>Villars-Sainte-Croix</v>
      </c>
      <c r="C157" s="243">
        <v>1</v>
      </c>
      <c r="D157" s="216">
        <f>'B) D RI'!AA158</f>
        <v>973</v>
      </c>
      <c r="E157" s="217">
        <f>'B) D RI'!S158</f>
        <v>62</v>
      </c>
      <c r="F157" s="10">
        <f>'B) D RI'!R158</f>
        <v>3637112.4556552656</v>
      </c>
      <c r="G157" s="10">
        <f>'B) D RI'!U158</f>
        <v>58663.104123472025</v>
      </c>
      <c r="H157" s="41">
        <f>'B) D RI'!T158</f>
        <v>3202151.9556552656</v>
      </c>
      <c r="I157" s="10">
        <f t="shared" si="19"/>
        <v>103295.22437597631</v>
      </c>
      <c r="J157" s="31">
        <f t="shared" si="15"/>
        <v>82837.671314735868</v>
      </c>
      <c r="K157" s="10">
        <f t="shared" si="16"/>
        <v>0</v>
      </c>
      <c r="L157" s="10">
        <f t="shared" si="20"/>
        <v>82837.671314735868</v>
      </c>
      <c r="M157" s="10">
        <f>'D) Ecrêtage'!C156</f>
        <v>58663.104123472025</v>
      </c>
      <c r="N157" s="10">
        <f t="shared" si="17"/>
        <v>75387.786367620181</v>
      </c>
      <c r="O157" s="55">
        <f t="shared" si="18"/>
        <v>75387.786367620181</v>
      </c>
      <c r="P157" s="218"/>
      <c r="Q157" s="219"/>
      <c r="R157" s="215"/>
      <c r="S157" s="215"/>
      <c r="T157" s="220"/>
    </row>
    <row r="158" spans="1:20" s="214" customFormat="1" x14ac:dyDescent="0.25">
      <c r="A158" s="306">
        <f>'A) Base RI'!A159</f>
        <v>5652</v>
      </c>
      <c r="B158" s="227" t="str">
        <f>'A) Base RI'!B159</f>
        <v>Villars-sous-Yens</v>
      </c>
      <c r="C158" s="243">
        <v>0</v>
      </c>
      <c r="D158" s="216">
        <f>'B) D RI'!AA159</f>
        <v>603</v>
      </c>
      <c r="E158" s="217">
        <f>'B) D RI'!S159</f>
        <v>76</v>
      </c>
      <c r="F158" s="10">
        <f>'B) D RI'!R159</f>
        <v>2501518.7863732721</v>
      </c>
      <c r="G158" s="10">
        <f>'B) D RI'!U159</f>
        <v>32914.720873332524</v>
      </c>
      <c r="H158" s="41">
        <f>'B) D RI'!T159</f>
        <v>2392413.0947066057</v>
      </c>
      <c r="I158" s="10">
        <f t="shared" si="19"/>
        <v>62958.239334384358</v>
      </c>
      <c r="J158" s="31">
        <f t="shared" si="15"/>
        <v>51337.220763397461</v>
      </c>
      <c r="K158" s="10">
        <f t="shared" si="16"/>
        <v>51337.220763397461</v>
      </c>
      <c r="L158" s="10">
        <f t="shared" si="20"/>
        <v>0</v>
      </c>
      <c r="M158" s="10">
        <f>'D) Ecrêtage'!C157</f>
        <v>32914.720873332524</v>
      </c>
      <c r="N158" s="10">
        <f t="shared" si="17"/>
        <v>42298.613116788802</v>
      </c>
      <c r="O158" s="55">
        <f t="shared" si="18"/>
        <v>93635.833880186256</v>
      </c>
      <c r="P158" s="218"/>
      <c r="Q158" s="219"/>
      <c r="R158" s="215"/>
      <c r="S158" s="215"/>
      <c r="T158" s="220"/>
    </row>
    <row r="159" spans="1:20" s="214" customFormat="1" x14ac:dyDescent="0.25">
      <c r="A159" s="306">
        <f>'A) Base RI'!A160</f>
        <v>5653</v>
      </c>
      <c r="B159" s="227" t="str">
        <f>'A) Base RI'!B160</f>
        <v>Vufflens-le-Château</v>
      </c>
      <c r="C159" s="243">
        <v>0</v>
      </c>
      <c r="D159" s="216">
        <f>'B) D RI'!AA160</f>
        <v>883</v>
      </c>
      <c r="E159" s="217">
        <f>'B) D RI'!S160</f>
        <v>60</v>
      </c>
      <c r="F159" s="10">
        <f>'B) D RI'!R160</f>
        <v>4316700.4023595629</v>
      </c>
      <c r="G159" s="10">
        <f>'B) D RI'!U160</f>
        <v>71945.00670599271</v>
      </c>
      <c r="H159" s="41">
        <f>'B) D RI'!T160</f>
        <v>4061456.6523595634</v>
      </c>
      <c r="I159" s="10">
        <f t="shared" si="19"/>
        <v>135381.88841198545</v>
      </c>
      <c r="J159" s="31">
        <f t="shared" si="15"/>
        <v>75175.399559004916</v>
      </c>
      <c r="K159" s="10">
        <f t="shared" si="16"/>
        <v>75175.399559004916</v>
      </c>
      <c r="L159" s="10">
        <f t="shared" si="20"/>
        <v>0</v>
      </c>
      <c r="M159" s="10">
        <f>'D) Ecrêtage'!C158</f>
        <v>71945.00670599271</v>
      </c>
      <c r="N159" s="10">
        <f t="shared" si="17"/>
        <v>92456.321171696094</v>
      </c>
      <c r="O159" s="55">
        <f t="shared" si="18"/>
        <v>167631.720730701</v>
      </c>
      <c r="P159" s="218"/>
      <c r="Q159" s="219"/>
      <c r="R159" s="215"/>
      <c r="S159" s="215"/>
      <c r="T159" s="220"/>
    </row>
    <row r="160" spans="1:20" s="214" customFormat="1" x14ac:dyDescent="0.25">
      <c r="A160" s="306">
        <f>'A) Base RI'!A161</f>
        <v>5654</v>
      </c>
      <c r="B160" s="227" t="str">
        <f>'A) Base RI'!B161</f>
        <v>Vullierens</v>
      </c>
      <c r="C160" s="243">
        <v>0</v>
      </c>
      <c r="D160" s="216">
        <f>'B) D RI'!AA161</f>
        <v>513</v>
      </c>
      <c r="E160" s="217">
        <f>'B) D RI'!S161</f>
        <v>76</v>
      </c>
      <c r="F160" s="10">
        <f>'B) D RI'!R161</f>
        <v>1369841.2758815582</v>
      </c>
      <c r="G160" s="10">
        <f>'B) D RI'!U161</f>
        <v>18024.22731423103</v>
      </c>
      <c r="H160" s="41">
        <f>'B) D RI'!T161</f>
        <v>1266427.7258815581</v>
      </c>
      <c r="I160" s="10">
        <f t="shared" si="19"/>
        <v>33327.04541793574</v>
      </c>
      <c r="J160" s="31">
        <f t="shared" si="15"/>
        <v>43674.949007666502</v>
      </c>
      <c r="K160" s="10">
        <f t="shared" si="16"/>
        <v>33327.04541793574</v>
      </c>
      <c r="L160" s="10">
        <f t="shared" si="20"/>
        <v>10347.903589730762</v>
      </c>
      <c r="M160" s="10">
        <f>'D) Ecrêtage'!C159</f>
        <v>18024.22731423103</v>
      </c>
      <c r="N160" s="10">
        <f t="shared" si="17"/>
        <v>23162.882675739511</v>
      </c>
      <c r="O160" s="55">
        <f t="shared" si="18"/>
        <v>56489.928093675248</v>
      </c>
      <c r="P160" s="218"/>
      <c r="Q160" s="219"/>
      <c r="R160" s="215"/>
      <c r="S160" s="215"/>
      <c r="T160" s="220"/>
    </row>
    <row r="161" spans="1:20" s="214" customFormat="1" x14ac:dyDescent="0.25">
      <c r="A161" s="306">
        <f>'A) Base RI'!A162</f>
        <v>5655</v>
      </c>
      <c r="B161" s="227" t="str">
        <f>'A) Base RI'!B162</f>
        <v>Yens</v>
      </c>
      <c r="C161" s="243">
        <v>0</v>
      </c>
      <c r="D161" s="216">
        <f>'B) D RI'!AA162</f>
        <v>1477</v>
      </c>
      <c r="E161" s="217">
        <f>'B) D RI'!S162</f>
        <v>73</v>
      </c>
      <c r="F161" s="10">
        <f>'B) D RI'!R162</f>
        <v>5621133.2408739664</v>
      </c>
      <c r="G161" s="10">
        <f>'B) D RI'!U162</f>
        <v>77001.825217451595</v>
      </c>
      <c r="H161" s="41">
        <f>'B) D RI'!T162</f>
        <v>5215236.2908739662</v>
      </c>
      <c r="I161" s="10">
        <f t="shared" si="19"/>
        <v>142883.18605134153</v>
      </c>
      <c r="J161" s="31">
        <f t="shared" si="15"/>
        <v>125746.39314682927</v>
      </c>
      <c r="K161" s="10">
        <f t="shared" si="16"/>
        <v>125746.39314682927</v>
      </c>
      <c r="L161" s="10">
        <f t="shared" si="20"/>
        <v>0</v>
      </c>
      <c r="M161" s="10">
        <f>'D) Ecrêtage'!C160</f>
        <v>77001.825217451595</v>
      </c>
      <c r="N161" s="10">
        <f t="shared" si="17"/>
        <v>98954.824095089076</v>
      </c>
      <c r="O161" s="55">
        <f t="shared" si="18"/>
        <v>224701.21724191835</v>
      </c>
      <c r="P161" s="218"/>
      <c r="Q161" s="219"/>
      <c r="R161" s="215"/>
      <c r="S161" s="215"/>
      <c r="T161" s="220"/>
    </row>
    <row r="162" spans="1:20" s="214" customFormat="1" x14ac:dyDescent="0.25">
      <c r="A162" s="306">
        <f>'A) Base RI'!A163</f>
        <v>5661</v>
      </c>
      <c r="B162" s="227" t="str">
        <f>'A) Base RI'!B163</f>
        <v>Boulens</v>
      </c>
      <c r="C162" s="243">
        <v>0</v>
      </c>
      <c r="D162" s="216">
        <f>'B) D RI'!AA163</f>
        <v>361</v>
      </c>
      <c r="E162" s="217">
        <f>'B) D RI'!S163</f>
        <v>73</v>
      </c>
      <c r="F162" s="10">
        <f>'B) D RI'!R163</f>
        <v>734679.38210177934</v>
      </c>
      <c r="G162" s="10">
        <f>'B) D RI'!U163</f>
        <v>10064.101124681909</v>
      </c>
      <c r="H162" s="41">
        <f>'B) D RI'!T163</f>
        <v>679041.38210177934</v>
      </c>
      <c r="I162" s="10">
        <f t="shared" si="19"/>
        <v>18603.873482240531</v>
      </c>
      <c r="J162" s="31">
        <f t="shared" si="15"/>
        <v>30734.223375765316</v>
      </c>
      <c r="K162" s="10">
        <f t="shared" si="16"/>
        <v>18603.873482240531</v>
      </c>
      <c r="L162" s="10">
        <f t="shared" si="20"/>
        <v>12130.349893524784</v>
      </c>
      <c r="M162" s="10">
        <f>'D) Ecrêtage'!C161</f>
        <v>10064.101124681909</v>
      </c>
      <c r="N162" s="10">
        <f t="shared" si="17"/>
        <v>12933.347406450554</v>
      </c>
      <c r="O162" s="55">
        <f t="shared" si="18"/>
        <v>31537.220888691085</v>
      </c>
      <c r="P162" s="218"/>
      <c r="Q162" s="219"/>
      <c r="R162" s="215"/>
      <c r="S162" s="215"/>
      <c r="T162" s="220"/>
    </row>
    <row r="163" spans="1:20" s="214" customFormat="1" x14ac:dyDescent="0.25">
      <c r="A163" s="306">
        <f>'A) Base RI'!A164</f>
        <v>5663</v>
      </c>
      <c r="B163" s="227" t="str">
        <f>'A) Base RI'!B164</f>
        <v>Bussy-sur-Moudon</v>
      </c>
      <c r="C163" s="243">
        <v>0</v>
      </c>
      <c r="D163" s="216">
        <f>'B) D RI'!AA164</f>
        <v>218</v>
      </c>
      <c r="E163" s="217">
        <f>'B) D RI'!S164</f>
        <v>80</v>
      </c>
      <c r="F163" s="10">
        <f>'B) D RI'!R164</f>
        <v>509608.83627579332</v>
      </c>
      <c r="G163" s="10">
        <f>'B) D RI'!U164</f>
        <v>6370.1104534474161</v>
      </c>
      <c r="H163" s="41">
        <f>'B) D RI'!T164</f>
        <v>477778.48627579329</v>
      </c>
      <c r="I163" s="10">
        <f t="shared" si="19"/>
        <v>11944.462156894831</v>
      </c>
      <c r="J163" s="31">
        <f t="shared" si="15"/>
        <v>18559.724919437227</v>
      </c>
      <c r="K163" s="10">
        <f t="shared" si="16"/>
        <v>11944.462156894831</v>
      </c>
      <c r="L163" s="10">
        <f t="shared" si="20"/>
        <v>6615.2627625423956</v>
      </c>
      <c r="M163" s="10">
        <f>'D) Ecrêtage'!C162</f>
        <v>6370.1104534474161</v>
      </c>
      <c r="N163" s="10">
        <f t="shared" si="17"/>
        <v>8186.2106204245501</v>
      </c>
      <c r="O163" s="55">
        <f t="shared" si="18"/>
        <v>20130.672777319382</v>
      </c>
      <c r="P163" s="218"/>
      <c r="Q163" s="219"/>
      <c r="R163" s="215"/>
      <c r="S163" s="215"/>
      <c r="T163" s="220"/>
    </row>
    <row r="164" spans="1:20" s="214" customFormat="1" x14ac:dyDescent="0.25">
      <c r="A164" s="306">
        <f>'A) Base RI'!A165</f>
        <v>5665</v>
      </c>
      <c r="B164" s="227" t="str">
        <f>'A) Base RI'!B165</f>
        <v>Chavannes-sur-Moudon</v>
      </c>
      <c r="C164" s="243">
        <v>0</v>
      </c>
      <c r="D164" s="216">
        <f>'B) D RI'!AA165</f>
        <v>210</v>
      </c>
      <c r="E164" s="217">
        <f>'B) D RI'!S165</f>
        <v>73</v>
      </c>
      <c r="F164" s="10">
        <f>'B) D RI'!R165</f>
        <v>344984.55000000005</v>
      </c>
      <c r="G164" s="10">
        <f>'B) D RI'!U165</f>
        <v>4725.8157534246584</v>
      </c>
      <c r="H164" s="41">
        <f>'B) D RI'!T165</f>
        <v>320462.35000000003</v>
      </c>
      <c r="I164" s="10">
        <f t="shared" si="19"/>
        <v>8779.7904109589053</v>
      </c>
      <c r="J164" s="31">
        <f t="shared" si="15"/>
        <v>17878.634096705584</v>
      </c>
      <c r="K164" s="10">
        <f t="shared" si="16"/>
        <v>8779.7904109589053</v>
      </c>
      <c r="L164" s="10">
        <f t="shared" si="20"/>
        <v>9098.8436857466786</v>
      </c>
      <c r="M164" s="10">
        <f>'D) Ecrêtage'!C163</f>
        <v>4725.8157534246584</v>
      </c>
      <c r="N164" s="10">
        <f t="shared" si="17"/>
        <v>6073.1322311558934</v>
      </c>
      <c r="O164" s="55">
        <f t="shared" si="18"/>
        <v>14852.922642114798</v>
      </c>
      <c r="P164" s="218"/>
      <c r="Q164" s="219"/>
      <c r="R164" s="215"/>
      <c r="S164" s="215"/>
      <c r="T164" s="220"/>
    </row>
    <row r="165" spans="1:20" s="214" customFormat="1" x14ac:dyDescent="0.25">
      <c r="A165" s="306">
        <f>'A) Base RI'!A166</f>
        <v>5669</v>
      </c>
      <c r="B165" s="227" t="str">
        <f>'A) Base RI'!B166</f>
        <v>Curtilles</v>
      </c>
      <c r="C165" s="243">
        <v>0</v>
      </c>
      <c r="D165" s="216">
        <f>'B) D RI'!AA166</f>
        <v>310</v>
      </c>
      <c r="E165" s="217">
        <f>'B) D RI'!S166</f>
        <v>75</v>
      </c>
      <c r="F165" s="10">
        <f>'B) D RI'!R166</f>
        <v>748592.3548309051</v>
      </c>
      <c r="G165" s="10">
        <f>'B) D RI'!U166</f>
        <v>9981.2313977454014</v>
      </c>
      <c r="H165" s="41">
        <f>'B) D RI'!T166</f>
        <v>701615.95483090519</v>
      </c>
      <c r="I165" s="10">
        <f t="shared" si="19"/>
        <v>18709.758795490805</v>
      </c>
      <c r="J165" s="31">
        <f t="shared" si="15"/>
        <v>26392.269380851099</v>
      </c>
      <c r="K165" s="10">
        <f t="shared" si="16"/>
        <v>18709.758795490805</v>
      </c>
      <c r="L165" s="10">
        <f t="shared" si="20"/>
        <v>7682.5105853602945</v>
      </c>
      <c r="M165" s="10">
        <f>'D) Ecrêtage'!C164</f>
        <v>9981.2313977454014</v>
      </c>
      <c r="N165" s="10">
        <f t="shared" si="17"/>
        <v>12826.851758735029</v>
      </c>
      <c r="O165" s="55">
        <f t="shared" si="18"/>
        <v>31536.610554225834</v>
      </c>
      <c r="P165" s="218"/>
      <c r="Q165" s="219"/>
      <c r="R165" s="215"/>
      <c r="S165" s="215"/>
      <c r="T165" s="220"/>
    </row>
    <row r="166" spans="1:20" s="214" customFormat="1" x14ac:dyDescent="0.25">
      <c r="A166" s="306">
        <f>'A) Base RI'!A167</f>
        <v>5671</v>
      </c>
      <c r="B166" s="227" t="str">
        <f>'A) Base RI'!B167</f>
        <v>Dompierre</v>
      </c>
      <c r="C166" s="243">
        <v>0</v>
      </c>
      <c r="D166" s="216">
        <f>'B) D RI'!AA167</f>
        <v>232</v>
      </c>
      <c r="E166" s="217">
        <f>'B) D RI'!S167</f>
        <v>80</v>
      </c>
      <c r="F166" s="10">
        <f>'B) D RI'!R167</f>
        <v>523701.33256148064</v>
      </c>
      <c r="G166" s="10">
        <f>'B) D RI'!U167</f>
        <v>6546.2666570185083</v>
      </c>
      <c r="H166" s="41">
        <f>'B) D RI'!T167</f>
        <v>490868.63256148063</v>
      </c>
      <c r="I166" s="10">
        <f t="shared" si="19"/>
        <v>12271.715814037016</v>
      </c>
      <c r="J166" s="31">
        <f t="shared" si="15"/>
        <v>19751.633859217596</v>
      </c>
      <c r="K166" s="10">
        <f t="shared" si="16"/>
        <v>12271.715814037016</v>
      </c>
      <c r="L166" s="10">
        <f t="shared" si="20"/>
        <v>7479.9180451805805</v>
      </c>
      <c r="M166" s="10">
        <f>'D) Ecrêtage'!C165</f>
        <v>6546.2666570185083</v>
      </c>
      <c r="N166" s="10">
        <f t="shared" si="17"/>
        <v>8412.5884509293446</v>
      </c>
      <c r="O166" s="55">
        <f t="shared" si="18"/>
        <v>20684.304264966362</v>
      </c>
      <c r="P166" s="218"/>
      <c r="Q166" s="219"/>
      <c r="R166" s="215"/>
      <c r="S166" s="215"/>
      <c r="T166" s="220"/>
    </row>
    <row r="167" spans="1:20" s="214" customFormat="1" x14ac:dyDescent="0.25">
      <c r="A167" s="306">
        <f>'A) Base RI'!A168</f>
        <v>5673</v>
      </c>
      <c r="B167" s="227" t="str">
        <f>'A) Base RI'!B168</f>
        <v>Hermenches</v>
      </c>
      <c r="C167" s="243">
        <v>0</v>
      </c>
      <c r="D167" s="216">
        <f>'B) D RI'!AA168</f>
        <v>367</v>
      </c>
      <c r="E167" s="217">
        <f>'B) D RI'!S168</f>
        <v>75</v>
      </c>
      <c r="F167" s="10">
        <f>'B) D RI'!R168</f>
        <v>743361.43589630525</v>
      </c>
      <c r="G167" s="10">
        <f>'B) D RI'!U168</f>
        <v>9911.4858119507371</v>
      </c>
      <c r="H167" s="41">
        <f>'B) D RI'!T168</f>
        <v>694590.93589630525</v>
      </c>
      <c r="I167" s="10">
        <f t="shared" si="19"/>
        <v>18522.424957234805</v>
      </c>
      <c r="J167" s="31">
        <f t="shared" si="15"/>
        <v>31245.041492814045</v>
      </c>
      <c r="K167" s="10">
        <f t="shared" si="16"/>
        <v>18522.424957234805</v>
      </c>
      <c r="L167" s="10">
        <f t="shared" si="20"/>
        <v>12722.61653557924</v>
      </c>
      <c r="M167" s="10">
        <f>'D) Ecrêtage'!C166</f>
        <v>9911.4858119507371</v>
      </c>
      <c r="N167" s="10">
        <f t="shared" si="17"/>
        <v>12737.221907049958</v>
      </c>
      <c r="O167" s="55">
        <f t="shared" si="18"/>
        <v>31259.646864284761</v>
      </c>
      <c r="P167" s="218"/>
      <c r="Q167" s="219"/>
      <c r="R167" s="215"/>
      <c r="S167" s="215"/>
      <c r="T167" s="220"/>
    </row>
    <row r="168" spans="1:20" s="214" customFormat="1" x14ac:dyDescent="0.25">
      <c r="A168" s="306">
        <f>'A) Base RI'!A169</f>
        <v>5674</v>
      </c>
      <c r="B168" s="227" t="str">
        <f>'A) Base RI'!B169</f>
        <v>Lovatens</v>
      </c>
      <c r="C168" s="243">
        <v>0</v>
      </c>
      <c r="D168" s="216">
        <f>'B) D RI'!AA169</f>
        <v>136</v>
      </c>
      <c r="E168" s="217">
        <f>'B) D RI'!S169</f>
        <v>75</v>
      </c>
      <c r="F168" s="10">
        <f>'B) D RI'!R169</f>
        <v>240954.00999999998</v>
      </c>
      <c r="G168" s="10">
        <f>'B) D RI'!U169</f>
        <v>3212.7201333333333</v>
      </c>
      <c r="H168" s="41">
        <f>'B) D RI'!T169</f>
        <v>222821.90999999997</v>
      </c>
      <c r="I168" s="10">
        <f t="shared" si="19"/>
        <v>5941.9175999999998</v>
      </c>
      <c r="J168" s="31">
        <f t="shared" si="15"/>
        <v>11578.543986437902</v>
      </c>
      <c r="K168" s="10">
        <f t="shared" si="16"/>
        <v>5941.9175999999998</v>
      </c>
      <c r="L168" s="10">
        <f t="shared" si="20"/>
        <v>5636.6263864379025</v>
      </c>
      <c r="M168" s="10">
        <f>'D) Ecrêtage'!C167</f>
        <v>3212.7201333333333</v>
      </c>
      <c r="N168" s="10">
        <f t="shared" si="17"/>
        <v>4128.6574021195984</v>
      </c>
      <c r="O168" s="55">
        <f t="shared" si="18"/>
        <v>10070.575002119598</v>
      </c>
      <c r="P168" s="218"/>
      <c r="Q168" s="219"/>
      <c r="R168" s="215"/>
      <c r="S168" s="215"/>
      <c r="T168" s="220"/>
    </row>
    <row r="169" spans="1:20" s="214" customFormat="1" x14ac:dyDescent="0.25">
      <c r="A169" s="306">
        <f>'A) Base RI'!A170</f>
        <v>5675</v>
      </c>
      <c r="B169" s="227" t="str">
        <f>'A) Base RI'!B170</f>
        <v>Lucens</v>
      </c>
      <c r="C169" s="243">
        <v>0</v>
      </c>
      <c r="D169" s="216">
        <f>'B) D RI'!AA170</f>
        <v>4220</v>
      </c>
      <c r="E169" s="217">
        <f>'B) D RI'!S170</f>
        <v>69</v>
      </c>
      <c r="F169" s="10">
        <f>'B) D RI'!R170</f>
        <v>6704865.0369340191</v>
      </c>
      <c r="G169" s="10">
        <f>'B) D RI'!U170</f>
        <v>97171.957057014763</v>
      </c>
      <c r="H169" s="41">
        <f>'B) D RI'!T170</f>
        <v>6000137.0142067466</v>
      </c>
      <c r="I169" s="10">
        <f t="shared" ref="I169" si="21">+H169/E169*$I$5</f>
        <v>173917.01490454338</v>
      </c>
      <c r="J169" s="31">
        <f t="shared" ref="J169" si="22">+$I$314/$D$314*D169</f>
        <v>359275.40899094078</v>
      </c>
      <c r="K169" s="10">
        <f t="shared" ref="K169" si="23">IF(C169=1,0,IF(J169&gt;I169,I169,J169))</f>
        <v>173917.01490454338</v>
      </c>
      <c r="L169" s="10">
        <f t="shared" ref="L169" si="24">+J169-K169</f>
        <v>185358.3940863974</v>
      </c>
      <c r="M169" s="10">
        <f>'D) Ecrêtage'!C168</f>
        <v>97171.957057014763</v>
      </c>
      <c r="N169" s="10">
        <f t="shared" ref="N169" si="25">+$N$5*M169</f>
        <v>124875.40250374701</v>
      </c>
      <c r="O169" s="55">
        <f t="shared" ref="O169" si="26">+N169+K169</f>
        <v>298792.41740829038</v>
      </c>
      <c r="P169" s="218"/>
      <c r="Q169" s="219"/>
      <c r="R169" s="215"/>
      <c r="S169" s="215"/>
      <c r="T169" s="220"/>
    </row>
    <row r="170" spans="1:20" s="214" customFormat="1" x14ac:dyDescent="0.25">
      <c r="A170" s="306">
        <f>'A) Base RI'!A171</f>
        <v>5678</v>
      </c>
      <c r="B170" s="227" t="str">
        <f>'A) Base RI'!B171</f>
        <v>Moudon</v>
      </c>
      <c r="C170" s="243">
        <v>0</v>
      </c>
      <c r="D170" s="216">
        <f>'B) D RI'!AA171</f>
        <v>6080</v>
      </c>
      <c r="E170" s="217">
        <f>'B) D RI'!S171</f>
        <v>75</v>
      </c>
      <c r="F170" s="10">
        <f>'B) D RI'!R171</f>
        <v>9374318.02540778</v>
      </c>
      <c r="G170" s="10">
        <f>'B) D RI'!U171</f>
        <v>124990.90700543707</v>
      </c>
      <c r="H170" s="41">
        <f>'B) D RI'!T171</f>
        <v>8478325.0754077807</v>
      </c>
      <c r="I170" s="10">
        <f t="shared" si="19"/>
        <v>226088.66867754082</v>
      </c>
      <c r="J170" s="31">
        <f t="shared" ref="J170:J217" si="27">+$I$314/$D$314*D170</f>
        <v>517629.02527604741</v>
      </c>
      <c r="K170" s="10">
        <f t="shared" si="16"/>
        <v>226088.66867754082</v>
      </c>
      <c r="L170" s="10">
        <f t="shared" si="20"/>
        <v>291540.35659850657</v>
      </c>
      <c r="M170" s="10">
        <f>'D) Ecrêtage'!C169</f>
        <v>124990.90700543707</v>
      </c>
      <c r="N170" s="10">
        <f t="shared" si="17"/>
        <v>160625.45506266117</v>
      </c>
      <c r="O170" s="55">
        <f t="shared" si="18"/>
        <v>386714.12374020199</v>
      </c>
      <c r="P170" s="218"/>
      <c r="Q170" s="219"/>
      <c r="R170" s="215"/>
      <c r="S170" s="215"/>
      <c r="T170" s="220"/>
    </row>
    <row r="171" spans="1:20" s="214" customFormat="1" x14ac:dyDescent="0.25">
      <c r="A171" s="306">
        <f>'A) Base RI'!A172</f>
        <v>5680</v>
      </c>
      <c r="B171" s="227" t="str">
        <f>'A) Base RI'!B172</f>
        <v>Ogens</v>
      </c>
      <c r="C171" s="243">
        <v>0</v>
      </c>
      <c r="D171" s="216">
        <f>'B) D RI'!AA172</f>
        <v>296</v>
      </c>
      <c r="E171" s="217">
        <f>'B) D RI'!S172</f>
        <v>78</v>
      </c>
      <c r="F171" s="10">
        <f>'B) D RI'!R172</f>
        <v>492958.78650214849</v>
      </c>
      <c r="G171" s="10">
        <f>'B) D RI'!U172</f>
        <v>6319.984442335237</v>
      </c>
      <c r="H171" s="41">
        <f>'B) D RI'!T172</f>
        <v>443921.55316881515</v>
      </c>
      <c r="I171" s="10">
        <f t="shared" si="19"/>
        <v>11382.603927405517</v>
      </c>
      <c r="J171" s="31">
        <f t="shared" si="27"/>
        <v>25200.360441070727</v>
      </c>
      <c r="K171" s="10">
        <f t="shared" si="16"/>
        <v>11382.603927405517</v>
      </c>
      <c r="L171" s="10">
        <f t="shared" si="20"/>
        <v>13817.75651366521</v>
      </c>
      <c r="M171" s="10">
        <f>'D) Ecrêtage'!C170</f>
        <v>6319.984442335237</v>
      </c>
      <c r="N171" s="10">
        <f t="shared" si="17"/>
        <v>8121.7938277292251</v>
      </c>
      <c r="O171" s="55">
        <f t="shared" si="18"/>
        <v>19504.397755134742</v>
      </c>
      <c r="P171" s="218"/>
      <c r="Q171" s="219"/>
      <c r="R171" s="215"/>
      <c r="S171" s="215"/>
      <c r="T171" s="220"/>
    </row>
    <row r="172" spans="1:20" s="214" customFormat="1" x14ac:dyDescent="0.25">
      <c r="A172" s="306">
        <f>'A) Base RI'!A173</f>
        <v>5683</v>
      </c>
      <c r="B172" s="227" t="str">
        <f>'A) Base RI'!B173</f>
        <v>Prévonloup</v>
      </c>
      <c r="C172" s="243">
        <v>0</v>
      </c>
      <c r="D172" s="216">
        <f>'B) D RI'!AA173</f>
        <v>194</v>
      </c>
      <c r="E172" s="217">
        <f>'B) D RI'!S173</f>
        <v>74</v>
      </c>
      <c r="F172" s="10">
        <f>'B) D RI'!R173</f>
        <v>337005.15999999992</v>
      </c>
      <c r="G172" s="10">
        <f>'B) D RI'!U173</f>
        <v>4554.1237837837825</v>
      </c>
      <c r="H172" s="41">
        <f>'B) D RI'!T173</f>
        <v>306225.90999999992</v>
      </c>
      <c r="I172" s="10">
        <f t="shared" si="19"/>
        <v>8276.3759459459434</v>
      </c>
      <c r="J172" s="31">
        <f t="shared" si="27"/>
        <v>16516.452451242301</v>
      </c>
      <c r="K172" s="10">
        <f t="shared" si="16"/>
        <v>8276.3759459459434</v>
      </c>
      <c r="L172" s="10">
        <f t="shared" si="20"/>
        <v>8240.0765052963579</v>
      </c>
      <c r="M172" s="10">
        <f>'D) Ecrêtage'!C171</f>
        <v>4554.1237837837825</v>
      </c>
      <c r="N172" s="10">
        <f t="shared" si="17"/>
        <v>5852.4913748336758</v>
      </c>
      <c r="O172" s="55">
        <f t="shared" si="18"/>
        <v>14128.86732077962</v>
      </c>
      <c r="P172" s="218"/>
      <c r="Q172" s="219"/>
      <c r="R172" s="215"/>
      <c r="S172" s="215"/>
      <c r="T172" s="220"/>
    </row>
    <row r="173" spans="1:20" s="214" customFormat="1" x14ac:dyDescent="0.25">
      <c r="A173" s="306">
        <f>'A) Base RI'!A174</f>
        <v>5684</v>
      </c>
      <c r="B173" s="227" t="str">
        <f>'A) Base RI'!B174</f>
        <v>Rossenges</v>
      </c>
      <c r="C173" s="243">
        <v>0</v>
      </c>
      <c r="D173" s="216">
        <f>'B) D RI'!AA174</f>
        <v>84</v>
      </c>
      <c r="E173" s="217">
        <f>'B) D RI'!S174</f>
        <v>75</v>
      </c>
      <c r="F173" s="10">
        <f>'B) D RI'!R174</f>
        <v>232469.60225918196</v>
      </c>
      <c r="G173" s="10">
        <f>'B) D RI'!U174</f>
        <v>3099.5946967890927</v>
      </c>
      <c r="H173" s="41">
        <f>'B) D RI'!T174</f>
        <v>224392.22725918196</v>
      </c>
      <c r="I173" s="10">
        <f t="shared" si="19"/>
        <v>5983.7927269115189</v>
      </c>
      <c r="J173" s="31">
        <f t="shared" si="27"/>
        <v>7151.4536386822338</v>
      </c>
      <c r="K173" s="10">
        <f t="shared" si="16"/>
        <v>5983.7927269115189</v>
      </c>
      <c r="L173" s="10">
        <f t="shared" si="20"/>
        <v>1167.6609117707148</v>
      </c>
      <c r="M173" s="10">
        <f>'D) Ecrêtage'!C172</f>
        <v>3099.5946967890927</v>
      </c>
      <c r="N173" s="10">
        <f t="shared" si="17"/>
        <v>3983.2802290161953</v>
      </c>
      <c r="O173" s="55">
        <f t="shared" si="18"/>
        <v>9967.0729559277133</v>
      </c>
      <c r="P173" s="218"/>
      <c r="Q173" s="219"/>
      <c r="R173" s="215"/>
      <c r="S173" s="215"/>
      <c r="T173" s="220"/>
    </row>
    <row r="174" spans="1:20" s="214" customFormat="1" x14ac:dyDescent="0.25">
      <c r="A174" s="306">
        <f>'A) Base RI'!A175</f>
        <v>5688</v>
      </c>
      <c r="B174" s="227" t="str">
        <f>'A) Base RI'!B175</f>
        <v>Syens</v>
      </c>
      <c r="C174" s="243">
        <v>0</v>
      </c>
      <c r="D174" s="216">
        <f>'B) D RI'!AA175</f>
        <v>155</v>
      </c>
      <c r="E174" s="217">
        <f>'B) D RI'!S175</f>
        <v>75.599999999999994</v>
      </c>
      <c r="F174" s="10">
        <f>'B) D RI'!R175</f>
        <v>205806.99002355037</v>
      </c>
      <c r="G174" s="10">
        <f>'B) D RI'!U175</f>
        <v>2722.3146828511958</v>
      </c>
      <c r="H174" s="41">
        <f>'B) D RI'!T175</f>
        <v>182044.99002355037</v>
      </c>
      <c r="I174" s="10">
        <f t="shared" si="19"/>
        <v>4816.005027078053</v>
      </c>
      <c r="J174" s="31">
        <f t="shared" si="27"/>
        <v>13196.13469042555</v>
      </c>
      <c r="K174" s="10">
        <f t="shared" si="16"/>
        <v>4816.005027078053</v>
      </c>
      <c r="L174" s="10">
        <f t="shared" si="20"/>
        <v>8380.1296633474958</v>
      </c>
      <c r="M174" s="10">
        <f>'D) Ecrêtage'!C173</f>
        <v>2722.3146828511958</v>
      </c>
      <c r="N174" s="10">
        <f t="shared" si="17"/>
        <v>3498.4387683314935</v>
      </c>
      <c r="O174" s="55">
        <f t="shared" si="18"/>
        <v>8314.4437954095465</v>
      </c>
      <c r="P174" s="218"/>
      <c r="Q174" s="219"/>
      <c r="R174" s="215"/>
      <c r="S174" s="215"/>
      <c r="T174" s="220"/>
    </row>
    <row r="175" spans="1:20" s="214" customFormat="1" x14ac:dyDescent="0.25">
      <c r="A175" s="306">
        <f>'A) Base RI'!A176</f>
        <v>5690</v>
      </c>
      <c r="B175" s="227" t="str">
        <f>'A) Base RI'!B176</f>
        <v>Villars-le-Comte</v>
      </c>
      <c r="C175" s="243">
        <v>0</v>
      </c>
      <c r="D175" s="216">
        <f>'B) D RI'!AA176</f>
        <v>122</v>
      </c>
      <c r="E175" s="217">
        <f>'B) D RI'!S176</f>
        <v>70</v>
      </c>
      <c r="F175" s="10">
        <f>'B) D RI'!R176</f>
        <v>211118.40352103894</v>
      </c>
      <c r="G175" s="10">
        <f>'B) D RI'!U176</f>
        <v>3015.9771931576993</v>
      </c>
      <c r="H175" s="41">
        <f>'B) D RI'!T176</f>
        <v>189599.17852103894</v>
      </c>
      <c r="I175" s="10">
        <f t="shared" si="19"/>
        <v>5417.1193863153985</v>
      </c>
      <c r="J175" s="31">
        <f t="shared" si="27"/>
        <v>10386.63504665753</v>
      </c>
      <c r="K175" s="10">
        <f t="shared" si="16"/>
        <v>5417.1193863153985</v>
      </c>
      <c r="L175" s="10">
        <f t="shared" si="20"/>
        <v>4969.515660342131</v>
      </c>
      <c r="M175" s="10">
        <f>'D) Ecrêtage'!C174</f>
        <v>3015.9771931576993</v>
      </c>
      <c r="N175" s="10">
        <f t="shared" si="17"/>
        <v>3875.8236156210141</v>
      </c>
      <c r="O175" s="55">
        <f t="shared" si="18"/>
        <v>9292.9430019364117</v>
      </c>
      <c r="P175" s="218"/>
      <c r="Q175" s="219"/>
      <c r="R175" s="215"/>
      <c r="S175" s="215"/>
      <c r="T175" s="220"/>
    </row>
    <row r="176" spans="1:20" s="214" customFormat="1" x14ac:dyDescent="0.25">
      <c r="A176" s="306">
        <f>'A) Base RI'!A177</f>
        <v>5692</v>
      </c>
      <c r="B176" s="227" t="str">
        <f>'A) Base RI'!B177</f>
        <v>Vucherens</v>
      </c>
      <c r="C176" s="243">
        <v>0</v>
      </c>
      <c r="D176" s="216">
        <f>'B) D RI'!AA177</f>
        <v>580</v>
      </c>
      <c r="E176" s="217">
        <f>'B) D RI'!S177</f>
        <v>79</v>
      </c>
      <c r="F176" s="10">
        <f>'B) D RI'!R177</f>
        <v>1262144.95</v>
      </c>
      <c r="G176" s="10">
        <f>'B) D RI'!U177</f>
        <v>15976.51835443038</v>
      </c>
      <c r="H176" s="41">
        <f>'B) D RI'!T177</f>
        <v>1166873.5</v>
      </c>
      <c r="I176" s="10">
        <f t="shared" si="19"/>
        <v>29541.101265822785</v>
      </c>
      <c r="J176" s="31">
        <f t="shared" si="27"/>
        <v>49379.084648043994</v>
      </c>
      <c r="K176" s="10">
        <f t="shared" si="16"/>
        <v>29541.101265822785</v>
      </c>
      <c r="L176" s="10">
        <f t="shared" si="20"/>
        <v>19837.983382221209</v>
      </c>
      <c r="M176" s="10">
        <f>'D) Ecrêtage'!C175</f>
        <v>15976.51835443038</v>
      </c>
      <c r="N176" s="10">
        <f t="shared" si="17"/>
        <v>20531.37778163101</v>
      </c>
      <c r="O176" s="55">
        <f t="shared" si="18"/>
        <v>50072.479047453795</v>
      </c>
      <c r="P176" s="218"/>
      <c r="Q176" s="219"/>
      <c r="R176" s="215"/>
      <c r="S176" s="215"/>
      <c r="T176" s="220"/>
    </row>
    <row r="177" spans="1:20" s="214" customFormat="1" x14ac:dyDescent="0.25">
      <c r="A177" s="306">
        <f>'A) Base RI'!A178</f>
        <v>5693</v>
      </c>
      <c r="B177" s="227" t="str">
        <f>'A) Base RI'!B178</f>
        <v>Montanaire</v>
      </c>
      <c r="C177" s="243">
        <v>0</v>
      </c>
      <c r="D177" s="216">
        <f>'B) D RI'!AA178</f>
        <v>2717</v>
      </c>
      <c r="E177" s="217">
        <f>'B) D RI'!S178</f>
        <v>72</v>
      </c>
      <c r="F177" s="10">
        <f>'B) D RI'!R178</f>
        <v>5074626.8230718486</v>
      </c>
      <c r="G177" s="10">
        <f>'B) D RI'!U178</f>
        <v>70480.928098220116</v>
      </c>
      <c r="H177" s="41">
        <f>'B) D RI'!T178</f>
        <v>4694502.723071849</v>
      </c>
      <c r="I177" s="10">
        <f t="shared" si="19"/>
        <v>130402.85341866247</v>
      </c>
      <c r="J177" s="31">
        <f t="shared" si="27"/>
        <v>231315.47067023368</v>
      </c>
      <c r="K177" s="10">
        <f t="shared" si="16"/>
        <v>130402.85341866247</v>
      </c>
      <c r="L177" s="10">
        <f t="shared" si="20"/>
        <v>100912.61725157121</v>
      </c>
      <c r="M177" s="10">
        <f>'D) Ecrêtage'!C176</f>
        <v>70480.928098220116</v>
      </c>
      <c r="N177" s="10">
        <f t="shared" si="17"/>
        <v>90574.837964195642</v>
      </c>
      <c r="O177" s="55">
        <f t="shared" si="18"/>
        <v>220977.69138285812</v>
      </c>
      <c r="P177" s="218"/>
      <c r="Q177" s="219"/>
      <c r="R177" s="215"/>
      <c r="S177" s="215"/>
      <c r="T177" s="220"/>
    </row>
    <row r="178" spans="1:20" s="214" customFormat="1" x14ac:dyDescent="0.25">
      <c r="A178" s="306">
        <f>'A) Base RI'!A179</f>
        <v>5701</v>
      </c>
      <c r="B178" s="227" t="str">
        <f>'A) Base RI'!B179</f>
        <v>Arnex-sur-Nyon</v>
      </c>
      <c r="C178" s="243">
        <v>0</v>
      </c>
      <c r="D178" s="216">
        <f>'B) D RI'!AA179</f>
        <v>229</v>
      </c>
      <c r="E178" s="217">
        <f>'B) D RI'!S179</f>
        <v>70</v>
      </c>
      <c r="F178" s="10">
        <f>'B) D RI'!R179</f>
        <v>847993.76279597834</v>
      </c>
      <c r="G178" s="10">
        <f>'B) D RI'!U179</f>
        <v>12114.196611371119</v>
      </c>
      <c r="H178" s="41">
        <f>'B) D RI'!T179</f>
        <v>778788.41279597837</v>
      </c>
      <c r="I178" s="10">
        <f t="shared" si="19"/>
        <v>22251.097508456525</v>
      </c>
      <c r="J178" s="31">
        <f t="shared" si="27"/>
        <v>19496.224800693231</v>
      </c>
      <c r="K178" s="10">
        <f t="shared" si="16"/>
        <v>19496.224800693231</v>
      </c>
      <c r="L178" s="10">
        <f t="shared" si="20"/>
        <v>0</v>
      </c>
      <c r="M178" s="10">
        <f>'D) Ecrêtage'!C177</f>
        <v>12114.196611371119</v>
      </c>
      <c r="N178" s="10">
        <f t="shared" si="17"/>
        <v>15567.919219398816</v>
      </c>
      <c r="O178" s="55">
        <f t="shared" si="18"/>
        <v>35064.144020092048</v>
      </c>
      <c r="P178" s="218"/>
      <c r="Q178" s="219"/>
      <c r="R178" s="215"/>
      <c r="S178" s="215"/>
      <c r="T178" s="220"/>
    </row>
    <row r="179" spans="1:20" s="214" customFormat="1" x14ac:dyDescent="0.25">
      <c r="A179" s="306">
        <f>'A) Base RI'!A180</f>
        <v>5702</v>
      </c>
      <c r="B179" s="227" t="str">
        <f>'A) Base RI'!B180</f>
        <v>Arzier-Le Muids</v>
      </c>
      <c r="C179" s="243">
        <v>0</v>
      </c>
      <c r="D179" s="216">
        <f>'B) D RI'!AA180</f>
        <v>2801</v>
      </c>
      <c r="E179" s="217">
        <f>'B) D RI'!S180</f>
        <v>64</v>
      </c>
      <c r="F179" s="10">
        <f>'B) D RI'!R180</f>
        <v>11165476.377348574</v>
      </c>
      <c r="G179" s="10">
        <f>'B) D RI'!U180</f>
        <v>174460.56839607147</v>
      </c>
      <c r="H179" s="41">
        <f>'B) D RI'!T180</f>
        <v>10364488.560681907</v>
      </c>
      <c r="I179" s="10">
        <f t="shared" si="19"/>
        <v>323890.26752130961</v>
      </c>
      <c r="J179" s="31">
        <f t="shared" si="27"/>
        <v>238466.92430891591</v>
      </c>
      <c r="K179" s="10">
        <f t="shared" si="16"/>
        <v>238466.92430891591</v>
      </c>
      <c r="L179" s="10">
        <f t="shared" si="20"/>
        <v>0</v>
      </c>
      <c r="M179" s="10">
        <f>'D) Ecrêtage'!C178</f>
        <v>174460.56839607147</v>
      </c>
      <c r="N179" s="10">
        <f t="shared" si="17"/>
        <v>224198.77461878504</v>
      </c>
      <c r="O179" s="55">
        <f t="shared" si="18"/>
        <v>462665.69892770099</v>
      </c>
      <c r="P179" s="218"/>
      <c r="Q179" s="219"/>
      <c r="R179" s="215"/>
      <c r="S179" s="215"/>
      <c r="T179" s="220"/>
    </row>
    <row r="180" spans="1:20" s="214" customFormat="1" x14ac:dyDescent="0.25">
      <c r="A180" s="306">
        <f>'A) Base RI'!A181</f>
        <v>5703</v>
      </c>
      <c r="B180" s="227" t="str">
        <f>'A) Base RI'!B181</f>
        <v>Bassins</v>
      </c>
      <c r="C180" s="243">
        <v>0</v>
      </c>
      <c r="D180" s="216">
        <f>'B) D RI'!AA181</f>
        <v>1395</v>
      </c>
      <c r="E180" s="217">
        <f>'B) D RI'!S181</f>
        <v>74</v>
      </c>
      <c r="F180" s="10">
        <f>'B) D RI'!R181</f>
        <v>4361231.4735726565</v>
      </c>
      <c r="G180" s="10">
        <f>'B) D RI'!U181</f>
        <v>58935.560453684549</v>
      </c>
      <c r="H180" s="41">
        <f>'B) D RI'!T181</f>
        <v>4048750.3164297999</v>
      </c>
      <c r="I180" s="10">
        <f t="shared" si="19"/>
        <v>109425.68422783243</v>
      </c>
      <c r="J180" s="31">
        <f t="shared" si="27"/>
        <v>118765.21221382996</v>
      </c>
      <c r="K180" s="10">
        <f t="shared" si="16"/>
        <v>109425.68422783243</v>
      </c>
      <c r="L180" s="10">
        <f t="shared" si="20"/>
        <v>9339.5279859975271</v>
      </c>
      <c r="M180" s="10">
        <f>'D) Ecrêtage'!C179</f>
        <v>58935.560453684549</v>
      </c>
      <c r="N180" s="10">
        <f t="shared" si="17"/>
        <v>75737.919213869434</v>
      </c>
      <c r="O180" s="55">
        <f t="shared" si="18"/>
        <v>185163.60344170185</v>
      </c>
      <c r="P180" s="218"/>
      <c r="Q180" s="219"/>
      <c r="R180" s="215"/>
      <c r="S180" s="215"/>
      <c r="T180" s="220"/>
    </row>
    <row r="181" spans="1:20" s="214" customFormat="1" x14ac:dyDescent="0.25">
      <c r="A181" s="306">
        <f>'A) Base RI'!A182</f>
        <v>5704</v>
      </c>
      <c r="B181" s="227" t="str">
        <f>'A) Base RI'!B182</f>
        <v>Begnins</v>
      </c>
      <c r="C181" s="243">
        <v>0</v>
      </c>
      <c r="D181" s="216">
        <f>'B) D RI'!AA182</f>
        <v>1931</v>
      </c>
      <c r="E181" s="217">
        <f>'B) D RI'!S182</f>
        <v>64</v>
      </c>
      <c r="F181" s="10">
        <f>'B) D RI'!R182</f>
        <v>8288565.0481536426</v>
      </c>
      <c r="G181" s="10">
        <f>'B) D RI'!U182</f>
        <v>129508.82887740067</v>
      </c>
      <c r="H181" s="41">
        <f>'B) D RI'!T182</f>
        <v>7763636.2148203095</v>
      </c>
      <c r="I181" s="10">
        <f t="shared" si="19"/>
        <v>242613.63171313467</v>
      </c>
      <c r="J181" s="31">
        <f t="shared" si="27"/>
        <v>164398.29733684991</v>
      </c>
      <c r="K181" s="10">
        <f t="shared" si="16"/>
        <v>164398.29733684991</v>
      </c>
      <c r="L181" s="10">
        <f t="shared" si="20"/>
        <v>0</v>
      </c>
      <c r="M181" s="10">
        <f>'D) Ecrêtage'!C180</f>
        <v>129508.82887740067</v>
      </c>
      <c r="N181" s="10">
        <f t="shared" si="17"/>
        <v>166431.4234647477</v>
      </c>
      <c r="O181" s="55">
        <f t="shared" si="18"/>
        <v>330829.72080159758</v>
      </c>
      <c r="P181" s="218"/>
      <c r="Q181" s="219"/>
      <c r="R181" s="215"/>
      <c r="S181" s="215"/>
      <c r="T181" s="220"/>
    </row>
    <row r="182" spans="1:20" s="214" customFormat="1" x14ac:dyDescent="0.25">
      <c r="A182" s="306">
        <f>'A) Base RI'!A183</f>
        <v>5705</v>
      </c>
      <c r="B182" s="227" t="str">
        <f>'A) Base RI'!B183</f>
        <v>Bogis-Bossey</v>
      </c>
      <c r="C182" s="243">
        <v>0</v>
      </c>
      <c r="D182" s="216">
        <f>'B) D RI'!AA183</f>
        <v>825</v>
      </c>
      <c r="E182" s="217">
        <f>'B) D RI'!S183</f>
        <v>76</v>
      </c>
      <c r="F182" s="10">
        <f>'B) D RI'!R183</f>
        <v>3602399.9174806625</v>
      </c>
      <c r="G182" s="10">
        <f>'B) D RI'!U183</f>
        <v>47399.998914219243</v>
      </c>
      <c r="H182" s="41">
        <f>'B) D RI'!T183</f>
        <v>3373926.2174806623</v>
      </c>
      <c r="I182" s="10">
        <f t="shared" si="19"/>
        <v>88787.532038964797</v>
      </c>
      <c r="J182" s="31">
        <f t="shared" si="27"/>
        <v>70237.491094200508</v>
      </c>
      <c r="K182" s="10">
        <f t="shared" si="16"/>
        <v>70237.491094200508</v>
      </c>
      <c r="L182" s="10">
        <f t="shared" si="20"/>
        <v>0</v>
      </c>
      <c r="M182" s="10">
        <f>'D) Ecrêtage'!C181</f>
        <v>47399.998914219243</v>
      </c>
      <c r="N182" s="10">
        <f t="shared" si="17"/>
        <v>60913.602260962231</v>
      </c>
      <c r="O182" s="55">
        <f t="shared" si="18"/>
        <v>131151.09335516274</v>
      </c>
      <c r="P182" s="218"/>
      <c r="Q182" s="219"/>
      <c r="R182" s="215"/>
      <c r="S182" s="215"/>
      <c r="T182" s="220"/>
    </row>
    <row r="183" spans="1:20" s="214" customFormat="1" x14ac:dyDescent="0.25">
      <c r="A183" s="306">
        <f>'A) Base RI'!A184</f>
        <v>5706</v>
      </c>
      <c r="B183" s="227" t="str">
        <f>'A) Base RI'!B184</f>
        <v>Borex</v>
      </c>
      <c r="C183" s="243">
        <v>0</v>
      </c>
      <c r="D183" s="216">
        <f>'B) D RI'!AA184</f>
        <v>1132</v>
      </c>
      <c r="E183" s="217">
        <f>'B) D RI'!S184</f>
        <v>58</v>
      </c>
      <c r="F183" s="10">
        <f>'B) D RI'!R184</f>
        <v>4450475.6812511822</v>
      </c>
      <c r="G183" s="10">
        <f>'B) D RI'!U184</f>
        <v>76732.339331916941</v>
      </c>
      <c r="H183" s="41">
        <f>'B) D RI'!T184</f>
        <v>4139735.5812511826</v>
      </c>
      <c r="I183" s="10">
        <f t="shared" si="19"/>
        <v>142749.50280176493</v>
      </c>
      <c r="J183" s="31">
        <f t="shared" si="27"/>
        <v>96374.35141652725</v>
      </c>
      <c r="K183" s="10">
        <f t="shared" si="16"/>
        <v>96374.35141652725</v>
      </c>
      <c r="L183" s="10">
        <f t="shared" si="20"/>
        <v>0</v>
      </c>
      <c r="M183" s="10">
        <f>'D) Ecrêtage'!C182</f>
        <v>76732.339331916941</v>
      </c>
      <c r="N183" s="10">
        <f t="shared" si="17"/>
        <v>98608.508558751011</v>
      </c>
      <c r="O183" s="55">
        <f t="shared" si="18"/>
        <v>194982.85997527826</v>
      </c>
      <c r="P183" s="218"/>
      <c r="Q183" s="219"/>
      <c r="R183" s="215"/>
      <c r="S183" s="215"/>
      <c r="T183" s="220"/>
    </row>
    <row r="184" spans="1:20" s="214" customFormat="1" x14ac:dyDescent="0.25">
      <c r="A184" s="306">
        <f>'A) Base RI'!A185</f>
        <v>5707</v>
      </c>
      <c r="B184" s="227" t="str">
        <f>'A) Base RI'!B185</f>
        <v>Chavannes-de-Bogis</v>
      </c>
      <c r="C184" s="243">
        <v>0</v>
      </c>
      <c r="D184" s="216">
        <f>'B) D RI'!AA185</f>
        <v>1357</v>
      </c>
      <c r="E184" s="217">
        <f>'B) D RI'!S185</f>
        <v>59</v>
      </c>
      <c r="F184" s="10">
        <f>'B) D RI'!R185</f>
        <v>4745586.6651728982</v>
      </c>
      <c r="G184" s="10">
        <f>'B) D RI'!U185</f>
        <v>80433.672291066076</v>
      </c>
      <c r="H184" s="41">
        <f>'B) D RI'!T185</f>
        <v>4215713.3651728984</v>
      </c>
      <c r="I184" s="10">
        <f t="shared" si="19"/>
        <v>142905.53780247114</v>
      </c>
      <c r="J184" s="31">
        <f t="shared" si="27"/>
        <v>115530.03080585465</v>
      </c>
      <c r="K184" s="10">
        <f t="shared" si="16"/>
        <v>115530.03080585465</v>
      </c>
      <c r="L184" s="10">
        <f t="shared" si="20"/>
        <v>0</v>
      </c>
      <c r="M184" s="10">
        <f>'D) Ecrêtage'!C183</f>
        <v>80433.672291066076</v>
      </c>
      <c r="N184" s="10">
        <f t="shared" si="17"/>
        <v>103365.0808978564</v>
      </c>
      <c r="O184" s="55">
        <f t="shared" si="18"/>
        <v>218895.11170371104</v>
      </c>
      <c r="P184" s="218"/>
      <c r="Q184" s="219"/>
      <c r="R184" s="215"/>
      <c r="S184" s="215"/>
      <c r="T184" s="220"/>
    </row>
    <row r="185" spans="1:20" s="214" customFormat="1" x14ac:dyDescent="0.25">
      <c r="A185" s="306">
        <f>'A) Base RI'!A186</f>
        <v>5708</v>
      </c>
      <c r="B185" s="227" t="str">
        <f>'A) Base RI'!B186</f>
        <v>Chavannes-des-Bois</v>
      </c>
      <c r="C185" s="243">
        <v>0</v>
      </c>
      <c r="D185" s="216">
        <f>'B) D RI'!AA186</f>
        <v>960</v>
      </c>
      <c r="E185" s="217">
        <f>'B) D RI'!S186</f>
        <v>68</v>
      </c>
      <c r="F185" s="10">
        <f>'B) D RI'!R186</f>
        <v>4397804.8136055479</v>
      </c>
      <c r="G185" s="10">
        <f>'B) D RI'!U186</f>
        <v>64673.600200081586</v>
      </c>
      <c r="H185" s="41">
        <f>'B) D RI'!T186</f>
        <v>4109236.4636055478</v>
      </c>
      <c r="I185" s="10">
        <f t="shared" si="19"/>
        <v>120859.89598839846</v>
      </c>
      <c r="J185" s="31">
        <f t="shared" si="27"/>
        <v>81730.898727796957</v>
      </c>
      <c r="K185" s="10">
        <f t="shared" si="16"/>
        <v>81730.898727796957</v>
      </c>
      <c r="L185" s="10">
        <f t="shared" si="20"/>
        <v>0</v>
      </c>
      <c r="M185" s="10">
        <f>'D) Ecrêtage'!C184</f>
        <v>64673.600200081586</v>
      </c>
      <c r="N185" s="10">
        <f t="shared" si="17"/>
        <v>83111.857586782979</v>
      </c>
      <c r="O185" s="55">
        <f t="shared" si="18"/>
        <v>164842.75631457992</v>
      </c>
      <c r="P185" s="218"/>
      <c r="Q185" s="219"/>
      <c r="R185" s="215"/>
      <c r="S185" s="215"/>
      <c r="T185" s="220"/>
    </row>
    <row r="186" spans="1:20" s="214" customFormat="1" x14ac:dyDescent="0.25">
      <c r="A186" s="306">
        <f>'A) Base RI'!A187</f>
        <v>5709</v>
      </c>
      <c r="B186" s="227" t="str">
        <f>'A) Base RI'!B187</f>
        <v>Chéserex</v>
      </c>
      <c r="C186" s="243">
        <v>0</v>
      </c>
      <c r="D186" s="216">
        <f>'B) D RI'!AA187</f>
        <v>1238</v>
      </c>
      <c r="E186" s="217">
        <f>'B) D RI'!S187</f>
        <v>57</v>
      </c>
      <c r="F186" s="10">
        <f>'B) D RI'!R187</f>
        <v>5509937.1864923732</v>
      </c>
      <c r="G186" s="10">
        <f>'B) D RI'!U187</f>
        <v>96665.564675304791</v>
      </c>
      <c r="H186" s="41">
        <f>'B) D RI'!T187</f>
        <v>5172481.9364923732</v>
      </c>
      <c r="I186" s="10">
        <f t="shared" si="19"/>
        <v>181490.59426289028</v>
      </c>
      <c r="J186" s="31">
        <f t="shared" si="27"/>
        <v>105398.8048177215</v>
      </c>
      <c r="K186" s="10">
        <f t="shared" si="16"/>
        <v>105398.8048177215</v>
      </c>
      <c r="L186" s="10">
        <f t="shared" si="20"/>
        <v>0</v>
      </c>
      <c r="M186" s="10">
        <f>'D) Ecrêtage'!C185</f>
        <v>96665.564675304791</v>
      </c>
      <c r="N186" s="10">
        <f t="shared" si="17"/>
        <v>124224.63911062363</v>
      </c>
      <c r="O186" s="55">
        <f t="shared" si="18"/>
        <v>229623.44392834511</v>
      </c>
      <c r="P186" s="218"/>
      <c r="Q186" s="219"/>
      <c r="R186" s="215"/>
      <c r="S186" s="215"/>
      <c r="T186" s="220"/>
    </row>
    <row r="187" spans="1:20" s="214" customFormat="1" x14ac:dyDescent="0.25">
      <c r="A187" s="306">
        <f>'A) Base RI'!A188</f>
        <v>5710</v>
      </c>
      <c r="B187" s="227" t="str">
        <f>'A) Base RI'!B188</f>
        <v>Coinsins</v>
      </c>
      <c r="C187" s="243">
        <v>0</v>
      </c>
      <c r="D187" s="216">
        <f>'B) D RI'!AA188</f>
        <v>494</v>
      </c>
      <c r="E187" s="217">
        <f>'B) D RI'!S188</f>
        <v>51</v>
      </c>
      <c r="F187" s="10">
        <f>'B) D RI'!R188</f>
        <v>5952822.5000422755</v>
      </c>
      <c r="G187" s="10">
        <f>'B) D RI'!U188</f>
        <v>116722.0098047505</v>
      </c>
      <c r="H187" s="41">
        <f>'B) D RI'!T188</f>
        <v>5817311.400042275</v>
      </c>
      <c r="I187" s="10">
        <f t="shared" si="19"/>
        <v>228129.85882518726</v>
      </c>
      <c r="J187" s="31">
        <f t="shared" si="27"/>
        <v>42057.358303678848</v>
      </c>
      <c r="K187" s="10">
        <f t="shared" si="16"/>
        <v>42057.358303678848</v>
      </c>
      <c r="L187" s="10">
        <f t="shared" si="20"/>
        <v>0</v>
      </c>
      <c r="M187" s="10">
        <f>'D) Ecrêtage'!C186</f>
        <v>116722.0098047505</v>
      </c>
      <c r="N187" s="10">
        <f t="shared" si="17"/>
        <v>149999.11905512371</v>
      </c>
      <c r="O187" s="55">
        <f t="shared" si="18"/>
        <v>192056.47735880257</v>
      </c>
      <c r="P187" s="218"/>
      <c r="Q187" s="219"/>
      <c r="R187" s="215"/>
      <c r="S187" s="215"/>
      <c r="T187" s="220"/>
    </row>
    <row r="188" spans="1:20" s="214" customFormat="1" x14ac:dyDescent="0.25">
      <c r="A188" s="306">
        <f>'A) Base RI'!A189</f>
        <v>5711</v>
      </c>
      <c r="B188" s="227" t="str">
        <f>'A) Base RI'!B189</f>
        <v>Commugny</v>
      </c>
      <c r="C188" s="243">
        <v>0</v>
      </c>
      <c r="D188" s="216">
        <f>'B) D RI'!AA189</f>
        <v>2935</v>
      </c>
      <c r="E188" s="217">
        <f>'B) D RI'!S189</f>
        <v>57</v>
      </c>
      <c r="F188" s="10">
        <f>'B) D RI'!R189</f>
        <v>14674478.225919563</v>
      </c>
      <c r="G188" s="10">
        <f>'B) D RI'!U189</f>
        <v>257446.98641964147</v>
      </c>
      <c r="H188" s="41">
        <f>'B) D RI'!T189</f>
        <v>13782110.460534947</v>
      </c>
      <c r="I188" s="10">
        <f t="shared" si="19"/>
        <v>483582.82317666482</v>
      </c>
      <c r="J188" s="31">
        <f t="shared" si="27"/>
        <v>249875.19558967091</v>
      </c>
      <c r="K188" s="10">
        <f t="shared" si="16"/>
        <v>249875.19558967091</v>
      </c>
      <c r="L188" s="10">
        <f t="shared" si="20"/>
        <v>0</v>
      </c>
      <c r="M188" s="10">
        <f>'D) Ecrêtage'!C187</f>
        <v>257446.98641964147</v>
      </c>
      <c r="N188" s="10">
        <f t="shared" si="17"/>
        <v>330844.38171463821</v>
      </c>
      <c r="O188" s="55">
        <f t="shared" si="18"/>
        <v>580719.57730430912</v>
      </c>
      <c r="P188" s="218"/>
      <c r="Q188" s="219"/>
      <c r="R188" s="215"/>
      <c r="S188" s="215"/>
      <c r="T188" s="220"/>
    </row>
    <row r="189" spans="1:20" s="214" customFormat="1" x14ac:dyDescent="0.25">
      <c r="A189" s="306">
        <f>'A) Base RI'!A190</f>
        <v>5712</v>
      </c>
      <c r="B189" s="227" t="str">
        <f>'A) Base RI'!B190</f>
        <v>Coppet</v>
      </c>
      <c r="C189" s="243">
        <v>0</v>
      </c>
      <c r="D189" s="216">
        <f>'B) D RI'!AA190</f>
        <v>3211</v>
      </c>
      <c r="E189" s="217">
        <f>'B) D RI'!S190</f>
        <v>53</v>
      </c>
      <c r="F189" s="10">
        <f>'B) D RI'!R190</f>
        <v>20647755.885389619</v>
      </c>
      <c r="G189" s="10">
        <f>'B) D RI'!U190</f>
        <v>389580.29972433241</v>
      </c>
      <c r="H189" s="41">
        <f>'B) D RI'!T190</f>
        <v>19504157.085389618</v>
      </c>
      <c r="I189" s="10">
        <f t="shared" si="19"/>
        <v>736005.92775055161</v>
      </c>
      <c r="J189" s="31">
        <f t="shared" si="27"/>
        <v>273372.82897391252</v>
      </c>
      <c r="K189" s="10">
        <f t="shared" si="16"/>
        <v>273372.82897391252</v>
      </c>
      <c r="L189" s="10">
        <f t="shared" si="20"/>
        <v>0</v>
      </c>
      <c r="M189" s="10">
        <f>'D) Ecrêtage'!C188</f>
        <v>389580.29972433241</v>
      </c>
      <c r="N189" s="10">
        <f t="shared" si="17"/>
        <v>500648.52256769984</v>
      </c>
      <c r="O189" s="55">
        <f t="shared" si="18"/>
        <v>774021.3515416123</v>
      </c>
      <c r="P189" s="218"/>
      <c r="Q189" s="219"/>
      <c r="R189" s="215"/>
      <c r="S189" s="215"/>
      <c r="T189" s="220"/>
    </row>
    <row r="190" spans="1:20" s="214" customFormat="1" x14ac:dyDescent="0.25">
      <c r="A190" s="306">
        <f>'A) Base RI'!A191</f>
        <v>5713</v>
      </c>
      <c r="B190" s="227" t="str">
        <f>'A) Base RI'!B191</f>
        <v>Crans-près-Céligny</v>
      </c>
      <c r="C190" s="243">
        <v>1</v>
      </c>
      <c r="D190" s="216">
        <f>'B) D RI'!AA191</f>
        <v>2286</v>
      </c>
      <c r="E190" s="217">
        <f>'B) D RI'!S191</f>
        <v>56</v>
      </c>
      <c r="F190" s="10">
        <f>'B) D RI'!R191</f>
        <v>15998548.861487525</v>
      </c>
      <c r="G190" s="10">
        <f>'B) D RI'!U191</f>
        <v>285688.37252656295</v>
      </c>
      <c r="H190" s="41">
        <f>'B) D RI'!T191</f>
        <v>15165876.111487525</v>
      </c>
      <c r="I190" s="10">
        <f t="shared" si="19"/>
        <v>541638.43255312589</v>
      </c>
      <c r="J190" s="31">
        <f t="shared" si="27"/>
        <v>194621.70259556652</v>
      </c>
      <c r="K190" s="10">
        <f t="shared" si="16"/>
        <v>0</v>
      </c>
      <c r="L190" s="10">
        <f t="shared" si="20"/>
        <v>194621.70259556652</v>
      </c>
      <c r="M190" s="10">
        <f>'D) Ecrêtage'!C189</f>
        <v>285688.37252656295</v>
      </c>
      <c r="N190" s="10">
        <f t="shared" si="17"/>
        <v>367137.30576572334</v>
      </c>
      <c r="O190" s="55">
        <f t="shared" si="18"/>
        <v>367137.30576572334</v>
      </c>
      <c r="P190" s="218"/>
      <c r="Q190" s="219"/>
      <c r="R190" s="215"/>
      <c r="S190" s="215"/>
      <c r="T190" s="220"/>
    </row>
    <row r="191" spans="1:20" s="214" customFormat="1" x14ac:dyDescent="0.25">
      <c r="A191" s="306">
        <f>'A) Base RI'!A192</f>
        <v>5714</v>
      </c>
      <c r="B191" s="227" t="str">
        <f>'A) Base RI'!B192</f>
        <v>Crassier</v>
      </c>
      <c r="C191" s="243">
        <v>0</v>
      </c>
      <c r="D191" s="216">
        <f>'B) D RI'!AA192</f>
        <v>1169</v>
      </c>
      <c r="E191" s="217">
        <f>'B) D RI'!S192</f>
        <v>68</v>
      </c>
      <c r="F191" s="10">
        <f>'B) D RI'!R192</f>
        <v>4723592.8683152813</v>
      </c>
      <c r="G191" s="10">
        <f>'B) D RI'!U192</f>
        <v>69464.601004636497</v>
      </c>
      <c r="H191" s="41">
        <f>'B) D RI'!T192</f>
        <v>4428456.218315281</v>
      </c>
      <c r="I191" s="10">
        <f t="shared" si="19"/>
        <v>130248.71230339061</v>
      </c>
      <c r="J191" s="31">
        <f t="shared" si="27"/>
        <v>99524.396471661094</v>
      </c>
      <c r="K191" s="10">
        <f t="shared" si="16"/>
        <v>99524.396471661094</v>
      </c>
      <c r="L191" s="10">
        <f t="shared" si="20"/>
        <v>0</v>
      </c>
      <c r="M191" s="10">
        <f>'D) Ecrêtage'!C190</f>
        <v>69464.601004636497</v>
      </c>
      <c r="N191" s="10">
        <f t="shared" si="17"/>
        <v>89268.758939644846</v>
      </c>
      <c r="O191" s="55">
        <f t="shared" si="18"/>
        <v>188793.15541130595</v>
      </c>
      <c r="P191" s="218"/>
      <c r="Q191" s="219"/>
      <c r="R191" s="215"/>
      <c r="S191" s="215"/>
      <c r="T191" s="220"/>
    </row>
    <row r="192" spans="1:20" s="214" customFormat="1" x14ac:dyDescent="0.25">
      <c r="A192" s="306">
        <f>'A) Base RI'!A193</f>
        <v>5715</v>
      </c>
      <c r="B192" s="227" t="str">
        <f>'A) Base RI'!B193</f>
        <v>Duillier</v>
      </c>
      <c r="C192" s="243">
        <v>0</v>
      </c>
      <c r="D192" s="216">
        <f>'B) D RI'!AA193</f>
        <v>1090</v>
      </c>
      <c r="E192" s="217">
        <f>'B) D RI'!S193</f>
        <v>66</v>
      </c>
      <c r="F192" s="10">
        <f>'B) D RI'!R193</f>
        <v>4623811.0979707064</v>
      </c>
      <c r="G192" s="10">
        <f>'B) D RI'!U193</f>
        <v>70057.743908647069</v>
      </c>
      <c r="H192" s="41">
        <f>'B) D RI'!T193</f>
        <v>4353046.697970706</v>
      </c>
      <c r="I192" s="10">
        <f t="shared" si="19"/>
        <v>131910.5059991123</v>
      </c>
      <c r="J192" s="31">
        <f t="shared" si="27"/>
        <v>92798.624597186135</v>
      </c>
      <c r="K192" s="10">
        <f t="shared" ref="K192:K252" si="28">IF(C192=1,0,IF(J192&gt;I192,I192,J192))</f>
        <v>92798.624597186135</v>
      </c>
      <c r="L192" s="10">
        <f t="shared" si="20"/>
        <v>0</v>
      </c>
      <c r="M192" s="10">
        <f>'D) Ecrêtage'!C191</f>
        <v>70057.743908647069</v>
      </c>
      <c r="N192" s="10">
        <f t="shared" ref="N192:N252" si="29">+$N$5*M192</f>
        <v>90031.005179443251</v>
      </c>
      <c r="O192" s="55">
        <f t="shared" ref="O192:O252" si="30">+N192+K192</f>
        <v>182829.62977662939</v>
      </c>
      <c r="P192" s="218"/>
      <c r="Q192" s="219"/>
      <c r="R192" s="215"/>
      <c r="S192" s="215"/>
      <c r="T192" s="220"/>
    </row>
    <row r="193" spans="1:20" s="214" customFormat="1" x14ac:dyDescent="0.25">
      <c r="A193" s="306">
        <f>'A) Base RI'!A194</f>
        <v>5716</v>
      </c>
      <c r="B193" s="227" t="str">
        <f>'A) Base RI'!B194</f>
        <v>Eysins</v>
      </c>
      <c r="C193" s="243">
        <v>0</v>
      </c>
      <c r="D193" s="216">
        <f>'B) D RI'!AA194</f>
        <v>1737</v>
      </c>
      <c r="E193" s="217">
        <f>'B) D RI'!S194</f>
        <v>61</v>
      </c>
      <c r="F193" s="10">
        <f>'B) D RI'!R194</f>
        <v>13140681.282354129</v>
      </c>
      <c r="G193" s="10">
        <f>'B) D RI'!U194</f>
        <v>215421.00462875623</v>
      </c>
      <c r="H193" s="41">
        <f>'B) D RI'!T194</f>
        <v>12395944.932354128</v>
      </c>
      <c r="I193" s="10">
        <f t="shared" ref="I193:I253" si="31">+H193/E193*$I$5</f>
        <v>406424.42401161074</v>
      </c>
      <c r="J193" s="31">
        <f t="shared" si="27"/>
        <v>147881.84488560763</v>
      </c>
      <c r="K193" s="10">
        <f t="shared" si="28"/>
        <v>147881.84488560763</v>
      </c>
      <c r="L193" s="10">
        <f t="shared" ref="L193:L253" si="32">+J193-K193</f>
        <v>0</v>
      </c>
      <c r="M193" s="10">
        <f>'D) Ecrêtage'!C192</f>
        <v>215421.00462875623</v>
      </c>
      <c r="N193" s="10">
        <f t="shared" si="29"/>
        <v>276836.91340078384</v>
      </c>
      <c r="O193" s="55">
        <f t="shared" si="30"/>
        <v>424718.7582863915</v>
      </c>
      <c r="P193" s="218"/>
      <c r="Q193" s="219"/>
      <c r="R193" s="215"/>
      <c r="S193" s="215"/>
      <c r="T193" s="220"/>
    </row>
    <row r="194" spans="1:20" s="214" customFormat="1" x14ac:dyDescent="0.25">
      <c r="A194" s="306">
        <f>'A) Base RI'!A195</f>
        <v>5717</v>
      </c>
      <c r="B194" s="227" t="str">
        <f>'A) Base RI'!B195</f>
        <v>Founex</v>
      </c>
      <c r="C194" s="243">
        <v>0</v>
      </c>
      <c r="D194" s="216">
        <f>'B) D RI'!AA195</f>
        <v>3772</v>
      </c>
      <c r="E194" s="217">
        <f>'B) D RI'!S195</f>
        <v>57</v>
      </c>
      <c r="F194" s="10">
        <f>'B) D RI'!R195</f>
        <v>19652778.026853658</v>
      </c>
      <c r="G194" s="10">
        <f>'B) D RI'!U195</f>
        <v>344785.57941848523</v>
      </c>
      <c r="H194" s="41">
        <f>'B) D RI'!T195</f>
        <v>18344697.12685366</v>
      </c>
      <c r="I194" s="10">
        <f t="shared" si="31"/>
        <v>643673.58339837403</v>
      </c>
      <c r="J194" s="31">
        <f t="shared" si="27"/>
        <v>321134.32291796885</v>
      </c>
      <c r="K194" s="10">
        <f t="shared" si="28"/>
        <v>321134.32291796885</v>
      </c>
      <c r="L194" s="10">
        <f t="shared" si="32"/>
        <v>0</v>
      </c>
      <c r="M194" s="10">
        <f>'D) Ecrêtage'!C193</f>
        <v>344785.57941848523</v>
      </c>
      <c r="N194" s="10">
        <f t="shared" si="29"/>
        <v>443082.95635240432</v>
      </c>
      <c r="O194" s="55">
        <f t="shared" si="30"/>
        <v>764217.27927037317</v>
      </c>
      <c r="P194" s="218"/>
      <c r="Q194" s="219"/>
      <c r="R194" s="215"/>
      <c r="S194" s="215"/>
      <c r="T194" s="220"/>
    </row>
    <row r="195" spans="1:20" s="214" customFormat="1" x14ac:dyDescent="0.25">
      <c r="A195" s="306">
        <f>'A) Base RI'!A196</f>
        <v>5718</v>
      </c>
      <c r="B195" s="227" t="str">
        <f>'A) Base RI'!B196</f>
        <v>Genolier</v>
      </c>
      <c r="C195" s="243">
        <v>0</v>
      </c>
      <c r="D195" s="216">
        <f>'B) D RI'!AA196</f>
        <v>2000</v>
      </c>
      <c r="E195" s="217">
        <f>'B) D RI'!S196</f>
        <v>55</v>
      </c>
      <c r="F195" s="10">
        <f>'B) D RI'!R196</f>
        <v>9365210.2467975374</v>
      </c>
      <c r="G195" s="10">
        <f>'B) D RI'!U196</f>
        <v>170276.54994177341</v>
      </c>
      <c r="H195" s="41">
        <f>'B) D RI'!T196</f>
        <v>8672045.0467975382</v>
      </c>
      <c r="I195" s="10">
        <f t="shared" si="31"/>
        <v>315347.09261081956</v>
      </c>
      <c r="J195" s="31">
        <f t="shared" si="27"/>
        <v>170272.70568291034</v>
      </c>
      <c r="K195" s="10">
        <f t="shared" si="28"/>
        <v>170272.70568291034</v>
      </c>
      <c r="L195" s="10">
        <f t="shared" si="32"/>
        <v>0</v>
      </c>
      <c r="M195" s="10">
        <f>'D) Ecrêtage'!C194</f>
        <v>170276.54994177341</v>
      </c>
      <c r="N195" s="10">
        <f t="shared" si="29"/>
        <v>218821.9045382842</v>
      </c>
      <c r="O195" s="55">
        <f t="shared" si="30"/>
        <v>389094.61022119457</v>
      </c>
      <c r="P195" s="218"/>
      <c r="Q195" s="219"/>
      <c r="R195" s="215"/>
      <c r="S195" s="215"/>
      <c r="T195" s="220"/>
    </row>
    <row r="196" spans="1:20" s="214" customFormat="1" x14ac:dyDescent="0.25">
      <c r="A196" s="306">
        <f>'A) Base RI'!A197</f>
        <v>5719</v>
      </c>
      <c r="B196" s="227" t="str">
        <f>'A) Base RI'!B197</f>
        <v>Gingins</v>
      </c>
      <c r="C196" s="243">
        <v>0</v>
      </c>
      <c r="D196" s="216">
        <f>'B) D RI'!AA197</f>
        <v>1239</v>
      </c>
      <c r="E196" s="217">
        <f>'B) D RI'!S197</f>
        <v>57</v>
      </c>
      <c r="F196" s="10">
        <f>'B) D RI'!R197</f>
        <v>8112640.1559303254</v>
      </c>
      <c r="G196" s="10">
        <f>'B) D RI'!U197</f>
        <v>142327.02027947939</v>
      </c>
      <c r="H196" s="41">
        <f>'B) D RI'!T197</f>
        <v>7748763.9392636586</v>
      </c>
      <c r="I196" s="10">
        <f t="shared" si="31"/>
        <v>271886.4540092512</v>
      </c>
      <c r="J196" s="31">
        <f t="shared" si="27"/>
        <v>105483.94117056295</v>
      </c>
      <c r="K196" s="10">
        <f t="shared" si="28"/>
        <v>105483.94117056295</v>
      </c>
      <c r="L196" s="10">
        <f t="shared" si="32"/>
        <v>0</v>
      </c>
      <c r="M196" s="10">
        <f>'D) Ecrêtage'!C195</f>
        <v>142327.02027947939</v>
      </c>
      <c r="N196" s="10">
        <f t="shared" si="29"/>
        <v>182904.04436467943</v>
      </c>
      <c r="O196" s="55">
        <f t="shared" si="30"/>
        <v>288387.98553524236</v>
      </c>
      <c r="P196" s="218"/>
      <c r="Q196" s="219"/>
      <c r="R196" s="215"/>
      <c r="S196" s="215"/>
      <c r="T196" s="220"/>
    </row>
    <row r="197" spans="1:20" s="214" customFormat="1" x14ac:dyDescent="0.25">
      <c r="A197" s="306">
        <f>'A) Base RI'!A198</f>
        <v>5720</v>
      </c>
      <c r="B197" s="227" t="str">
        <f>'A) Base RI'!B198</f>
        <v>Givrins</v>
      </c>
      <c r="C197" s="243">
        <v>0</v>
      </c>
      <c r="D197" s="216">
        <f>'B) D RI'!AA198</f>
        <v>1032</v>
      </c>
      <c r="E197" s="217">
        <f>'B) D RI'!S198</f>
        <v>67</v>
      </c>
      <c r="F197" s="10">
        <f>'B) D RI'!R198</f>
        <v>5521952.5475069741</v>
      </c>
      <c r="G197" s="10">
        <f>'B) D RI'!U198</f>
        <v>82417.202201596621</v>
      </c>
      <c r="H197" s="41">
        <f>'B) D RI'!T198</f>
        <v>5225269.2697291961</v>
      </c>
      <c r="I197" s="10">
        <f t="shared" si="31"/>
        <v>155978.1871560954</v>
      </c>
      <c r="J197" s="31">
        <f t="shared" si="27"/>
        <v>87860.716132381727</v>
      </c>
      <c r="K197" s="10">
        <f t="shared" si="28"/>
        <v>87860.716132381727</v>
      </c>
      <c r="L197" s="10">
        <f t="shared" si="32"/>
        <v>0</v>
      </c>
      <c r="M197" s="10">
        <f>'D) Ecrêtage'!C196</f>
        <v>82417.202201596621</v>
      </c>
      <c r="N197" s="10">
        <f t="shared" si="29"/>
        <v>105914.10948035569</v>
      </c>
      <c r="O197" s="55">
        <f t="shared" si="30"/>
        <v>193774.82561273742</v>
      </c>
      <c r="P197" s="218"/>
      <c r="Q197" s="219"/>
      <c r="R197" s="215"/>
      <c r="S197" s="215"/>
      <c r="T197" s="220"/>
    </row>
    <row r="198" spans="1:20" s="214" customFormat="1" x14ac:dyDescent="0.25">
      <c r="A198" s="306">
        <f>'A) Base RI'!A199</f>
        <v>5721</v>
      </c>
      <c r="B198" s="227" t="str">
        <f>'A) Base RI'!B199</f>
        <v>Gland</v>
      </c>
      <c r="C198" s="243">
        <v>0</v>
      </c>
      <c r="D198" s="216">
        <f>'B) D RI'!AA199</f>
        <v>13194</v>
      </c>
      <c r="E198" s="217">
        <f>'B) D RI'!S199</f>
        <v>62.5</v>
      </c>
      <c r="F198" s="10">
        <f>'B) D RI'!R199</f>
        <v>41119152.307009958</v>
      </c>
      <c r="G198" s="10">
        <f>'B) D RI'!U199</f>
        <v>657906.43691215932</v>
      </c>
      <c r="H198" s="41">
        <f>'B) D RI'!T199</f>
        <v>37978482.107009955</v>
      </c>
      <c r="I198" s="10">
        <f t="shared" si="31"/>
        <v>1215311.4274243186</v>
      </c>
      <c r="J198" s="31">
        <f t="shared" si="27"/>
        <v>1123289.0393901595</v>
      </c>
      <c r="K198" s="10">
        <f t="shared" si="28"/>
        <v>1123289.0393901595</v>
      </c>
      <c r="L198" s="10">
        <f t="shared" si="32"/>
        <v>0</v>
      </c>
      <c r="M198" s="10">
        <f>'D) Ecrêtage'!C197</f>
        <v>657906.43691215932</v>
      </c>
      <c r="N198" s="10">
        <f t="shared" si="29"/>
        <v>845473.66964120581</v>
      </c>
      <c r="O198" s="55">
        <f t="shared" si="30"/>
        <v>1968762.7090313653</v>
      </c>
      <c r="P198" s="218"/>
      <c r="Q198" s="219"/>
      <c r="R198" s="215"/>
      <c r="S198" s="215"/>
      <c r="T198" s="220"/>
    </row>
    <row r="199" spans="1:20" s="214" customFormat="1" x14ac:dyDescent="0.25">
      <c r="A199" s="306">
        <f>'A) Base RI'!A200</f>
        <v>5722</v>
      </c>
      <c r="B199" s="227" t="str">
        <f>'A) Base RI'!B200</f>
        <v>Grens</v>
      </c>
      <c r="C199" s="243">
        <v>0</v>
      </c>
      <c r="D199" s="216">
        <f>'B) D RI'!AA200</f>
        <v>383</v>
      </c>
      <c r="E199" s="217">
        <f>'B) D RI'!S200</f>
        <v>62</v>
      </c>
      <c r="F199" s="10">
        <f>'B) D RI'!R200</f>
        <v>1256180.8700000001</v>
      </c>
      <c r="G199" s="10">
        <f>'B) D RI'!U200</f>
        <v>20260.981774193551</v>
      </c>
      <c r="H199" s="41">
        <f>'B) D RI'!T200</f>
        <v>1164422.1200000001</v>
      </c>
      <c r="I199" s="10">
        <f t="shared" si="31"/>
        <v>37562.003870967746</v>
      </c>
      <c r="J199" s="31">
        <f t="shared" si="27"/>
        <v>32607.223138277328</v>
      </c>
      <c r="K199" s="10">
        <f t="shared" si="28"/>
        <v>32607.223138277328</v>
      </c>
      <c r="L199" s="10">
        <f t="shared" si="32"/>
        <v>0</v>
      </c>
      <c r="M199" s="10">
        <f>'D) Ecrêtage'!C198</f>
        <v>20260.981774193551</v>
      </c>
      <c r="N199" s="10">
        <f t="shared" si="29"/>
        <v>26037.329398326205</v>
      </c>
      <c r="O199" s="55">
        <f t="shared" si="30"/>
        <v>58644.552536603529</v>
      </c>
      <c r="P199" s="218"/>
      <c r="Q199" s="219"/>
      <c r="R199" s="215"/>
      <c r="S199" s="215"/>
      <c r="T199" s="220"/>
    </row>
    <row r="200" spans="1:20" s="214" customFormat="1" x14ac:dyDescent="0.25">
      <c r="A200" s="306">
        <f>'A) Base RI'!A201</f>
        <v>5723</v>
      </c>
      <c r="B200" s="227" t="str">
        <f>'A) Base RI'!B201</f>
        <v>Mies</v>
      </c>
      <c r="C200" s="243">
        <v>0</v>
      </c>
      <c r="D200" s="216">
        <f>'B) D RI'!AA201</f>
        <v>2116</v>
      </c>
      <c r="E200" s="217">
        <f>'B) D RI'!S201</f>
        <v>53</v>
      </c>
      <c r="F200" s="10">
        <f>'B) D RI'!R201</f>
        <v>10418978.995330457</v>
      </c>
      <c r="G200" s="10">
        <f>'B) D RI'!U201</f>
        <v>196584.50934585766</v>
      </c>
      <c r="H200" s="41">
        <f>'B) D RI'!T201</f>
        <v>9577727.6953304578</v>
      </c>
      <c r="I200" s="10">
        <f t="shared" si="31"/>
        <v>361423.68661624368</v>
      </c>
      <c r="J200" s="31">
        <f t="shared" si="27"/>
        <v>180148.52261251913</v>
      </c>
      <c r="K200" s="10">
        <f t="shared" si="28"/>
        <v>180148.52261251913</v>
      </c>
      <c r="L200" s="10">
        <f t="shared" si="32"/>
        <v>0</v>
      </c>
      <c r="M200" s="10">
        <f>'D) Ecrêtage'!C199</f>
        <v>196584.50934585766</v>
      </c>
      <c r="N200" s="10">
        <f t="shared" si="29"/>
        <v>252630.18749495744</v>
      </c>
      <c r="O200" s="55">
        <f t="shared" si="30"/>
        <v>432778.71010747657</v>
      </c>
      <c r="P200" s="218"/>
      <c r="Q200" s="219"/>
      <c r="R200" s="215"/>
      <c r="S200" s="215"/>
      <c r="T200" s="220"/>
    </row>
    <row r="201" spans="1:20" s="214" customFormat="1" x14ac:dyDescent="0.25">
      <c r="A201" s="306">
        <f>'A) Base RI'!A202</f>
        <v>5724</v>
      </c>
      <c r="B201" s="227" t="str">
        <f>'A) Base RI'!B202</f>
        <v>Nyon</v>
      </c>
      <c r="C201" s="243">
        <v>1</v>
      </c>
      <c r="D201" s="216">
        <f>'B) D RI'!AA202</f>
        <v>21416</v>
      </c>
      <c r="E201" s="217">
        <f>'B) D RI'!S202</f>
        <v>61</v>
      </c>
      <c r="F201" s="10">
        <f>'B) D RI'!R202</f>
        <v>84501553.688292131</v>
      </c>
      <c r="G201" s="10">
        <f>'B) D RI'!U202</f>
        <v>1385271.3719392153</v>
      </c>
      <c r="H201" s="41">
        <f>'B) D RI'!T202</f>
        <v>78523117.495984435</v>
      </c>
      <c r="I201" s="10">
        <f t="shared" si="31"/>
        <v>2574528.442491293</v>
      </c>
      <c r="J201" s="31">
        <f t="shared" si="27"/>
        <v>1823280.1324526039</v>
      </c>
      <c r="K201" s="10">
        <f t="shared" si="28"/>
        <v>0</v>
      </c>
      <c r="L201" s="10">
        <f t="shared" si="32"/>
        <v>1823280.1324526039</v>
      </c>
      <c r="M201" s="10">
        <f>'D) Ecrêtage'!C200</f>
        <v>1385271.3719392153</v>
      </c>
      <c r="N201" s="10">
        <f t="shared" si="29"/>
        <v>1780208.2554160065</v>
      </c>
      <c r="O201" s="55">
        <f t="shared" si="30"/>
        <v>1780208.2554160065</v>
      </c>
      <c r="P201" s="218"/>
      <c r="Q201" s="219"/>
      <c r="R201" s="215"/>
      <c r="S201" s="215"/>
      <c r="T201" s="220"/>
    </row>
    <row r="202" spans="1:20" s="214" customFormat="1" x14ac:dyDescent="0.25">
      <c r="A202" s="306">
        <f>'A) Base RI'!A203</f>
        <v>5725</v>
      </c>
      <c r="B202" s="227" t="str">
        <f>'A) Base RI'!B203</f>
        <v>Prangins</v>
      </c>
      <c r="C202" s="243">
        <v>1</v>
      </c>
      <c r="D202" s="216">
        <f>'B) D RI'!AA203</f>
        <v>4088</v>
      </c>
      <c r="E202" s="217">
        <f>'B) D RI'!S203</f>
        <v>56</v>
      </c>
      <c r="F202" s="10">
        <f>'B) D RI'!R203</f>
        <v>19194432.451105494</v>
      </c>
      <c r="G202" s="10">
        <f>'B) D RI'!U203</f>
        <v>342757.72234116954</v>
      </c>
      <c r="H202" s="41">
        <f>'B) D RI'!T203</f>
        <v>17960574.858248353</v>
      </c>
      <c r="I202" s="10">
        <f t="shared" si="31"/>
        <v>641449.10208029835</v>
      </c>
      <c r="J202" s="31">
        <f t="shared" si="27"/>
        <v>348037.41041586868</v>
      </c>
      <c r="K202" s="10">
        <f t="shared" si="28"/>
        <v>0</v>
      </c>
      <c r="L202" s="10">
        <f t="shared" si="32"/>
        <v>348037.41041586868</v>
      </c>
      <c r="M202" s="10">
        <f>'D) Ecrêtage'!C201</f>
        <v>342757.72234116954</v>
      </c>
      <c r="N202" s="10">
        <f t="shared" si="29"/>
        <v>440476.96305537428</v>
      </c>
      <c r="O202" s="55">
        <f t="shared" si="30"/>
        <v>440476.96305537428</v>
      </c>
      <c r="P202" s="218"/>
      <c r="Q202" s="219"/>
      <c r="R202" s="215"/>
      <c r="S202" s="215"/>
      <c r="T202" s="220"/>
    </row>
    <row r="203" spans="1:20" s="214" customFormat="1" x14ac:dyDescent="0.25">
      <c r="A203" s="306">
        <f>'A) Base RI'!A204</f>
        <v>5726</v>
      </c>
      <c r="B203" s="227" t="str">
        <f>'A) Base RI'!B204</f>
        <v>La Rippe</v>
      </c>
      <c r="C203" s="243">
        <v>0</v>
      </c>
      <c r="D203" s="216">
        <f>'B) D RI'!AA204</f>
        <v>1136</v>
      </c>
      <c r="E203" s="217">
        <f>'B) D RI'!S204</f>
        <v>65</v>
      </c>
      <c r="F203" s="10">
        <f>'B) D RI'!R204</f>
        <v>3981835.4647802943</v>
      </c>
      <c r="G203" s="10">
        <f>'B) D RI'!U204</f>
        <v>61259.007150466066</v>
      </c>
      <c r="H203" s="41">
        <f>'B) D RI'!T204</f>
        <v>3719106.0647802944</v>
      </c>
      <c r="I203" s="10">
        <f t="shared" si="31"/>
        <v>114434.0327624706</v>
      </c>
      <c r="J203" s="31">
        <f t="shared" si="27"/>
        <v>96714.89682789307</v>
      </c>
      <c r="K203" s="10">
        <f t="shared" si="28"/>
        <v>96714.89682789307</v>
      </c>
      <c r="L203" s="10">
        <f t="shared" si="32"/>
        <v>0</v>
      </c>
      <c r="M203" s="10">
        <f>'D) Ecrêtage'!C202</f>
        <v>61259.007150466066</v>
      </c>
      <c r="N203" s="10">
        <f t="shared" si="29"/>
        <v>78723.773880626381</v>
      </c>
      <c r="O203" s="55">
        <f t="shared" si="30"/>
        <v>175438.67070851946</v>
      </c>
      <c r="P203" s="218"/>
      <c r="Q203" s="219"/>
      <c r="R203" s="215"/>
      <c r="S203" s="215"/>
      <c r="T203" s="220"/>
    </row>
    <row r="204" spans="1:20" s="214" customFormat="1" x14ac:dyDescent="0.25">
      <c r="A204" s="306">
        <f>'A) Base RI'!A205</f>
        <v>5727</v>
      </c>
      <c r="B204" s="227" t="str">
        <f>'A) Base RI'!B205</f>
        <v>Saint-Cergue</v>
      </c>
      <c r="C204" s="243">
        <v>0</v>
      </c>
      <c r="D204" s="216">
        <f>'B) D RI'!AA205</f>
        <v>2603</v>
      </c>
      <c r="E204" s="217">
        <f>'B) D RI'!S205</f>
        <v>66</v>
      </c>
      <c r="F204" s="10">
        <f>'B) D RI'!R205</f>
        <v>6338181.9381364342</v>
      </c>
      <c r="G204" s="10">
        <f>'B) D RI'!U205</f>
        <v>96033.059668733855</v>
      </c>
      <c r="H204" s="41">
        <f>'B) D RI'!T205</f>
        <v>5816857.1214697668</v>
      </c>
      <c r="I204" s="10">
        <f t="shared" si="31"/>
        <v>176268.39762029596</v>
      </c>
      <c r="J204" s="31">
        <f t="shared" si="27"/>
        <v>221609.9264463078</v>
      </c>
      <c r="K204" s="10">
        <f t="shared" si="28"/>
        <v>176268.39762029596</v>
      </c>
      <c r="L204" s="10">
        <f t="shared" si="32"/>
        <v>45341.52882601184</v>
      </c>
      <c r="M204" s="10">
        <f>'D) Ecrêtage'!C203</f>
        <v>96033.059668733855</v>
      </c>
      <c r="N204" s="10">
        <f t="shared" si="29"/>
        <v>123411.80874604799</v>
      </c>
      <c r="O204" s="55">
        <f t="shared" si="30"/>
        <v>299680.20636634395</v>
      </c>
      <c r="P204" s="218"/>
      <c r="Q204" s="219"/>
      <c r="R204" s="215"/>
      <c r="S204" s="215"/>
      <c r="T204" s="220"/>
    </row>
    <row r="205" spans="1:20" s="214" customFormat="1" x14ac:dyDescent="0.25">
      <c r="A205" s="306">
        <f>'A) Base RI'!A206</f>
        <v>5728</v>
      </c>
      <c r="B205" s="227" t="str">
        <f>'A) Base RI'!B206</f>
        <v>Signy-Avenex</v>
      </c>
      <c r="C205" s="243">
        <v>0</v>
      </c>
      <c r="D205" s="216">
        <f>'B) D RI'!AA206</f>
        <v>586</v>
      </c>
      <c r="E205" s="217">
        <f>'B) D RI'!S206</f>
        <v>58</v>
      </c>
      <c r="F205" s="10">
        <f>'B) D RI'!R206</f>
        <v>2518650.9564674683</v>
      </c>
      <c r="G205" s="10">
        <f>'B) D RI'!U206</f>
        <v>43425.016490818416</v>
      </c>
      <c r="H205" s="41">
        <f>'B) D RI'!T206</f>
        <v>2249002.1064674682</v>
      </c>
      <c r="I205" s="10">
        <f t="shared" si="31"/>
        <v>77551.796774740287</v>
      </c>
      <c r="J205" s="31">
        <f t="shared" si="27"/>
        <v>49889.902765092724</v>
      </c>
      <c r="K205" s="10">
        <f t="shared" si="28"/>
        <v>49889.902765092724</v>
      </c>
      <c r="L205" s="10">
        <f t="shared" si="32"/>
        <v>0</v>
      </c>
      <c r="M205" s="10">
        <f>'D) Ecrêtage'!C204</f>
        <v>43425.016490818416</v>
      </c>
      <c r="N205" s="10">
        <f t="shared" si="29"/>
        <v>55805.363782485845</v>
      </c>
      <c r="O205" s="55">
        <f t="shared" si="30"/>
        <v>105695.26654757856</v>
      </c>
      <c r="P205" s="218"/>
      <c r="Q205" s="219"/>
      <c r="R205" s="215"/>
      <c r="S205" s="215"/>
      <c r="T205" s="220"/>
    </row>
    <row r="206" spans="1:20" s="214" customFormat="1" x14ac:dyDescent="0.25">
      <c r="A206" s="306">
        <f>'A) Base RI'!A207</f>
        <v>5729</v>
      </c>
      <c r="B206" s="227" t="str">
        <f>'A) Base RI'!B207</f>
        <v>Tannay</v>
      </c>
      <c r="C206" s="243">
        <v>0</v>
      </c>
      <c r="D206" s="216">
        <f>'B) D RI'!AA207</f>
        <v>1600</v>
      </c>
      <c r="E206" s="217">
        <f>'B) D RI'!S207</f>
        <v>61</v>
      </c>
      <c r="F206" s="10">
        <f>'B) D RI'!R207</f>
        <v>10783892.568607032</v>
      </c>
      <c r="G206" s="10">
        <f>'B) D RI'!U207</f>
        <v>176785.12407552512</v>
      </c>
      <c r="H206" s="41">
        <f>'B) D RI'!T207</f>
        <v>10224585.601940366</v>
      </c>
      <c r="I206" s="10">
        <f t="shared" si="31"/>
        <v>335232.31481771689</v>
      </c>
      <c r="J206" s="31">
        <f t="shared" si="27"/>
        <v>136218.16454632825</v>
      </c>
      <c r="K206" s="10">
        <f t="shared" si="28"/>
        <v>136218.16454632825</v>
      </c>
      <c r="L206" s="10">
        <f t="shared" si="32"/>
        <v>0</v>
      </c>
      <c r="M206" s="10">
        <f>'D) Ecrêtage'!C205</f>
        <v>176785.12407552512</v>
      </c>
      <c r="N206" s="10">
        <f t="shared" si="29"/>
        <v>227186.05443598403</v>
      </c>
      <c r="O206" s="55">
        <f t="shared" si="30"/>
        <v>363404.21898231225</v>
      </c>
      <c r="P206" s="218"/>
      <c r="Q206" s="219"/>
      <c r="R206" s="215"/>
      <c r="S206" s="215"/>
      <c r="T206" s="220"/>
    </row>
    <row r="207" spans="1:20" s="214" customFormat="1" x14ac:dyDescent="0.25">
      <c r="A207" s="306">
        <f>'A) Base RI'!A208</f>
        <v>5730</v>
      </c>
      <c r="B207" s="227" t="str">
        <f>'A) Base RI'!B208</f>
        <v>Trélex</v>
      </c>
      <c r="C207" s="243">
        <v>0</v>
      </c>
      <c r="D207" s="216">
        <f>'B) D RI'!AA208</f>
        <v>1434</v>
      </c>
      <c r="E207" s="217">
        <f>'B) D RI'!S208</f>
        <v>57</v>
      </c>
      <c r="F207" s="10">
        <f>'B) D RI'!R208</f>
        <v>7660215.4382303394</v>
      </c>
      <c r="G207" s="10">
        <f>'B) D RI'!U208</f>
        <v>134389.74453035684</v>
      </c>
      <c r="H207" s="41">
        <f>'B) D RI'!T208</f>
        <v>7235898.2937858952</v>
      </c>
      <c r="I207" s="10">
        <f t="shared" si="31"/>
        <v>253891.16820301386</v>
      </c>
      <c r="J207" s="31">
        <f t="shared" si="27"/>
        <v>122085.52997464671</v>
      </c>
      <c r="K207" s="10">
        <f t="shared" si="28"/>
        <v>122085.52997464671</v>
      </c>
      <c r="L207" s="10">
        <f t="shared" si="32"/>
        <v>0</v>
      </c>
      <c r="M207" s="10">
        <f>'D) Ecrêtage'!C206</f>
        <v>134389.74453035684</v>
      </c>
      <c r="N207" s="10">
        <f t="shared" si="29"/>
        <v>172703.87413065453</v>
      </c>
      <c r="O207" s="55">
        <f t="shared" si="30"/>
        <v>294789.40410530125</v>
      </c>
      <c r="P207" s="218"/>
      <c r="Q207" s="219"/>
      <c r="R207" s="215"/>
      <c r="S207" s="215"/>
      <c r="T207" s="220"/>
    </row>
    <row r="208" spans="1:20" s="214" customFormat="1" x14ac:dyDescent="0.25">
      <c r="A208" s="306">
        <f>'A) Base RI'!A209</f>
        <v>5731</v>
      </c>
      <c r="B208" s="227" t="str">
        <f>'A) Base RI'!B209</f>
        <v>Le Vaud</v>
      </c>
      <c r="C208" s="243">
        <v>0</v>
      </c>
      <c r="D208" s="216">
        <f>'B) D RI'!AA209</f>
        <v>1362</v>
      </c>
      <c r="E208" s="217">
        <f>'B) D RI'!S209</f>
        <v>75</v>
      </c>
      <c r="F208" s="10">
        <f>'B) D RI'!R209</f>
        <v>4646358.5207571872</v>
      </c>
      <c r="G208" s="10">
        <f>'B) D RI'!U209</f>
        <v>61951.44694342916</v>
      </c>
      <c r="H208" s="41">
        <f>'B) D RI'!T209</f>
        <v>4378390.820757187</v>
      </c>
      <c r="I208" s="10">
        <f t="shared" si="31"/>
        <v>116757.08855352498</v>
      </c>
      <c r="J208" s="31">
        <f t="shared" si="27"/>
        <v>115955.71257006194</v>
      </c>
      <c r="K208" s="10">
        <f t="shared" si="28"/>
        <v>115955.71257006194</v>
      </c>
      <c r="L208" s="10">
        <f t="shared" si="32"/>
        <v>0</v>
      </c>
      <c r="M208" s="10">
        <f>'D) Ecrêtage'!C207</f>
        <v>61951.44694342916</v>
      </c>
      <c r="N208" s="10">
        <f t="shared" si="29"/>
        <v>79613.626266795181</v>
      </c>
      <c r="O208" s="55">
        <f t="shared" si="30"/>
        <v>195569.33883685712</v>
      </c>
      <c r="P208" s="218"/>
      <c r="Q208" s="219"/>
      <c r="R208" s="215"/>
      <c r="S208" s="215"/>
      <c r="T208" s="220"/>
    </row>
    <row r="209" spans="1:20" s="214" customFormat="1" x14ac:dyDescent="0.25">
      <c r="A209" s="306">
        <f>'A) Base RI'!A210</f>
        <v>5732</v>
      </c>
      <c r="B209" s="227" t="str">
        <f>'A) Base RI'!B210</f>
        <v>Vich</v>
      </c>
      <c r="C209" s="243">
        <v>0</v>
      </c>
      <c r="D209" s="216">
        <f>'B) D RI'!AA210</f>
        <v>1083</v>
      </c>
      <c r="E209" s="217">
        <f>'B) D RI'!S210</f>
        <v>66</v>
      </c>
      <c r="F209" s="10">
        <f>'B) D RI'!R210</f>
        <v>4130962.7</v>
      </c>
      <c r="G209" s="10">
        <f>'B) D RI'!U210</f>
        <v>62590.343939393941</v>
      </c>
      <c r="H209" s="41">
        <f>'B) D RI'!T210</f>
        <v>3749322.0500000003</v>
      </c>
      <c r="I209" s="10">
        <f t="shared" si="31"/>
        <v>113615.8196969697</v>
      </c>
      <c r="J209" s="31">
        <f t="shared" si="27"/>
        <v>92202.670127295947</v>
      </c>
      <c r="K209" s="10">
        <f t="shared" si="28"/>
        <v>92202.670127295947</v>
      </c>
      <c r="L209" s="10">
        <f t="shared" si="32"/>
        <v>0</v>
      </c>
      <c r="M209" s="10">
        <f>'D) Ecrêtage'!C208</f>
        <v>62590.343939393941</v>
      </c>
      <c r="N209" s="10">
        <f t="shared" si="29"/>
        <v>80434.670958554605</v>
      </c>
      <c r="O209" s="55">
        <f t="shared" si="30"/>
        <v>172637.34108585055</v>
      </c>
      <c r="P209" s="218"/>
      <c r="Q209" s="219"/>
      <c r="R209" s="215"/>
      <c r="S209" s="215"/>
      <c r="T209" s="220"/>
    </row>
    <row r="210" spans="1:20" s="214" customFormat="1" x14ac:dyDescent="0.25">
      <c r="A210" s="306">
        <f>'A) Base RI'!A211</f>
        <v>5741</v>
      </c>
      <c r="B210" s="227" t="str">
        <f>'A) Base RI'!B211</f>
        <v>L'Abergement</v>
      </c>
      <c r="C210" s="243">
        <v>0</v>
      </c>
      <c r="D210" s="216">
        <f>'B) D RI'!AA211</f>
        <v>244</v>
      </c>
      <c r="E210" s="217">
        <f>'B) D RI'!S211</f>
        <v>81</v>
      </c>
      <c r="F210" s="10">
        <f>'B) D RI'!R211</f>
        <v>578042.346772886</v>
      </c>
      <c r="G210" s="10">
        <f>'B) D RI'!U211</f>
        <v>7136.3252688010616</v>
      </c>
      <c r="H210" s="41">
        <f>'B) D RI'!T211</f>
        <v>537972.346772886</v>
      </c>
      <c r="I210" s="10">
        <f t="shared" si="31"/>
        <v>13283.267821552741</v>
      </c>
      <c r="J210" s="31">
        <f t="shared" si="27"/>
        <v>20773.270093315059</v>
      </c>
      <c r="K210" s="10">
        <f t="shared" si="28"/>
        <v>13283.267821552741</v>
      </c>
      <c r="L210" s="10">
        <f t="shared" si="32"/>
        <v>7490.0022717623178</v>
      </c>
      <c r="M210" s="10">
        <f>'D) Ecrêtage'!C209</f>
        <v>7136.3252688010616</v>
      </c>
      <c r="N210" s="10">
        <f t="shared" si="29"/>
        <v>9170.8710756573328</v>
      </c>
      <c r="O210" s="55">
        <f t="shared" si="30"/>
        <v>22454.138897210076</v>
      </c>
      <c r="P210" s="218"/>
      <c r="Q210" s="219"/>
      <c r="R210" s="215"/>
      <c r="S210" s="215"/>
      <c r="T210" s="220"/>
    </row>
    <row r="211" spans="1:20" s="214" customFormat="1" x14ac:dyDescent="0.25">
      <c r="A211" s="306">
        <f>'A) Base RI'!A212</f>
        <v>5742</v>
      </c>
      <c r="B211" s="227" t="str">
        <f>'A) Base RI'!B212</f>
        <v>Agiez</v>
      </c>
      <c r="C211" s="243">
        <v>0</v>
      </c>
      <c r="D211" s="216">
        <f>'B) D RI'!AA212</f>
        <v>354</v>
      </c>
      <c r="E211" s="217">
        <f>'B) D RI'!S212</f>
        <v>76</v>
      </c>
      <c r="F211" s="10">
        <f>'B) D RI'!R212</f>
        <v>684936.89491154463</v>
      </c>
      <c r="G211" s="10">
        <f>'B) D RI'!U212</f>
        <v>9012.3275646255879</v>
      </c>
      <c r="H211" s="41">
        <f>'B) D RI'!T212</f>
        <v>631803.99491154461</v>
      </c>
      <c r="I211" s="10">
        <f t="shared" si="31"/>
        <v>16626.42091872486</v>
      </c>
      <c r="J211" s="31">
        <f t="shared" si="27"/>
        <v>30138.268905875128</v>
      </c>
      <c r="K211" s="10">
        <f t="shared" si="28"/>
        <v>16626.42091872486</v>
      </c>
      <c r="L211" s="10">
        <f t="shared" si="32"/>
        <v>13511.847987150268</v>
      </c>
      <c r="M211" s="10">
        <f>'D) Ecrêtage'!C210</f>
        <v>9012.3275646255879</v>
      </c>
      <c r="N211" s="10">
        <f t="shared" si="29"/>
        <v>11581.716229795657</v>
      </c>
      <c r="O211" s="55">
        <f t="shared" si="30"/>
        <v>28208.137148520516</v>
      </c>
      <c r="P211" s="218"/>
      <c r="Q211" s="219"/>
      <c r="R211" s="215"/>
      <c r="S211" s="215"/>
      <c r="T211" s="220"/>
    </row>
    <row r="212" spans="1:20" s="214" customFormat="1" x14ac:dyDescent="0.25">
      <c r="A212" s="306">
        <f>'A) Base RI'!A213</f>
        <v>5743</v>
      </c>
      <c r="B212" s="227" t="str">
        <f>'A) Base RI'!B213</f>
        <v>Arnex-sur-Orbe</v>
      </c>
      <c r="C212" s="243">
        <v>0</v>
      </c>
      <c r="D212" s="216">
        <f>'B) D RI'!AA213</f>
        <v>633</v>
      </c>
      <c r="E212" s="217">
        <f>'B) D RI'!S213</f>
        <v>73</v>
      </c>
      <c r="F212" s="10">
        <f>'B) D RI'!R213</f>
        <v>1385929.9052691564</v>
      </c>
      <c r="G212" s="10">
        <f>'B) D RI'!U213</f>
        <v>18985.341168070638</v>
      </c>
      <c r="H212" s="41">
        <f>'B) D RI'!T213</f>
        <v>1300259.8427691564</v>
      </c>
      <c r="I212" s="10">
        <f t="shared" si="31"/>
        <v>35623.557336141275</v>
      </c>
      <c r="J212" s="31">
        <f t="shared" si="27"/>
        <v>53891.311348641117</v>
      </c>
      <c r="K212" s="10">
        <f t="shared" si="28"/>
        <v>35623.557336141275</v>
      </c>
      <c r="L212" s="10">
        <f t="shared" si="32"/>
        <v>18267.754012499841</v>
      </c>
      <c r="M212" s="10">
        <f>'D) Ecrêtage'!C211</f>
        <v>18985.341168070638</v>
      </c>
      <c r="N212" s="10">
        <f t="shared" si="29"/>
        <v>24398.007324713373</v>
      </c>
      <c r="O212" s="55">
        <f t="shared" si="30"/>
        <v>60021.564660854652</v>
      </c>
      <c r="P212" s="218"/>
      <c r="Q212" s="219"/>
      <c r="R212" s="215"/>
      <c r="S212" s="215"/>
      <c r="T212" s="220"/>
    </row>
    <row r="213" spans="1:20" s="214" customFormat="1" x14ac:dyDescent="0.25">
      <c r="A213" s="306">
        <f>'A) Base RI'!A214</f>
        <v>5744</v>
      </c>
      <c r="B213" s="227" t="str">
        <f>'A) Base RI'!B214</f>
        <v>Ballaigues</v>
      </c>
      <c r="C213" s="243">
        <v>0</v>
      </c>
      <c r="D213" s="216">
        <f>'B) D RI'!AA214</f>
        <v>1108</v>
      </c>
      <c r="E213" s="217">
        <f>'B) D RI'!S214</f>
        <v>66</v>
      </c>
      <c r="F213" s="10">
        <f>'B) D RI'!R214</f>
        <v>3950312.4321591728</v>
      </c>
      <c r="G213" s="10">
        <f>'B) D RI'!U214</f>
        <v>59853.218669078378</v>
      </c>
      <c r="H213" s="41">
        <f>'B) D RI'!T214</f>
        <v>3770065.2821591729</v>
      </c>
      <c r="I213" s="10">
        <f t="shared" si="31"/>
        <v>114244.40248967191</v>
      </c>
      <c r="J213" s="31">
        <f t="shared" si="27"/>
        <v>94331.078948332317</v>
      </c>
      <c r="K213" s="10">
        <f t="shared" si="28"/>
        <v>94331.078948332317</v>
      </c>
      <c r="L213" s="10">
        <f t="shared" si="32"/>
        <v>0</v>
      </c>
      <c r="M213" s="10">
        <f>'D) Ecrêtage'!C212</f>
        <v>59853.218669078378</v>
      </c>
      <c r="N213" s="10">
        <f t="shared" si="29"/>
        <v>76917.199146874569</v>
      </c>
      <c r="O213" s="55">
        <f t="shared" si="30"/>
        <v>171248.27809520689</v>
      </c>
      <c r="P213" s="218"/>
      <c r="Q213" s="219"/>
      <c r="R213" s="215"/>
      <c r="S213" s="215"/>
      <c r="T213" s="220"/>
    </row>
    <row r="214" spans="1:20" s="214" customFormat="1" x14ac:dyDescent="0.25">
      <c r="A214" s="306">
        <f>'A) Base RI'!A215</f>
        <v>5745</v>
      </c>
      <c r="B214" s="227" t="str">
        <f>'A) Base RI'!B215</f>
        <v>Baulmes</v>
      </c>
      <c r="C214" s="243">
        <v>0</v>
      </c>
      <c r="D214" s="216">
        <f>'B) D RI'!AA215</f>
        <v>1042</v>
      </c>
      <c r="E214" s="217">
        <f>'B) D RI'!S215</f>
        <v>78</v>
      </c>
      <c r="F214" s="10">
        <f>'B) D RI'!R215</f>
        <v>2159697.3291129149</v>
      </c>
      <c r="G214" s="10">
        <f>'B) D RI'!U215</f>
        <v>27688.42729631942</v>
      </c>
      <c r="H214" s="41">
        <f>'B) D RI'!T215</f>
        <v>2028151.2291129148</v>
      </c>
      <c r="I214" s="10">
        <f t="shared" si="31"/>
        <v>52003.877669561916</v>
      </c>
      <c r="J214" s="31">
        <f t="shared" si="27"/>
        <v>88712.079660796284</v>
      </c>
      <c r="K214" s="10">
        <f t="shared" si="28"/>
        <v>52003.877669561916</v>
      </c>
      <c r="L214" s="10">
        <f t="shared" si="32"/>
        <v>36708.201991234368</v>
      </c>
      <c r="M214" s="10">
        <f>'D) Ecrêtage'!C213</f>
        <v>27688.42729631942</v>
      </c>
      <c r="N214" s="10">
        <f t="shared" si="29"/>
        <v>35582.318274138554</v>
      </c>
      <c r="O214" s="55">
        <f t="shared" si="30"/>
        <v>87586.19594370047</v>
      </c>
      <c r="P214" s="218"/>
      <c r="Q214" s="219"/>
      <c r="R214" s="215"/>
      <c r="S214" s="215"/>
      <c r="T214" s="220"/>
    </row>
    <row r="215" spans="1:20" s="214" customFormat="1" x14ac:dyDescent="0.25">
      <c r="A215" s="306">
        <f>'A) Base RI'!A216</f>
        <v>5746</v>
      </c>
      <c r="B215" s="227" t="str">
        <f>'A) Base RI'!B216</f>
        <v>Bavois</v>
      </c>
      <c r="C215" s="243">
        <v>0</v>
      </c>
      <c r="D215" s="216">
        <f>'B) D RI'!AA216</f>
        <v>952</v>
      </c>
      <c r="E215" s="217">
        <f>'B) D RI'!S216</f>
        <v>73</v>
      </c>
      <c r="F215" s="10">
        <f>'B) D RI'!R216</f>
        <v>1913334.7381375823</v>
      </c>
      <c r="G215" s="10">
        <f>'B) D RI'!U216</f>
        <v>26210.064905994277</v>
      </c>
      <c r="H215" s="41">
        <f>'B) D RI'!T216</f>
        <v>1737234.3214709156</v>
      </c>
      <c r="I215" s="10">
        <f t="shared" si="31"/>
        <v>47595.460862216867</v>
      </c>
      <c r="J215" s="31">
        <f t="shared" si="27"/>
        <v>81049.807905065318</v>
      </c>
      <c r="K215" s="10">
        <f t="shared" si="28"/>
        <v>47595.460862216867</v>
      </c>
      <c r="L215" s="10">
        <f t="shared" si="32"/>
        <v>33454.347042848451</v>
      </c>
      <c r="M215" s="10">
        <f>'D) Ecrêtage'!C214</f>
        <v>26210.064905994277</v>
      </c>
      <c r="N215" s="10">
        <f t="shared" si="29"/>
        <v>33682.479018766404</v>
      </c>
      <c r="O215" s="55">
        <f t="shared" si="30"/>
        <v>81277.939880983264</v>
      </c>
      <c r="P215" s="218"/>
      <c r="Q215" s="219"/>
      <c r="R215" s="215"/>
      <c r="S215" s="215"/>
      <c r="T215" s="220"/>
    </row>
    <row r="216" spans="1:20" s="214" customFormat="1" x14ac:dyDescent="0.25">
      <c r="A216" s="306">
        <f>'A) Base RI'!A217</f>
        <v>5747</v>
      </c>
      <c r="B216" s="227" t="str">
        <f>'A) Base RI'!B217</f>
        <v>Bofflens</v>
      </c>
      <c r="C216" s="243">
        <v>0</v>
      </c>
      <c r="D216" s="216">
        <f>'B) D RI'!AA217</f>
        <v>194</v>
      </c>
      <c r="E216" s="217">
        <f>'B) D RI'!S217</f>
        <v>69</v>
      </c>
      <c r="F216" s="10">
        <f>'B) D RI'!R217</f>
        <v>408397.75406198454</v>
      </c>
      <c r="G216" s="10">
        <f>'B) D RI'!U217</f>
        <v>5918.808029883834</v>
      </c>
      <c r="H216" s="41">
        <f>'B) D RI'!T217</f>
        <v>376749.15406198456</v>
      </c>
      <c r="I216" s="10">
        <f t="shared" si="31"/>
        <v>10920.265335129987</v>
      </c>
      <c r="J216" s="31">
        <f t="shared" si="27"/>
        <v>16516.452451242301</v>
      </c>
      <c r="K216" s="10">
        <f t="shared" si="28"/>
        <v>10920.265335129987</v>
      </c>
      <c r="L216" s="10">
        <f t="shared" si="32"/>
        <v>5596.1871161123145</v>
      </c>
      <c r="M216" s="10">
        <f>'D) Ecrêtage'!C215</f>
        <v>5918.808029883834</v>
      </c>
      <c r="N216" s="10">
        <f t="shared" si="29"/>
        <v>7606.2431740515995</v>
      </c>
      <c r="O216" s="55">
        <f t="shared" si="30"/>
        <v>18526.508509181585</v>
      </c>
      <c r="P216" s="218"/>
      <c r="Q216" s="219"/>
      <c r="R216" s="215"/>
      <c r="S216" s="215"/>
      <c r="T216" s="220"/>
    </row>
    <row r="217" spans="1:20" s="214" customFormat="1" x14ac:dyDescent="0.25">
      <c r="A217" s="306">
        <f>'A) Base RI'!A218</f>
        <v>5748</v>
      </c>
      <c r="B217" s="227" t="str">
        <f>'A) Base RI'!B218</f>
        <v>Bretonnières</v>
      </c>
      <c r="C217" s="243">
        <v>0</v>
      </c>
      <c r="D217" s="216">
        <f>'B) D RI'!AA218</f>
        <v>269</v>
      </c>
      <c r="E217" s="217">
        <f>'B) D RI'!S218</f>
        <v>72</v>
      </c>
      <c r="F217" s="10">
        <f>'B) D RI'!R218</f>
        <v>526308.42301545513</v>
      </c>
      <c r="G217" s="10">
        <f>'B) D RI'!U218</f>
        <v>7309.8392085479882</v>
      </c>
      <c r="H217" s="41">
        <f>'B) D RI'!T218</f>
        <v>487711.50634878851</v>
      </c>
      <c r="I217" s="10">
        <f t="shared" si="31"/>
        <v>13547.541843021903</v>
      </c>
      <c r="J217" s="31">
        <f t="shared" si="27"/>
        <v>22901.67891435144</v>
      </c>
      <c r="K217" s="10">
        <f t="shared" si="28"/>
        <v>13547.541843021903</v>
      </c>
      <c r="L217" s="10">
        <f t="shared" si="32"/>
        <v>9354.1370713295364</v>
      </c>
      <c r="M217" s="10">
        <f>'D) Ecrêtage'!C216</f>
        <v>7309.8392085479882</v>
      </c>
      <c r="N217" s="10">
        <f t="shared" si="29"/>
        <v>9393.8533405220314</v>
      </c>
      <c r="O217" s="55">
        <f t="shared" si="30"/>
        <v>22941.395183543937</v>
      </c>
      <c r="P217" s="218"/>
      <c r="Q217" s="219"/>
      <c r="R217" s="215"/>
      <c r="S217" s="215"/>
      <c r="T217" s="220"/>
    </row>
    <row r="218" spans="1:20" s="214" customFormat="1" x14ac:dyDescent="0.25">
      <c r="A218" s="306">
        <f>'A) Base RI'!A219</f>
        <v>5749</v>
      </c>
      <c r="B218" s="227" t="str">
        <f>'A) Base RI'!B219</f>
        <v>Chavornay</v>
      </c>
      <c r="C218" s="243">
        <v>0</v>
      </c>
      <c r="D218" s="216">
        <f>'B) D RI'!AA219</f>
        <v>5135</v>
      </c>
      <c r="E218" s="217">
        <f>'B) D RI'!S219</f>
        <v>72</v>
      </c>
      <c r="F218" s="10">
        <f>'B) D RI'!R219</f>
        <v>9535488.0382539704</v>
      </c>
      <c r="G218" s="10">
        <f>'B) D RI'!U219</f>
        <v>132437.33386463847</v>
      </c>
      <c r="H218" s="41">
        <f>'B) D RI'!T219</f>
        <v>8642336.8882539719</v>
      </c>
      <c r="I218" s="10">
        <f t="shared" ref="I218" si="33">+H218/E218*$I$5</f>
        <v>240064.91356261034</v>
      </c>
      <c r="J218" s="31">
        <f t="shared" ref="J218" si="34">+$I$314/$D$314*D218</f>
        <v>437175.17184087227</v>
      </c>
      <c r="K218" s="10">
        <f t="shared" ref="K218" si="35">IF(C218=1,0,IF(J218&gt;I218,I218,J218))</f>
        <v>240064.91356261034</v>
      </c>
      <c r="L218" s="10">
        <f t="shared" ref="L218" si="36">+J218-K218</f>
        <v>197110.25827826193</v>
      </c>
      <c r="M218" s="10">
        <f>'D) Ecrêtage'!C217</f>
        <v>132437.33386463847</v>
      </c>
      <c r="N218" s="10">
        <f t="shared" ref="N218" si="37">+$N$5*M218</f>
        <v>170194.83680015043</v>
      </c>
      <c r="O218" s="55">
        <f t="shared" ref="O218" si="38">+N218+K218</f>
        <v>410259.75036276074</v>
      </c>
      <c r="P218" s="218"/>
      <c r="Q218" s="219"/>
      <c r="R218" s="215"/>
      <c r="S218" s="215"/>
      <c r="T218" s="220"/>
    </row>
    <row r="219" spans="1:20" s="214" customFormat="1" x14ac:dyDescent="0.25">
      <c r="A219" s="306">
        <f>'A) Base RI'!A220</f>
        <v>5750</v>
      </c>
      <c r="B219" s="227" t="str">
        <f>'A) Base RI'!B220</f>
        <v>Les Clées</v>
      </c>
      <c r="C219" s="243">
        <v>0</v>
      </c>
      <c r="D219" s="216">
        <f>'B) D RI'!AA220</f>
        <v>185</v>
      </c>
      <c r="E219" s="217">
        <f>'B) D RI'!S220</f>
        <v>80</v>
      </c>
      <c r="F219" s="10">
        <f>'B) D RI'!R220</f>
        <v>403648.64176376304</v>
      </c>
      <c r="G219" s="10">
        <f>'B) D RI'!U220</f>
        <v>5045.6080220470376</v>
      </c>
      <c r="H219" s="41">
        <f>'B) D RI'!T220</f>
        <v>380169.47509709635</v>
      </c>
      <c r="I219" s="10">
        <f t="shared" si="31"/>
        <v>9504.2368774274091</v>
      </c>
      <c r="J219" s="31">
        <f t="shared" ref="J219:J242" si="39">+$I$314/$D$314*D219</f>
        <v>15750.225275669205</v>
      </c>
      <c r="K219" s="10">
        <f t="shared" si="28"/>
        <v>9504.2368774274091</v>
      </c>
      <c r="L219" s="10">
        <f t="shared" si="32"/>
        <v>6245.9883982417959</v>
      </c>
      <c r="M219" s="10">
        <f>'D) Ecrêtage'!C218</f>
        <v>5045.6080220470376</v>
      </c>
      <c r="N219" s="10">
        <f t="shared" si="29"/>
        <v>6484.096355696217</v>
      </c>
      <c r="O219" s="55">
        <f t="shared" si="30"/>
        <v>15988.333233123627</v>
      </c>
      <c r="P219" s="218"/>
      <c r="Q219" s="219"/>
      <c r="R219" s="215"/>
      <c r="S219" s="215"/>
      <c r="T219" s="220"/>
    </row>
    <row r="220" spans="1:20" s="214" customFormat="1" x14ac:dyDescent="0.25">
      <c r="A220" s="306">
        <f>'A) Base RI'!A221</f>
        <v>5752</v>
      </c>
      <c r="B220" s="227" t="str">
        <f>'A) Base RI'!B221</f>
        <v>Croy</v>
      </c>
      <c r="C220" s="243">
        <v>0</v>
      </c>
      <c r="D220" s="216">
        <f>'B) D RI'!AA221</f>
        <v>403</v>
      </c>
      <c r="E220" s="217">
        <f>'B) D RI'!S221</f>
        <v>74</v>
      </c>
      <c r="F220" s="10">
        <f>'B) D RI'!R221</f>
        <v>718419.33393106807</v>
      </c>
      <c r="G220" s="10">
        <f>'B) D RI'!U221</f>
        <v>9708.3693774468666</v>
      </c>
      <c r="H220" s="41">
        <f>'B) D RI'!T221</f>
        <v>657023.07678821089</v>
      </c>
      <c r="I220" s="10">
        <f t="shared" si="31"/>
        <v>17757.38045373543</v>
      </c>
      <c r="J220" s="31">
        <f t="shared" si="39"/>
        <v>34309.95019510643</v>
      </c>
      <c r="K220" s="10">
        <f t="shared" si="28"/>
        <v>17757.38045373543</v>
      </c>
      <c r="L220" s="10">
        <f t="shared" si="32"/>
        <v>16552.569741371</v>
      </c>
      <c r="M220" s="10">
        <f>'D) Ecrêtage'!C219</f>
        <v>9708.3693774468666</v>
      </c>
      <c r="N220" s="10">
        <f t="shared" si="29"/>
        <v>12476.19756132319</v>
      </c>
      <c r="O220" s="55">
        <f t="shared" si="30"/>
        <v>30233.578015058622</v>
      </c>
      <c r="P220" s="218"/>
      <c r="Q220" s="219"/>
      <c r="R220" s="215"/>
      <c r="S220" s="215"/>
      <c r="T220" s="220"/>
    </row>
    <row r="221" spans="1:20" s="214" customFormat="1" x14ac:dyDescent="0.25">
      <c r="A221" s="306">
        <f>'A) Base RI'!A222</f>
        <v>5754</v>
      </c>
      <c r="B221" s="227" t="str">
        <f>'A) Base RI'!B222</f>
        <v>Juriens</v>
      </c>
      <c r="C221" s="243">
        <v>0</v>
      </c>
      <c r="D221" s="216">
        <f>'B) D RI'!AA222</f>
        <v>328</v>
      </c>
      <c r="E221" s="217">
        <f>'B) D RI'!S222</f>
        <v>79</v>
      </c>
      <c r="F221" s="10">
        <f>'B) D RI'!R222</f>
        <v>729648.38184090704</v>
      </c>
      <c r="G221" s="10">
        <f>'B) D RI'!U222</f>
        <v>9236.0554663405946</v>
      </c>
      <c r="H221" s="41">
        <f>'B) D RI'!T222</f>
        <v>688245.78184090706</v>
      </c>
      <c r="I221" s="10">
        <f t="shared" si="31"/>
        <v>17423.943844073598</v>
      </c>
      <c r="J221" s="31">
        <f t="shared" si="39"/>
        <v>27924.723731997292</v>
      </c>
      <c r="K221" s="10">
        <f t="shared" si="28"/>
        <v>17423.943844073598</v>
      </c>
      <c r="L221" s="10">
        <f t="shared" si="32"/>
        <v>10500.779887923694</v>
      </c>
      <c r="M221" s="10">
        <f>'D) Ecrêtage'!C220</f>
        <v>9236.0554663405946</v>
      </c>
      <c r="N221" s="10">
        <f t="shared" si="29"/>
        <v>11869.228312747611</v>
      </c>
      <c r="O221" s="55">
        <f t="shared" si="30"/>
        <v>29293.172156821209</v>
      </c>
      <c r="P221" s="218"/>
      <c r="Q221" s="219"/>
      <c r="R221" s="215"/>
      <c r="S221" s="215"/>
      <c r="T221" s="220"/>
    </row>
    <row r="222" spans="1:20" s="214" customFormat="1" x14ac:dyDescent="0.25">
      <c r="A222" s="306">
        <f>'A) Base RI'!A223</f>
        <v>5755</v>
      </c>
      <c r="B222" s="227" t="str">
        <f>'A) Base RI'!B223</f>
        <v>Lignerolle</v>
      </c>
      <c r="C222" s="243">
        <v>0</v>
      </c>
      <c r="D222" s="216">
        <f>'B) D RI'!AA223</f>
        <v>437</v>
      </c>
      <c r="E222" s="217">
        <f>'B) D RI'!S223</f>
        <v>80</v>
      </c>
      <c r="F222" s="10">
        <f>'B) D RI'!R223</f>
        <v>785183.8641651636</v>
      </c>
      <c r="G222" s="10">
        <f>'B) D RI'!U223</f>
        <v>9814.7983020645443</v>
      </c>
      <c r="H222" s="41">
        <f>'B) D RI'!T223</f>
        <v>721069.26416516362</v>
      </c>
      <c r="I222" s="10">
        <f t="shared" si="31"/>
        <v>18026.731604129091</v>
      </c>
      <c r="J222" s="31">
        <f t="shared" si="39"/>
        <v>37204.586191715905</v>
      </c>
      <c r="K222" s="10">
        <f t="shared" si="28"/>
        <v>18026.731604129091</v>
      </c>
      <c r="L222" s="10">
        <f t="shared" si="32"/>
        <v>19177.854587586815</v>
      </c>
      <c r="M222" s="10">
        <f>'D) Ecrêtage'!C221</f>
        <v>9814.7983020645443</v>
      </c>
      <c r="N222" s="10">
        <f t="shared" si="29"/>
        <v>12612.969066211946</v>
      </c>
      <c r="O222" s="55">
        <f t="shared" si="30"/>
        <v>30639.700670341037</v>
      </c>
      <c r="P222" s="218"/>
      <c r="Q222" s="219"/>
      <c r="R222" s="215"/>
      <c r="S222" s="215"/>
      <c r="T222" s="220"/>
    </row>
    <row r="223" spans="1:20" s="214" customFormat="1" x14ac:dyDescent="0.25">
      <c r="A223" s="306">
        <f>'A) Base RI'!A224</f>
        <v>5756</v>
      </c>
      <c r="B223" s="227" t="str">
        <f>'A) Base RI'!B224</f>
        <v>Montcherand</v>
      </c>
      <c r="C223" s="243">
        <v>1</v>
      </c>
      <c r="D223" s="216">
        <f>'B) D RI'!AA224</f>
        <v>505</v>
      </c>
      <c r="E223" s="217">
        <f>'B) D RI'!S224</f>
        <v>72</v>
      </c>
      <c r="F223" s="10">
        <f>'B) D RI'!R224</f>
        <v>1169650.8199999998</v>
      </c>
      <c r="G223" s="10">
        <f>'B) D RI'!U224</f>
        <v>16245.150277777775</v>
      </c>
      <c r="H223" s="41">
        <f>'B) D RI'!T224</f>
        <v>1084506.42</v>
      </c>
      <c r="I223" s="10">
        <f t="shared" si="31"/>
        <v>30125.17833333333</v>
      </c>
      <c r="J223" s="31">
        <f t="shared" si="39"/>
        <v>42993.858184934856</v>
      </c>
      <c r="K223" s="10">
        <f t="shared" si="28"/>
        <v>0</v>
      </c>
      <c r="L223" s="10">
        <f t="shared" si="32"/>
        <v>42993.858184934856</v>
      </c>
      <c r="M223" s="10">
        <f>'D) Ecrêtage'!C222</f>
        <v>16245.150277777775</v>
      </c>
      <c r="N223" s="10">
        <f t="shared" si="29"/>
        <v>20876.5958936186</v>
      </c>
      <c r="O223" s="55">
        <f t="shared" si="30"/>
        <v>20876.5958936186</v>
      </c>
      <c r="P223" s="218"/>
      <c r="Q223" s="219"/>
      <c r="R223" s="215"/>
      <c r="S223" s="215"/>
      <c r="T223" s="220"/>
    </row>
    <row r="224" spans="1:20" s="214" customFormat="1" x14ac:dyDescent="0.25">
      <c r="A224" s="306">
        <f>'A) Base RI'!A225</f>
        <v>5757</v>
      </c>
      <c r="B224" s="227" t="str">
        <f>'A) Base RI'!B225</f>
        <v>Orbe</v>
      </c>
      <c r="C224" s="243">
        <v>1</v>
      </c>
      <c r="D224" s="216">
        <f>'B) D RI'!AA225</f>
        <v>7030</v>
      </c>
      <c r="E224" s="217">
        <f>'B) D RI'!S225</f>
        <v>77</v>
      </c>
      <c r="F224" s="10">
        <f>'B) D RI'!R225</f>
        <v>15505210.431600573</v>
      </c>
      <c r="G224" s="10">
        <f>'B) D RI'!U225</f>
        <v>201366.36924156587</v>
      </c>
      <c r="H224" s="41">
        <f>'B) D RI'!T225</f>
        <v>14104470.181600573</v>
      </c>
      <c r="I224" s="10">
        <f t="shared" si="31"/>
        <v>366349.8748467681</v>
      </c>
      <c r="J224" s="31">
        <f t="shared" si="39"/>
        <v>598508.56047542975</v>
      </c>
      <c r="K224" s="10">
        <f t="shared" si="28"/>
        <v>0</v>
      </c>
      <c r="L224" s="10">
        <f t="shared" si="32"/>
        <v>598508.56047542975</v>
      </c>
      <c r="M224" s="10">
        <f>'D) Ecrêtage'!C223</f>
        <v>201366.36924156587</v>
      </c>
      <c r="N224" s="10">
        <f t="shared" si="29"/>
        <v>258775.34189215378</v>
      </c>
      <c r="O224" s="55">
        <f t="shared" si="30"/>
        <v>258775.34189215378</v>
      </c>
      <c r="P224" s="218"/>
      <c r="Q224" s="219"/>
      <c r="R224" s="215"/>
      <c r="S224" s="215"/>
      <c r="T224" s="220"/>
    </row>
    <row r="225" spans="1:20" s="214" customFormat="1" x14ac:dyDescent="0.25">
      <c r="A225" s="306">
        <f>'A) Base RI'!A226</f>
        <v>5758</v>
      </c>
      <c r="B225" s="227" t="str">
        <f>'A) Base RI'!B226</f>
        <v>La Praz</v>
      </c>
      <c r="C225" s="243">
        <v>0</v>
      </c>
      <c r="D225" s="216">
        <f>'B) D RI'!AA226</f>
        <v>165</v>
      </c>
      <c r="E225" s="217">
        <f>'B) D RI'!S226</f>
        <v>83</v>
      </c>
      <c r="F225" s="10">
        <f>'B) D RI'!R226</f>
        <v>375024.06348002038</v>
      </c>
      <c r="G225" s="10">
        <f>'B) D RI'!U226</f>
        <v>4518.3622106026551</v>
      </c>
      <c r="H225" s="41">
        <f>'B) D RI'!T226</f>
        <v>347769.73014668707</v>
      </c>
      <c r="I225" s="10">
        <f t="shared" si="31"/>
        <v>8379.9934975105316</v>
      </c>
      <c r="J225" s="31">
        <f t="shared" si="39"/>
        <v>14047.498218840103</v>
      </c>
      <c r="K225" s="10">
        <f t="shared" si="28"/>
        <v>8379.9934975105316</v>
      </c>
      <c r="L225" s="10">
        <f t="shared" si="32"/>
        <v>5667.5047213295711</v>
      </c>
      <c r="M225" s="10">
        <f>'D) Ecrêtage'!C224</f>
        <v>4518.3622106026551</v>
      </c>
      <c r="N225" s="10">
        <f t="shared" si="29"/>
        <v>5806.5342800049666</v>
      </c>
      <c r="O225" s="55">
        <f t="shared" si="30"/>
        <v>14186.527777515497</v>
      </c>
      <c r="P225" s="218"/>
      <c r="Q225" s="219"/>
      <c r="R225" s="215"/>
      <c r="S225" s="215"/>
      <c r="T225" s="220"/>
    </row>
    <row r="226" spans="1:20" s="214" customFormat="1" x14ac:dyDescent="0.25">
      <c r="A226" s="306">
        <f>'A) Base RI'!A227</f>
        <v>5759</v>
      </c>
      <c r="B226" s="227" t="str">
        <f>'A) Base RI'!B227</f>
        <v>Premier</v>
      </c>
      <c r="C226" s="243">
        <v>0</v>
      </c>
      <c r="D226" s="216">
        <f>'B) D RI'!AA227</f>
        <v>215</v>
      </c>
      <c r="E226" s="217">
        <f>'B) D RI'!S227</f>
        <v>81</v>
      </c>
      <c r="F226" s="10">
        <f>'B) D RI'!R227</f>
        <v>427204.77181884059</v>
      </c>
      <c r="G226" s="10">
        <f>'B) D RI'!U227</f>
        <v>5274.1329854177848</v>
      </c>
      <c r="H226" s="41">
        <f>'B) D RI'!T227</f>
        <v>398371.52181884059</v>
      </c>
      <c r="I226" s="10">
        <f t="shared" si="31"/>
        <v>9836.3338720701377</v>
      </c>
      <c r="J226" s="31">
        <f t="shared" si="39"/>
        <v>18304.315860912859</v>
      </c>
      <c r="K226" s="10">
        <f t="shared" si="28"/>
        <v>9836.3338720701377</v>
      </c>
      <c r="L226" s="10">
        <f t="shared" si="32"/>
        <v>8467.981988842721</v>
      </c>
      <c r="M226" s="10">
        <f>'D) Ecrêtage'!C225</f>
        <v>5274.1329854177848</v>
      </c>
      <c r="N226" s="10">
        <f t="shared" si="29"/>
        <v>6777.7731287834577</v>
      </c>
      <c r="O226" s="55">
        <f t="shared" si="30"/>
        <v>16614.107000853597</v>
      </c>
      <c r="P226" s="218"/>
      <c r="Q226" s="219"/>
      <c r="R226" s="215"/>
      <c r="S226" s="215"/>
      <c r="T226" s="220"/>
    </row>
    <row r="227" spans="1:20" s="214" customFormat="1" x14ac:dyDescent="0.25">
      <c r="A227" s="306">
        <f>'A) Base RI'!A228</f>
        <v>5760</v>
      </c>
      <c r="B227" s="227" t="str">
        <f>'A) Base RI'!B228</f>
        <v>Rances</v>
      </c>
      <c r="C227" s="243">
        <v>0</v>
      </c>
      <c r="D227" s="216">
        <f>'B) D RI'!AA228</f>
        <v>505</v>
      </c>
      <c r="E227" s="217">
        <f>'B) D RI'!S228</f>
        <v>78</v>
      </c>
      <c r="F227" s="10">
        <f>'B) D RI'!R228</f>
        <v>965191.44669049163</v>
      </c>
      <c r="G227" s="10">
        <f>'B) D RI'!U228</f>
        <v>12374.249316544765</v>
      </c>
      <c r="H227" s="41">
        <f>'B) D RI'!T228</f>
        <v>894952.41335715831</v>
      </c>
      <c r="I227" s="10">
        <f t="shared" si="31"/>
        <v>22947.497778388675</v>
      </c>
      <c r="J227" s="31">
        <f t="shared" si="39"/>
        <v>42993.858184934856</v>
      </c>
      <c r="K227" s="10">
        <f t="shared" si="28"/>
        <v>22947.497778388675</v>
      </c>
      <c r="L227" s="10">
        <f t="shared" si="32"/>
        <v>20046.36040654618</v>
      </c>
      <c r="M227" s="10">
        <f>'D) Ecrêtage'!C226</f>
        <v>12374.249316544765</v>
      </c>
      <c r="N227" s="10">
        <f t="shared" si="29"/>
        <v>15902.112202789009</v>
      </c>
      <c r="O227" s="55">
        <f t="shared" si="30"/>
        <v>38849.60998117768</v>
      </c>
      <c r="P227" s="218"/>
      <c r="Q227" s="219"/>
      <c r="R227" s="215"/>
      <c r="S227" s="215"/>
      <c r="T227" s="220"/>
    </row>
    <row r="228" spans="1:20" s="214" customFormat="1" x14ac:dyDescent="0.25">
      <c r="A228" s="306">
        <f>'A) Base RI'!A229</f>
        <v>5761</v>
      </c>
      <c r="B228" s="227" t="str">
        <f>'A) Base RI'!B229</f>
        <v>Romainmôtier-Envy</v>
      </c>
      <c r="C228" s="243">
        <v>0</v>
      </c>
      <c r="D228" s="216">
        <f>'B) D RI'!AA229</f>
        <v>535</v>
      </c>
      <c r="E228" s="217">
        <f>'B) D RI'!S229</f>
        <v>81</v>
      </c>
      <c r="F228" s="10">
        <f>'B) D RI'!R229</f>
        <v>995688.62422634952</v>
      </c>
      <c r="G228" s="10">
        <f>'B) D RI'!U229</f>
        <v>12292.452150942587</v>
      </c>
      <c r="H228" s="41">
        <f>'B) D RI'!T229</f>
        <v>905307.02877180406</v>
      </c>
      <c r="I228" s="10">
        <f t="shared" si="31"/>
        <v>22353.259969674174</v>
      </c>
      <c r="J228" s="31">
        <f t="shared" si="39"/>
        <v>45547.948770178511</v>
      </c>
      <c r="K228" s="10">
        <f t="shared" si="28"/>
        <v>22353.259969674174</v>
      </c>
      <c r="L228" s="10">
        <f t="shared" si="32"/>
        <v>23194.688800504337</v>
      </c>
      <c r="M228" s="10">
        <f>'D) Ecrêtage'!C227</f>
        <v>12292.452150942587</v>
      </c>
      <c r="N228" s="10">
        <f t="shared" si="29"/>
        <v>15796.994900559062</v>
      </c>
      <c r="O228" s="55">
        <f t="shared" si="30"/>
        <v>38150.254870233235</v>
      </c>
      <c r="P228" s="218"/>
      <c r="Q228" s="219"/>
      <c r="R228" s="215"/>
      <c r="S228" s="215"/>
      <c r="T228" s="220"/>
    </row>
    <row r="229" spans="1:20" s="214" customFormat="1" x14ac:dyDescent="0.25">
      <c r="A229" s="306">
        <f>'A) Base RI'!A230</f>
        <v>5762</v>
      </c>
      <c r="B229" s="227" t="str">
        <f>'A) Base RI'!B230</f>
        <v>Sergey</v>
      </c>
      <c r="C229" s="243">
        <v>0</v>
      </c>
      <c r="D229" s="216">
        <f>'B) D RI'!AA230</f>
        <v>145</v>
      </c>
      <c r="E229" s="217">
        <f>'B) D RI'!S230</f>
        <v>78</v>
      </c>
      <c r="F229" s="10">
        <f>'B) D RI'!R230</f>
        <v>311669.30566040258</v>
      </c>
      <c r="G229" s="10">
        <f>'B) D RI'!U230</f>
        <v>3995.7603289795202</v>
      </c>
      <c r="H229" s="41">
        <f>'B) D RI'!T230</f>
        <v>291725.7056604026</v>
      </c>
      <c r="I229" s="10">
        <f t="shared" si="31"/>
        <v>7480.1462989846823</v>
      </c>
      <c r="J229" s="31">
        <f t="shared" si="39"/>
        <v>12344.771162010999</v>
      </c>
      <c r="K229" s="10">
        <f t="shared" si="28"/>
        <v>7480.1462989846823</v>
      </c>
      <c r="L229" s="10">
        <f t="shared" si="32"/>
        <v>4864.6248630263162</v>
      </c>
      <c r="M229" s="10">
        <f>'D) Ecrêtage'!C228</f>
        <v>3995.7603289795202</v>
      </c>
      <c r="N229" s="10">
        <f t="shared" si="29"/>
        <v>5134.940105168972</v>
      </c>
      <c r="O229" s="55">
        <f t="shared" si="30"/>
        <v>12615.086404153655</v>
      </c>
      <c r="P229" s="218"/>
      <c r="Q229" s="219"/>
      <c r="R229" s="215"/>
      <c r="S229" s="215"/>
      <c r="T229" s="220"/>
    </row>
    <row r="230" spans="1:20" s="214" customFormat="1" x14ac:dyDescent="0.25">
      <c r="A230" s="306">
        <f>'A) Base RI'!A231</f>
        <v>5763</v>
      </c>
      <c r="B230" s="227" t="str">
        <f>'A) Base RI'!B231</f>
        <v>Valeyres-sous-Rances</v>
      </c>
      <c r="C230" s="243">
        <v>0</v>
      </c>
      <c r="D230" s="216">
        <f>'B) D RI'!AA231</f>
        <v>620</v>
      </c>
      <c r="E230" s="217">
        <f>'B) D RI'!S231</f>
        <v>68</v>
      </c>
      <c r="F230" s="10">
        <f>'B) D RI'!R231</f>
        <v>1492151.300683294</v>
      </c>
      <c r="G230" s="10">
        <f>'B) D RI'!U231</f>
        <v>21943.401480636676</v>
      </c>
      <c r="H230" s="41">
        <f>'B) D RI'!T231</f>
        <v>1396836.9506832939</v>
      </c>
      <c r="I230" s="10">
        <f t="shared" si="31"/>
        <v>41083.439725979231</v>
      </c>
      <c r="J230" s="31">
        <f t="shared" si="39"/>
        <v>52784.538761702199</v>
      </c>
      <c r="K230" s="10">
        <f t="shared" si="28"/>
        <v>41083.439725979231</v>
      </c>
      <c r="L230" s="10">
        <f t="shared" si="32"/>
        <v>11701.099035722968</v>
      </c>
      <c r="M230" s="10">
        <f>'D) Ecrêtage'!C229</f>
        <v>21943.401480636676</v>
      </c>
      <c r="N230" s="10">
        <f t="shared" si="29"/>
        <v>28199.402123681022</v>
      </c>
      <c r="O230" s="55">
        <f t="shared" si="30"/>
        <v>69282.841849660254</v>
      </c>
      <c r="P230" s="218"/>
      <c r="Q230" s="219"/>
      <c r="R230" s="215"/>
      <c r="S230" s="215"/>
      <c r="T230" s="220"/>
    </row>
    <row r="231" spans="1:20" s="214" customFormat="1" x14ac:dyDescent="0.25">
      <c r="A231" s="306">
        <f>'A) Base RI'!A232</f>
        <v>5764</v>
      </c>
      <c r="B231" s="227" t="str">
        <f>'A) Base RI'!B232</f>
        <v>Vallorbe</v>
      </c>
      <c r="C231" s="243">
        <v>0</v>
      </c>
      <c r="D231" s="216">
        <f>'B) D RI'!AA232</f>
        <v>3857</v>
      </c>
      <c r="E231" s="217">
        <f>'B) D RI'!S232</f>
        <v>73</v>
      </c>
      <c r="F231" s="10">
        <f>'B) D RI'!R232</f>
        <v>6394002.7148732161</v>
      </c>
      <c r="G231" s="10">
        <f>'B) D RI'!U232</f>
        <v>87589.078285934462</v>
      </c>
      <c r="H231" s="41">
        <f>'B) D RI'!T232</f>
        <v>5903704.4648732161</v>
      </c>
      <c r="I231" s="10">
        <f t="shared" si="31"/>
        <v>161745.32780474564</v>
      </c>
      <c r="J231" s="31">
        <f t="shared" si="39"/>
        <v>328370.91290949256</v>
      </c>
      <c r="K231" s="10">
        <f t="shared" si="28"/>
        <v>161745.32780474564</v>
      </c>
      <c r="L231" s="10">
        <f t="shared" si="32"/>
        <v>166625.58510474692</v>
      </c>
      <c r="M231" s="10">
        <f>'D) Ecrêtage'!C230</f>
        <v>87589.078285934462</v>
      </c>
      <c r="N231" s="10">
        <f t="shared" si="29"/>
        <v>112560.47255969812</v>
      </c>
      <c r="O231" s="55">
        <f t="shared" si="30"/>
        <v>274305.80036444374</v>
      </c>
      <c r="P231" s="218"/>
      <c r="Q231" s="219"/>
      <c r="R231" s="215"/>
      <c r="S231" s="215"/>
      <c r="T231" s="220"/>
    </row>
    <row r="232" spans="1:20" s="214" customFormat="1" x14ac:dyDescent="0.25">
      <c r="A232" s="306">
        <f>'A) Base RI'!A233</f>
        <v>5765</v>
      </c>
      <c r="B232" s="227" t="str">
        <f>'A) Base RI'!B233</f>
        <v>Vaulion</v>
      </c>
      <c r="C232" s="243">
        <v>0</v>
      </c>
      <c r="D232" s="216">
        <f>'B) D RI'!AA233</f>
        <v>496</v>
      </c>
      <c r="E232" s="217">
        <f>'B) D RI'!S233</f>
        <v>81</v>
      </c>
      <c r="F232" s="10">
        <f>'B) D RI'!R233</f>
        <v>968286.74204163172</v>
      </c>
      <c r="G232" s="10">
        <f>'B) D RI'!U233</f>
        <v>11954.157309155948</v>
      </c>
      <c r="H232" s="41">
        <f>'B) D RI'!T233</f>
        <v>904734.74204163172</v>
      </c>
      <c r="I232" s="10">
        <f t="shared" si="31"/>
        <v>22339.129433126709</v>
      </c>
      <c r="J232" s="31">
        <f t="shared" si="39"/>
        <v>42227.631009361765</v>
      </c>
      <c r="K232" s="10">
        <f t="shared" si="28"/>
        <v>22339.129433126709</v>
      </c>
      <c r="L232" s="10">
        <f t="shared" si="32"/>
        <v>19888.501576235056</v>
      </c>
      <c r="M232" s="10">
        <f>'D) Ecrêtage'!C231</f>
        <v>11954.157309155948</v>
      </c>
      <c r="N232" s="10">
        <f t="shared" si="29"/>
        <v>15362.253172467064</v>
      </c>
      <c r="O232" s="55">
        <f t="shared" si="30"/>
        <v>37701.382605593775</v>
      </c>
      <c r="P232" s="218"/>
      <c r="Q232" s="219"/>
      <c r="R232" s="215"/>
      <c r="S232" s="215"/>
      <c r="T232" s="220"/>
    </row>
    <row r="233" spans="1:20" s="214" customFormat="1" x14ac:dyDescent="0.25">
      <c r="A233" s="306">
        <f>'A) Base RI'!A234</f>
        <v>5766</v>
      </c>
      <c r="B233" s="227" t="str">
        <f>'A) Base RI'!B234</f>
        <v>Vuiteboeuf</v>
      </c>
      <c r="C233" s="243">
        <v>0</v>
      </c>
      <c r="D233" s="216">
        <f>'B) D RI'!AA234</f>
        <v>576</v>
      </c>
      <c r="E233" s="217">
        <f>'B) D RI'!S234</f>
        <v>77</v>
      </c>
      <c r="F233" s="10">
        <f>'B) D RI'!R234</f>
        <v>1073784.8913524011</v>
      </c>
      <c r="G233" s="10">
        <f>'B) D RI'!U234</f>
        <v>13945.258329251963</v>
      </c>
      <c r="H233" s="41">
        <f>'B) D RI'!T234</f>
        <v>989136.24135240109</v>
      </c>
      <c r="I233" s="10">
        <f t="shared" si="31"/>
        <v>25691.850424737691</v>
      </c>
      <c r="J233" s="31">
        <f t="shared" si="39"/>
        <v>49038.539236678174</v>
      </c>
      <c r="K233" s="10">
        <f t="shared" si="28"/>
        <v>25691.850424737691</v>
      </c>
      <c r="L233" s="10">
        <f t="shared" si="32"/>
        <v>23346.688811940483</v>
      </c>
      <c r="M233" s="10">
        <f>'D) Ecrêtage'!C232</f>
        <v>13945.258329251963</v>
      </c>
      <c r="N233" s="10">
        <f t="shared" si="29"/>
        <v>17921.011366091014</v>
      </c>
      <c r="O233" s="55">
        <f t="shared" si="30"/>
        <v>43612.861790828705</v>
      </c>
      <c r="P233" s="218"/>
      <c r="Q233" s="219"/>
      <c r="R233" s="215"/>
      <c r="S233" s="215"/>
      <c r="T233" s="220"/>
    </row>
    <row r="234" spans="1:20" s="214" customFormat="1" x14ac:dyDescent="0.25">
      <c r="A234" s="306">
        <f>'A) Base RI'!A235</f>
        <v>5785</v>
      </c>
      <c r="B234" s="227" t="str">
        <f>'A) Base RI'!B235</f>
        <v>Corcelles-le-Jorat</v>
      </c>
      <c r="C234" s="243">
        <v>0</v>
      </c>
      <c r="D234" s="216">
        <f>'B) D RI'!AA235</f>
        <v>458</v>
      </c>
      <c r="E234" s="217">
        <f>'B) D RI'!S235</f>
        <v>77</v>
      </c>
      <c r="F234" s="10">
        <f>'B) D RI'!R235</f>
        <v>1305154.5900535178</v>
      </c>
      <c r="G234" s="10">
        <f>'B) D RI'!U235</f>
        <v>16950.059611084645</v>
      </c>
      <c r="H234" s="41">
        <f>'B) D RI'!T235</f>
        <v>1234479.7400535177</v>
      </c>
      <c r="I234" s="10">
        <f t="shared" si="31"/>
        <v>32064.408832558904</v>
      </c>
      <c r="J234" s="31">
        <f t="shared" si="39"/>
        <v>38992.449601386463</v>
      </c>
      <c r="K234" s="10">
        <f t="shared" si="28"/>
        <v>32064.408832558904</v>
      </c>
      <c r="L234" s="10">
        <f t="shared" si="32"/>
        <v>6928.0407688275591</v>
      </c>
      <c r="M234" s="10">
        <f>'D) Ecrêtage'!C233</f>
        <v>16950.059611084645</v>
      </c>
      <c r="N234" s="10">
        <f t="shared" si="29"/>
        <v>21782.472850215192</v>
      </c>
      <c r="O234" s="55">
        <f t="shared" si="30"/>
        <v>53846.881682774096</v>
      </c>
      <c r="P234" s="218"/>
      <c r="Q234" s="219"/>
      <c r="R234" s="215"/>
      <c r="S234" s="215"/>
      <c r="T234" s="220"/>
    </row>
    <row r="235" spans="1:20" s="214" customFormat="1" x14ac:dyDescent="0.25">
      <c r="A235" s="306">
        <f>'A) Base RI'!A236</f>
        <v>5788</v>
      </c>
      <c r="B235" s="227" t="str">
        <f>'A) Base RI'!B236</f>
        <v>Essertes</v>
      </c>
      <c r="C235" s="243">
        <v>0</v>
      </c>
      <c r="D235" s="216">
        <f>'B) D RI'!AA236</f>
        <v>380</v>
      </c>
      <c r="E235" s="217">
        <f>'B) D RI'!S236</f>
        <v>72</v>
      </c>
      <c r="F235" s="10">
        <f>'B) D RI'!R236</f>
        <v>889751.00968029827</v>
      </c>
      <c r="G235" s="10">
        <f>'B) D RI'!U236</f>
        <v>12357.652912226366</v>
      </c>
      <c r="H235" s="41">
        <f>'B) D RI'!T236</f>
        <v>813676.20968029823</v>
      </c>
      <c r="I235" s="10">
        <f t="shared" si="31"/>
        <v>22602.116935563841</v>
      </c>
      <c r="J235" s="31">
        <f t="shared" si="39"/>
        <v>32351.814079752963</v>
      </c>
      <c r="K235" s="10">
        <f t="shared" si="28"/>
        <v>22602.116935563841</v>
      </c>
      <c r="L235" s="10">
        <f t="shared" si="32"/>
        <v>9749.6971441891219</v>
      </c>
      <c r="M235" s="10">
        <f>'D) Ecrêtage'!C234</f>
        <v>12357.652912226366</v>
      </c>
      <c r="N235" s="10">
        <f t="shared" si="29"/>
        <v>15880.784211338152</v>
      </c>
      <c r="O235" s="55">
        <f t="shared" si="30"/>
        <v>38482.90114690199</v>
      </c>
      <c r="P235" s="218"/>
      <c r="Q235" s="219"/>
      <c r="R235" s="215"/>
      <c r="S235" s="215"/>
      <c r="T235" s="220"/>
    </row>
    <row r="236" spans="1:20" s="214" customFormat="1" x14ac:dyDescent="0.25">
      <c r="A236" s="306">
        <f>'A) Base RI'!A237</f>
        <v>5790</v>
      </c>
      <c r="B236" s="227" t="str">
        <f>'A) Base RI'!B237</f>
        <v>Maracon</v>
      </c>
      <c r="C236" s="243">
        <v>0</v>
      </c>
      <c r="D236" s="216">
        <f>'B) D RI'!AA237</f>
        <v>538</v>
      </c>
      <c r="E236" s="217">
        <f>'B) D RI'!S237</f>
        <v>76</v>
      </c>
      <c r="F236" s="10">
        <f>'B) D RI'!R237</f>
        <v>1096847.3210991626</v>
      </c>
      <c r="G236" s="10">
        <f>'B) D RI'!U237</f>
        <v>14432.201593410035</v>
      </c>
      <c r="H236" s="41">
        <f>'B) D RI'!T237</f>
        <v>1015078.5710991625</v>
      </c>
      <c r="I236" s="10">
        <f t="shared" si="31"/>
        <v>26712.593976293749</v>
      </c>
      <c r="J236" s="31">
        <f t="shared" si="39"/>
        <v>45803.357828702879</v>
      </c>
      <c r="K236" s="10">
        <f t="shared" si="28"/>
        <v>26712.593976293749</v>
      </c>
      <c r="L236" s="10">
        <f t="shared" si="32"/>
        <v>19090.763852409131</v>
      </c>
      <c r="M236" s="10">
        <f>'D) Ecrêtage'!C235</f>
        <v>14432.201593410035</v>
      </c>
      <c r="N236" s="10">
        <f t="shared" si="29"/>
        <v>18546.780754192867</v>
      </c>
      <c r="O236" s="55">
        <f t="shared" si="30"/>
        <v>45259.374730486612</v>
      </c>
      <c r="P236" s="218"/>
      <c r="Q236" s="219"/>
      <c r="R236" s="215"/>
      <c r="S236" s="215"/>
      <c r="T236" s="220"/>
    </row>
    <row r="237" spans="1:20" s="214" customFormat="1" x14ac:dyDescent="0.25">
      <c r="A237" s="306">
        <f>'A) Base RI'!A238</f>
        <v>5792</v>
      </c>
      <c r="B237" s="227" t="str">
        <f>'A) Base RI'!B238</f>
        <v>Montpreveyres</v>
      </c>
      <c r="C237" s="243">
        <v>0</v>
      </c>
      <c r="D237" s="216">
        <f>'B) D RI'!AA238</f>
        <v>657</v>
      </c>
      <c r="E237" s="217">
        <f>'B) D RI'!S238</f>
        <v>77</v>
      </c>
      <c r="F237" s="10">
        <f>'B) D RI'!R238</f>
        <v>1555318.2716918215</v>
      </c>
      <c r="G237" s="10">
        <f>'B) D RI'!U238</f>
        <v>20198.938593400278</v>
      </c>
      <c r="H237" s="41">
        <f>'B) D RI'!T238</f>
        <v>1437608.6716918217</v>
      </c>
      <c r="I237" s="10">
        <f t="shared" si="31"/>
        <v>37340.484979008354</v>
      </c>
      <c r="J237" s="31">
        <f t="shared" si="39"/>
        <v>55934.583816836042</v>
      </c>
      <c r="K237" s="10">
        <f t="shared" si="28"/>
        <v>37340.484979008354</v>
      </c>
      <c r="L237" s="10">
        <f t="shared" si="32"/>
        <v>18594.098837827689</v>
      </c>
      <c r="M237" s="10">
        <f>'D) Ecrêtage'!C236</f>
        <v>20198.938593400278</v>
      </c>
      <c r="N237" s="10">
        <f t="shared" si="29"/>
        <v>25957.597885152845</v>
      </c>
      <c r="O237" s="55">
        <f t="shared" si="30"/>
        <v>63298.082864161202</v>
      </c>
      <c r="P237" s="218"/>
      <c r="Q237" s="219"/>
      <c r="R237" s="215"/>
      <c r="S237" s="215"/>
      <c r="T237" s="220"/>
    </row>
    <row r="238" spans="1:20" s="214" customFormat="1" x14ac:dyDescent="0.25">
      <c r="A238" s="306">
        <f>'A) Base RI'!A239</f>
        <v>5798</v>
      </c>
      <c r="B238" s="227" t="str">
        <f>'A) Base RI'!B239</f>
        <v>Ropraz</v>
      </c>
      <c r="C238" s="243">
        <v>0</v>
      </c>
      <c r="D238" s="216">
        <f>'B) D RI'!AA239</f>
        <v>488</v>
      </c>
      <c r="E238" s="217">
        <f>'B) D RI'!S239</f>
        <v>77.5</v>
      </c>
      <c r="F238" s="10">
        <f>'B) D RI'!R239</f>
        <v>1112885.450231645</v>
      </c>
      <c r="G238" s="10">
        <f>'B) D RI'!U239</f>
        <v>14359.812261053485</v>
      </c>
      <c r="H238" s="41">
        <f>'B) D RI'!T239</f>
        <v>1031944.7002316451</v>
      </c>
      <c r="I238" s="10">
        <f t="shared" si="31"/>
        <v>26630.830973719876</v>
      </c>
      <c r="J238" s="31">
        <f t="shared" si="39"/>
        <v>41546.540186630118</v>
      </c>
      <c r="K238" s="10">
        <f t="shared" si="28"/>
        <v>26630.830973719876</v>
      </c>
      <c r="L238" s="10">
        <f t="shared" si="32"/>
        <v>14915.709212910242</v>
      </c>
      <c r="M238" s="10">
        <f>'D) Ecrêtage'!C237</f>
        <v>14359.812261053485</v>
      </c>
      <c r="N238" s="10">
        <f t="shared" si="29"/>
        <v>18453.753431405719</v>
      </c>
      <c r="O238" s="55">
        <f t="shared" si="30"/>
        <v>45084.584405125599</v>
      </c>
      <c r="P238" s="218"/>
      <c r="Q238" s="219"/>
      <c r="R238" s="215"/>
      <c r="S238" s="215"/>
      <c r="T238" s="220"/>
    </row>
    <row r="239" spans="1:20" s="214" customFormat="1" x14ac:dyDescent="0.25">
      <c r="A239" s="306">
        <f>'A) Base RI'!A240</f>
        <v>5799</v>
      </c>
      <c r="B239" s="227" t="str">
        <f>'A) Base RI'!B240</f>
        <v>Servion</v>
      </c>
      <c r="C239" s="243">
        <v>0</v>
      </c>
      <c r="D239" s="216">
        <f>'B) D RI'!AA240</f>
        <v>1997</v>
      </c>
      <c r="E239" s="217">
        <f>'B) D RI'!S240</f>
        <v>69</v>
      </c>
      <c r="F239" s="10">
        <f>'B) D RI'!R240</f>
        <v>4898439.830000001</v>
      </c>
      <c r="G239" s="10">
        <f>'B) D RI'!U240</f>
        <v>70991.881594202918</v>
      </c>
      <c r="H239" s="41">
        <f>'B) D RI'!T240</f>
        <v>4477053.4300000006</v>
      </c>
      <c r="I239" s="10">
        <f t="shared" si="31"/>
        <v>129769.66463768118</v>
      </c>
      <c r="J239" s="31">
        <f t="shared" si="39"/>
        <v>170017.29662438596</v>
      </c>
      <c r="K239" s="10">
        <f t="shared" si="28"/>
        <v>129769.66463768118</v>
      </c>
      <c r="L239" s="10">
        <f t="shared" si="32"/>
        <v>40247.631986704771</v>
      </c>
      <c r="M239" s="10">
        <f>'D) Ecrêtage'!C238</f>
        <v>70991.881594202918</v>
      </c>
      <c r="N239" s="10">
        <f t="shared" si="29"/>
        <v>91231.462832151243</v>
      </c>
      <c r="O239" s="55">
        <f t="shared" si="30"/>
        <v>221001.12746983243</v>
      </c>
      <c r="P239" s="218"/>
      <c r="Q239" s="219"/>
      <c r="R239" s="215"/>
      <c r="S239" s="215"/>
      <c r="T239" s="220"/>
    </row>
    <row r="240" spans="1:20" s="214" customFormat="1" x14ac:dyDescent="0.25">
      <c r="A240" s="306">
        <f>'A) Base RI'!A241</f>
        <v>5803</v>
      </c>
      <c r="B240" s="227" t="str">
        <f>'A) Base RI'!B241</f>
        <v>Vulliens</v>
      </c>
      <c r="C240" s="243">
        <v>0</v>
      </c>
      <c r="D240" s="216">
        <f>'B) D RI'!AA241</f>
        <v>614</v>
      </c>
      <c r="E240" s="217">
        <f>'B) D RI'!S241</f>
        <v>78</v>
      </c>
      <c r="F240" s="10">
        <f>'B) D RI'!R241</f>
        <v>1360292.2600000005</v>
      </c>
      <c r="G240" s="10">
        <f>'B) D RI'!U241</f>
        <v>17439.644358974365</v>
      </c>
      <c r="H240" s="41">
        <f>'B) D RI'!T241</f>
        <v>1255520.4100000004</v>
      </c>
      <c r="I240" s="10">
        <f t="shared" si="31"/>
        <v>32192.831025641037</v>
      </c>
      <c r="J240" s="31">
        <f t="shared" si="39"/>
        <v>52273.720644653469</v>
      </c>
      <c r="K240" s="10">
        <f t="shared" si="28"/>
        <v>32192.831025641037</v>
      </c>
      <c r="L240" s="10">
        <f t="shared" si="32"/>
        <v>20080.889619012432</v>
      </c>
      <c r="M240" s="10">
        <f>'D) Ecrêtage'!C239</f>
        <v>17439.644358974365</v>
      </c>
      <c r="N240" s="10">
        <f t="shared" si="29"/>
        <v>22411.636801462493</v>
      </c>
      <c r="O240" s="55">
        <f t="shared" si="30"/>
        <v>54604.46782710353</v>
      </c>
      <c r="P240" s="218"/>
      <c r="Q240" s="219"/>
      <c r="R240" s="215"/>
      <c r="S240" s="215"/>
      <c r="T240" s="220"/>
    </row>
    <row r="241" spans="1:20" s="214" customFormat="1" x14ac:dyDescent="0.25">
      <c r="A241" s="306">
        <f>'A) Base RI'!A242</f>
        <v>5804</v>
      </c>
      <c r="B241" s="227" t="str">
        <f>'A) Base RI'!B242</f>
        <v>Jorat-Menthue</v>
      </c>
      <c r="C241" s="243">
        <v>0</v>
      </c>
      <c r="D241" s="216">
        <f>'B) D RI'!AA242</f>
        <v>1591</v>
      </c>
      <c r="E241" s="217">
        <f>'B) D RI'!S242</f>
        <v>72</v>
      </c>
      <c r="F241" s="10">
        <f>'B) D RI'!R242</f>
        <v>3184322.1891891202</v>
      </c>
      <c r="G241" s="10">
        <f>'B) D RI'!U242</f>
        <v>44226.697072071111</v>
      </c>
      <c r="H241" s="41">
        <f>'B) D RI'!T242</f>
        <v>2911930.2891891203</v>
      </c>
      <c r="I241" s="10">
        <f t="shared" si="31"/>
        <v>80886.95247747557</v>
      </c>
      <c r="J241" s="31">
        <f t="shared" si="39"/>
        <v>135451.93737075516</v>
      </c>
      <c r="K241" s="10">
        <f t="shared" si="28"/>
        <v>80886.95247747557</v>
      </c>
      <c r="L241" s="10">
        <f t="shared" si="32"/>
        <v>54564.984893279587</v>
      </c>
      <c r="M241" s="10">
        <f>'D) Ecrêtage'!C240</f>
        <v>44226.697072071111</v>
      </c>
      <c r="N241" s="10">
        <f t="shared" si="29"/>
        <v>56835.601191460017</v>
      </c>
      <c r="O241" s="55">
        <f t="shared" si="30"/>
        <v>137722.55366893558</v>
      </c>
      <c r="P241" s="218"/>
      <c r="Q241" s="219"/>
      <c r="R241" s="215"/>
      <c r="S241" s="215"/>
      <c r="T241" s="220"/>
    </row>
    <row r="242" spans="1:20" s="214" customFormat="1" x14ac:dyDescent="0.25">
      <c r="A242" s="306">
        <f>'A) Base RI'!A243</f>
        <v>5805</v>
      </c>
      <c r="B242" s="227" t="str">
        <f>'A) Base RI'!B243</f>
        <v>Oron</v>
      </c>
      <c r="C242" s="243">
        <v>0</v>
      </c>
      <c r="D242" s="216">
        <f>'B) D RI'!AA243</f>
        <v>5669</v>
      </c>
      <c r="E242" s="217">
        <f>'B) D RI'!S243</f>
        <v>69</v>
      </c>
      <c r="F242" s="10">
        <f>'B) D RI'!R243</f>
        <v>10886077.33323241</v>
      </c>
      <c r="G242" s="10">
        <f>'B) D RI'!U243</f>
        <v>157769.23671351318</v>
      </c>
      <c r="H242" s="41">
        <f>'B) D RI'!T243</f>
        <v>9914780.0605051368</v>
      </c>
      <c r="I242" s="10">
        <f t="shared" si="31"/>
        <v>287384.92929000396</v>
      </c>
      <c r="J242" s="31">
        <f t="shared" si="39"/>
        <v>482637.9842582093</v>
      </c>
      <c r="K242" s="10">
        <f t="shared" si="28"/>
        <v>287384.92929000396</v>
      </c>
      <c r="L242" s="10">
        <f t="shared" si="32"/>
        <v>195253.05496820534</v>
      </c>
      <c r="M242" s="10">
        <f>'D) Ecrêtage'!C241</f>
        <v>157769.23671351318</v>
      </c>
      <c r="N242" s="10">
        <f t="shared" si="29"/>
        <v>202748.79228530126</v>
      </c>
      <c r="O242" s="55">
        <f t="shared" si="30"/>
        <v>490133.72157530522</v>
      </c>
      <c r="P242" s="218"/>
      <c r="Q242" s="219"/>
      <c r="R242" s="215"/>
      <c r="S242" s="215"/>
      <c r="T242" s="220"/>
    </row>
    <row r="243" spans="1:20" s="214" customFormat="1" x14ac:dyDescent="0.25">
      <c r="A243" s="306">
        <f>'A) Base RI'!A244</f>
        <v>5806</v>
      </c>
      <c r="B243" s="227" t="str">
        <f>'A) Base RI'!B244</f>
        <v>Jorat-Mézières</v>
      </c>
      <c r="C243" s="243">
        <v>0</v>
      </c>
      <c r="D243" s="216">
        <f>'B) D RI'!AA244</f>
        <v>2949</v>
      </c>
      <c r="E243" s="217">
        <f>'B) D RI'!S244</f>
        <v>76</v>
      </c>
      <c r="F243" s="10">
        <f>'B) D RI'!R244</f>
        <v>6979071.1172958938</v>
      </c>
      <c r="G243" s="10">
        <f>'B) D RI'!U244</f>
        <v>91829.883122314393</v>
      </c>
      <c r="H243" s="41">
        <f>'B) D RI'!T244</f>
        <v>6457111.2672958942</v>
      </c>
      <c r="I243" s="10">
        <f t="shared" ref="I243" si="40">+H243/E243*$I$5</f>
        <v>169923.98071831302</v>
      </c>
      <c r="J243" s="31">
        <f t="shared" ref="J243" si="41">+$I$314/$D$314*D243</f>
        <v>251067.10452945129</v>
      </c>
      <c r="K243" s="10">
        <f t="shared" ref="K243" si="42">IF(C243=1,0,IF(J243&gt;I243,I243,J243))</f>
        <v>169923.98071831302</v>
      </c>
      <c r="L243" s="10">
        <f t="shared" ref="L243" si="43">+J243-K243</f>
        <v>81143.12381113827</v>
      </c>
      <c r="M243" s="10">
        <f>'D) Ecrêtage'!C242</f>
        <v>91829.883122314393</v>
      </c>
      <c r="N243" s="10">
        <f t="shared" ref="N243" si="44">+$N$5*M243</f>
        <v>118010.31865646922</v>
      </c>
      <c r="O243" s="55">
        <f t="shared" ref="O243" si="45">+N243+K243</f>
        <v>287934.29937478225</v>
      </c>
      <c r="P243" s="218"/>
      <c r="Q243" s="219"/>
      <c r="R243" s="215"/>
      <c r="S243" s="215"/>
      <c r="T243" s="220"/>
    </row>
    <row r="244" spans="1:20" s="214" customFormat="1" x14ac:dyDescent="0.25">
      <c r="A244" s="306">
        <f>'A) Base RI'!A245</f>
        <v>5812</v>
      </c>
      <c r="B244" s="227" t="str">
        <f>'A) Base RI'!B245</f>
        <v>Champtauroz</v>
      </c>
      <c r="C244" s="243">
        <v>0</v>
      </c>
      <c r="D244" s="216">
        <f>'B) D RI'!AA245</f>
        <v>130</v>
      </c>
      <c r="E244" s="217">
        <f>'B) D RI'!S245</f>
        <v>77</v>
      </c>
      <c r="F244" s="10">
        <f>'B) D RI'!R245</f>
        <v>285720.62867316499</v>
      </c>
      <c r="G244" s="10">
        <f>'B) D RI'!U245</f>
        <v>3710.6575152359092</v>
      </c>
      <c r="H244" s="41">
        <f>'B) D RI'!T245</f>
        <v>266499.19117316499</v>
      </c>
      <c r="I244" s="10">
        <f t="shared" si="31"/>
        <v>6922.0569135887008</v>
      </c>
      <c r="J244" s="31">
        <f t="shared" ref="J244:J275" si="46">+$I$314/$D$314*D244</f>
        <v>11067.725869389171</v>
      </c>
      <c r="K244" s="10">
        <f t="shared" si="28"/>
        <v>6922.0569135887008</v>
      </c>
      <c r="L244" s="10">
        <f t="shared" si="32"/>
        <v>4145.66895580047</v>
      </c>
      <c r="M244" s="10">
        <f>'D) Ecrêtage'!C243</f>
        <v>3710.6575152359092</v>
      </c>
      <c r="N244" s="10">
        <f t="shared" si="29"/>
        <v>4768.5552993108895</v>
      </c>
      <c r="O244" s="55">
        <f t="shared" si="30"/>
        <v>11690.61221289959</v>
      </c>
      <c r="P244" s="218"/>
      <c r="Q244" s="219"/>
      <c r="R244" s="215"/>
      <c r="S244" s="215"/>
      <c r="T244" s="220"/>
    </row>
    <row r="245" spans="1:20" s="214" customFormat="1" x14ac:dyDescent="0.25">
      <c r="A245" s="306">
        <f>'A) Base RI'!A246</f>
        <v>5813</v>
      </c>
      <c r="B245" s="227" t="str">
        <f>'A) Base RI'!B246</f>
        <v>Chevroux</v>
      </c>
      <c r="C245" s="243">
        <v>0</v>
      </c>
      <c r="D245" s="216">
        <f>'B) D RI'!AA246</f>
        <v>492</v>
      </c>
      <c r="E245" s="217">
        <f>'B) D RI'!S246</f>
        <v>70</v>
      </c>
      <c r="F245" s="10">
        <f>'B) D RI'!R246</f>
        <v>1029696.1870124319</v>
      </c>
      <c r="G245" s="10">
        <f>'B) D RI'!U246</f>
        <v>14709.945528749027</v>
      </c>
      <c r="H245" s="41">
        <f>'B) D RI'!T246</f>
        <v>936330.93701243191</v>
      </c>
      <c r="I245" s="10">
        <f t="shared" si="31"/>
        <v>26752.312486069484</v>
      </c>
      <c r="J245" s="31">
        <f t="shared" si="46"/>
        <v>41887.085597995938</v>
      </c>
      <c r="K245" s="10">
        <f t="shared" si="28"/>
        <v>26752.312486069484</v>
      </c>
      <c r="L245" s="10">
        <f t="shared" si="32"/>
        <v>15134.773111926454</v>
      </c>
      <c r="M245" s="10">
        <f>'D) Ecrêtage'!C244</f>
        <v>14709.945528749027</v>
      </c>
      <c r="N245" s="10">
        <f t="shared" si="29"/>
        <v>18903.708686580616</v>
      </c>
      <c r="O245" s="55">
        <f t="shared" si="30"/>
        <v>45656.0211726501</v>
      </c>
      <c r="P245" s="218"/>
      <c r="Q245" s="219"/>
      <c r="R245" s="215"/>
      <c r="S245" s="215"/>
      <c r="T245" s="220"/>
    </row>
    <row r="246" spans="1:20" s="214" customFormat="1" x14ac:dyDescent="0.25">
      <c r="A246" s="306">
        <f>'A) Base RI'!A247</f>
        <v>5816</v>
      </c>
      <c r="B246" s="227" t="str">
        <f>'A) Base RI'!B247</f>
        <v>Corcelles-près-Payerne</v>
      </c>
      <c r="C246" s="243">
        <v>0</v>
      </c>
      <c r="D246" s="216">
        <f>'B) D RI'!AA247</f>
        <v>2571</v>
      </c>
      <c r="E246" s="217">
        <f>'B) D RI'!S247</f>
        <v>70</v>
      </c>
      <c r="F246" s="10">
        <f>'B) D RI'!R247</f>
        <v>4229024.9848343041</v>
      </c>
      <c r="G246" s="10">
        <f>'B) D RI'!U247</f>
        <v>60414.642640490056</v>
      </c>
      <c r="H246" s="41">
        <f>'B) D RI'!T247</f>
        <v>3843208.4419771614</v>
      </c>
      <c r="I246" s="10">
        <f t="shared" si="31"/>
        <v>109805.95548506176</v>
      </c>
      <c r="J246" s="31">
        <f t="shared" si="46"/>
        <v>218885.56315538121</v>
      </c>
      <c r="K246" s="10">
        <f t="shared" si="28"/>
        <v>109805.95548506176</v>
      </c>
      <c r="L246" s="10">
        <f t="shared" si="32"/>
        <v>109079.60767031946</v>
      </c>
      <c r="M246" s="10">
        <f>'D) Ecrêtage'!C245</f>
        <v>60414.642640490056</v>
      </c>
      <c r="N246" s="10">
        <f t="shared" si="29"/>
        <v>77638.683477628045</v>
      </c>
      <c r="O246" s="55">
        <f t="shared" si="30"/>
        <v>187444.63896268979</v>
      </c>
      <c r="P246" s="218"/>
      <c r="Q246" s="219"/>
      <c r="R246" s="215"/>
      <c r="S246" s="215"/>
      <c r="T246" s="220"/>
    </row>
    <row r="247" spans="1:20" s="214" customFormat="1" x14ac:dyDescent="0.25">
      <c r="A247" s="306">
        <f>'A) Base RI'!A248</f>
        <v>5817</v>
      </c>
      <c r="B247" s="227" t="str">
        <f>'A) Base RI'!B248</f>
        <v>Grandcour</v>
      </c>
      <c r="C247" s="243">
        <v>0</v>
      </c>
      <c r="D247" s="216">
        <f>'B) D RI'!AA248</f>
        <v>953</v>
      </c>
      <c r="E247" s="217">
        <f>'B) D RI'!S248</f>
        <v>77</v>
      </c>
      <c r="F247" s="10">
        <f>'B) D RI'!R248</f>
        <v>1679290.7015035655</v>
      </c>
      <c r="G247" s="10">
        <f>'B) D RI'!U248</f>
        <v>21808.970149396955</v>
      </c>
      <c r="H247" s="41">
        <f>'B) D RI'!T248</f>
        <v>1542329.8515035657</v>
      </c>
      <c r="I247" s="10">
        <f t="shared" si="31"/>
        <v>40060.51562346924</v>
      </c>
      <c r="J247" s="31">
        <f t="shared" si="46"/>
        <v>81134.944257906769</v>
      </c>
      <c r="K247" s="10">
        <f t="shared" si="28"/>
        <v>40060.51562346924</v>
      </c>
      <c r="L247" s="10">
        <f t="shared" si="32"/>
        <v>41074.428634437529</v>
      </c>
      <c r="M247" s="10">
        <f>'D) Ecrêtage'!C246</f>
        <v>21808.970149396955</v>
      </c>
      <c r="N247" s="10">
        <f t="shared" si="29"/>
        <v>28026.644806589786</v>
      </c>
      <c r="O247" s="55">
        <f t="shared" si="30"/>
        <v>68087.160430059026</v>
      </c>
      <c r="P247" s="218"/>
      <c r="Q247" s="219"/>
      <c r="R247" s="215"/>
      <c r="S247" s="215"/>
      <c r="T247" s="220"/>
    </row>
    <row r="248" spans="1:20" s="214" customFormat="1" x14ac:dyDescent="0.25">
      <c r="A248" s="306">
        <f>'A) Base RI'!A249</f>
        <v>5819</v>
      </c>
      <c r="B248" s="227" t="str">
        <f>'A) Base RI'!B249</f>
        <v>Henniez</v>
      </c>
      <c r="C248" s="243">
        <v>0</v>
      </c>
      <c r="D248" s="216">
        <f>'B) D RI'!AA249</f>
        <v>376</v>
      </c>
      <c r="E248" s="217">
        <f>'B) D RI'!S249</f>
        <v>69</v>
      </c>
      <c r="F248" s="10">
        <f>'B) D RI'!R249</f>
        <v>819498.84045697143</v>
      </c>
      <c r="G248" s="10">
        <f>'B) D RI'!U249</f>
        <v>11876.79478923147</v>
      </c>
      <c r="H248" s="41">
        <f>'B) D RI'!T249</f>
        <v>734626.04045697139</v>
      </c>
      <c r="I248" s="10">
        <f t="shared" si="31"/>
        <v>21293.50841904265</v>
      </c>
      <c r="J248" s="31">
        <f t="shared" si="46"/>
        <v>32011.268668387143</v>
      </c>
      <c r="K248" s="10">
        <f t="shared" si="28"/>
        <v>21293.50841904265</v>
      </c>
      <c r="L248" s="10">
        <f t="shared" si="32"/>
        <v>10717.760249344494</v>
      </c>
      <c r="M248" s="10">
        <f>'D) Ecrêtage'!C247</f>
        <v>11876.79478923147</v>
      </c>
      <c r="N248" s="10">
        <f t="shared" si="29"/>
        <v>15262.834820641496</v>
      </c>
      <c r="O248" s="55">
        <f t="shared" si="30"/>
        <v>36556.343239684145</v>
      </c>
      <c r="P248" s="218"/>
      <c r="Q248" s="219"/>
      <c r="R248" s="215"/>
      <c r="S248" s="215"/>
      <c r="T248" s="220"/>
    </row>
    <row r="249" spans="1:20" s="214" customFormat="1" x14ac:dyDescent="0.25">
      <c r="A249" s="306">
        <f>'A) Base RI'!A250</f>
        <v>5821</v>
      </c>
      <c r="B249" s="227" t="str">
        <f>'A) Base RI'!B250</f>
        <v>Missy</v>
      </c>
      <c r="C249" s="243">
        <v>0</v>
      </c>
      <c r="D249" s="216">
        <f>'B) D RI'!AA250</f>
        <v>362</v>
      </c>
      <c r="E249" s="217">
        <f>'B) D RI'!S250</f>
        <v>72</v>
      </c>
      <c r="F249" s="10">
        <f>'B) D RI'!R250</f>
        <v>601102.4800000001</v>
      </c>
      <c r="G249" s="10">
        <f>'B) D RI'!U250</f>
        <v>8348.6455555555567</v>
      </c>
      <c r="H249" s="41">
        <f>'B) D RI'!T250</f>
        <v>547209.53</v>
      </c>
      <c r="I249" s="10">
        <f t="shared" si="31"/>
        <v>15200.264722222222</v>
      </c>
      <c r="J249" s="31">
        <f t="shared" si="46"/>
        <v>30819.359728606771</v>
      </c>
      <c r="K249" s="10">
        <f t="shared" si="28"/>
        <v>15200.264722222222</v>
      </c>
      <c r="L249" s="10">
        <f t="shared" si="32"/>
        <v>15619.095006384548</v>
      </c>
      <c r="M249" s="10">
        <f>'D) Ecrêtage'!C248</f>
        <v>8348.6455555555567</v>
      </c>
      <c r="N249" s="10">
        <f t="shared" si="29"/>
        <v>10728.820388987511</v>
      </c>
      <c r="O249" s="55">
        <f t="shared" si="30"/>
        <v>25929.085111209733</v>
      </c>
      <c r="P249" s="218"/>
      <c r="Q249" s="219"/>
      <c r="R249" s="215"/>
      <c r="S249" s="215"/>
      <c r="T249" s="220"/>
    </row>
    <row r="250" spans="1:20" s="214" customFormat="1" x14ac:dyDescent="0.25">
      <c r="A250" s="306">
        <f>'A) Base RI'!A251</f>
        <v>5822</v>
      </c>
      <c r="B250" s="227" t="str">
        <f>'A) Base RI'!B251</f>
        <v>Payerne</v>
      </c>
      <c r="C250" s="243">
        <v>0</v>
      </c>
      <c r="D250" s="216">
        <f>'B) D RI'!AA251</f>
        <v>10072</v>
      </c>
      <c r="E250" s="217">
        <f>'B) D RI'!S251</f>
        <v>75</v>
      </c>
      <c r="F250" s="10">
        <f>'B) D RI'!R251</f>
        <v>18272928.679964311</v>
      </c>
      <c r="G250" s="10">
        <f>'B) D RI'!U251</f>
        <v>243639.04906619081</v>
      </c>
      <c r="H250" s="41">
        <f>'B) D RI'!T251</f>
        <v>16658599.529964313</v>
      </c>
      <c r="I250" s="10">
        <f t="shared" si="31"/>
        <v>444229.32079904835</v>
      </c>
      <c r="J250" s="31">
        <f t="shared" si="46"/>
        <v>857493.34581913636</v>
      </c>
      <c r="K250" s="10">
        <f t="shared" si="28"/>
        <v>444229.32079904835</v>
      </c>
      <c r="L250" s="10">
        <f t="shared" si="32"/>
        <v>413264.02502008801</v>
      </c>
      <c r="M250" s="10">
        <f>'D) Ecrêtage'!C249</f>
        <v>243639.04906619081</v>
      </c>
      <c r="N250" s="10">
        <f t="shared" si="29"/>
        <v>313099.84113955259</v>
      </c>
      <c r="O250" s="55">
        <f t="shared" si="30"/>
        <v>757329.16193860094</v>
      </c>
      <c r="P250" s="218"/>
      <c r="Q250" s="219"/>
      <c r="R250" s="215"/>
      <c r="S250" s="215"/>
      <c r="T250" s="220"/>
    </row>
    <row r="251" spans="1:20" s="214" customFormat="1" x14ac:dyDescent="0.25">
      <c r="A251" s="306">
        <f>'A) Base RI'!A252</f>
        <v>5827</v>
      </c>
      <c r="B251" s="227" t="str">
        <f>'A) Base RI'!B252</f>
        <v>Trey</v>
      </c>
      <c r="C251" s="243">
        <v>0</v>
      </c>
      <c r="D251" s="216">
        <f>'B) D RI'!AA252</f>
        <v>285</v>
      </c>
      <c r="E251" s="217">
        <f>'B) D RI'!S252</f>
        <v>80</v>
      </c>
      <c r="F251" s="10">
        <f>'B) D RI'!R252</f>
        <v>540750.43321979814</v>
      </c>
      <c r="G251" s="10">
        <f>'B) D RI'!U252</f>
        <v>6759.3804152474768</v>
      </c>
      <c r="H251" s="41">
        <f>'B) D RI'!T252</f>
        <v>502341.53321979812</v>
      </c>
      <c r="I251" s="10">
        <f t="shared" si="31"/>
        <v>12558.538330494954</v>
      </c>
      <c r="J251" s="31">
        <f t="shared" si="46"/>
        <v>24263.860559814722</v>
      </c>
      <c r="K251" s="10">
        <f t="shared" si="28"/>
        <v>12558.538330494954</v>
      </c>
      <c r="L251" s="10">
        <f t="shared" si="32"/>
        <v>11705.322229319769</v>
      </c>
      <c r="M251" s="10">
        <f>'D) Ecrêtage'!C250</f>
        <v>6759.3804152474768</v>
      </c>
      <c r="N251" s="10">
        <f t="shared" si="29"/>
        <v>8686.4603286184392</v>
      </c>
      <c r="O251" s="55">
        <f t="shared" si="30"/>
        <v>21244.998659113393</v>
      </c>
      <c r="P251" s="218"/>
      <c r="Q251" s="219"/>
      <c r="R251" s="215"/>
      <c r="S251" s="215"/>
      <c r="T251" s="220"/>
    </row>
    <row r="252" spans="1:20" s="214" customFormat="1" x14ac:dyDescent="0.25">
      <c r="A252" s="306">
        <f>'A) Base RI'!A253</f>
        <v>5828</v>
      </c>
      <c r="B252" s="227" t="str">
        <f>'A) Base RI'!B253</f>
        <v>Treytorrens (Payerne)</v>
      </c>
      <c r="C252" s="243">
        <v>0</v>
      </c>
      <c r="D252" s="216">
        <f>'B) D RI'!AA253</f>
        <v>111</v>
      </c>
      <c r="E252" s="217">
        <f>'B) D RI'!S253</f>
        <v>84</v>
      </c>
      <c r="F252" s="10">
        <f>'B) D RI'!R253</f>
        <v>203533.22333333339</v>
      </c>
      <c r="G252" s="10">
        <f>'B) D RI'!U253</f>
        <v>2423.0145634920641</v>
      </c>
      <c r="H252" s="41">
        <f>'B) D RI'!T253</f>
        <v>187808.29000000004</v>
      </c>
      <c r="I252" s="10">
        <f t="shared" si="31"/>
        <v>4471.6259523809531</v>
      </c>
      <c r="J252" s="31">
        <f t="shared" si="46"/>
        <v>9450.1351654015234</v>
      </c>
      <c r="K252" s="10">
        <f t="shared" si="28"/>
        <v>4471.6259523809531</v>
      </c>
      <c r="L252" s="10">
        <f t="shared" si="32"/>
        <v>4978.5092130205703</v>
      </c>
      <c r="M252" s="10">
        <f>'D) Ecrêtage'!C251</f>
        <v>2423.0145634920641</v>
      </c>
      <c r="N252" s="10">
        <f t="shared" si="29"/>
        <v>3113.8090458647375</v>
      </c>
      <c r="O252" s="55">
        <f t="shared" si="30"/>
        <v>7585.4349982456906</v>
      </c>
      <c r="P252" s="218"/>
      <c r="Q252" s="219"/>
      <c r="R252" s="215"/>
      <c r="S252" s="215"/>
      <c r="T252" s="220"/>
    </row>
    <row r="253" spans="1:20" s="214" customFormat="1" x14ac:dyDescent="0.25">
      <c r="A253" s="306">
        <f>'A) Base RI'!A254</f>
        <v>5830</v>
      </c>
      <c r="B253" s="227" t="str">
        <f>'A) Base RI'!B254</f>
        <v>Villarzel</v>
      </c>
      <c r="C253" s="243">
        <v>0</v>
      </c>
      <c r="D253" s="216">
        <f>'B) D RI'!AA254</f>
        <v>451</v>
      </c>
      <c r="E253" s="217">
        <f>'B) D RI'!S254</f>
        <v>77</v>
      </c>
      <c r="F253" s="10">
        <f>'B) D RI'!R254</f>
        <v>1052067.1537876327</v>
      </c>
      <c r="G253" s="10">
        <f>'B) D RI'!U254</f>
        <v>13663.209789449775</v>
      </c>
      <c r="H253" s="41">
        <f>'B) D RI'!T254</f>
        <v>992754.30378763273</v>
      </c>
      <c r="I253" s="10">
        <f t="shared" si="31"/>
        <v>25785.826072406046</v>
      </c>
      <c r="J253" s="31">
        <f t="shared" si="46"/>
        <v>38396.495131496282</v>
      </c>
      <c r="K253" s="10">
        <f t="shared" ref="K253:K302" si="47">IF(C253=1,0,IF(J253&gt;I253,I253,J253))</f>
        <v>25785.826072406046</v>
      </c>
      <c r="L253" s="10">
        <f t="shared" si="32"/>
        <v>12610.669059090236</v>
      </c>
      <c r="M253" s="10">
        <f>'D) Ecrêtage'!C252</f>
        <v>13663.209789449775</v>
      </c>
      <c r="N253" s="10">
        <f t="shared" ref="N253:N312" si="48">+$N$5*M253</f>
        <v>17558.55159888959</v>
      </c>
      <c r="O253" s="55">
        <f t="shared" ref="O253:O313" si="49">+N253+K253</f>
        <v>43344.377671295631</v>
      </c>
      <c r="P253" s="218"/>
      <c r="Q253" s="219"/>
      <c r="R253" s="215"/>
      <c r="S253" s="215"/>
      <c r="T253" s="220"/>
    </row>
    <row r="254" spans="1:20" s="214" customFormat="1" x14ac:dyDescent="0.25">
      <c r="A254" s="306">
        <f>'A) Base RI'!A255</f>
        <v>5831</v>
      </c>
      <c r="B254" s="227" t="str">
        <f>'A) Base RI'!B255</f>
        <v>Valbroye</v>
      </c>
      <c r="C254" s="243">
        <v>0</v>
      </c>
      <c r="D254" s="216">
        <f>'B) D RI'!AA255</f>
        <v>3296</v>
      </c>
      <c r="E254" s="217">
        <f>'B) D RI'!S255</f>
        <v>73</v>
      </c>
      <c r="F254" s="10">
        <f>'B) D RI'!R255</f>
        <v>6603347.1163374912</v>
      </c>
      <c r="G254" s="10">
        <f>'B) D RI'!U255</f>
        <v>90456.809812842344</v>
      </c>
      <c r="H254" s="41">
        <f>'B) D RI'!T255</f>
        <v>5816326.7663374916</v>
      </c>
      <c r="I254" s="10">
        <f t="shared" ref="I254:I285" si="50">+H254/E254*$I$5</f>
        <v>159351.41825582169</v>
      </c>
      <c r="J254" s="31">
        <f t="shared" si="46"/>
        <v>280609.41896543623</v>
      </c>
      <c r="K254" s="10">
        <f t="shared" si="47"/>
        <v>159351.41825582169</v>
      </c>
      <c r="L254" s="10">
        <f t="shared" ref="L254:L313" si="51">+J254-K254</f>
        <v>121258.00070961454</v>
      </c>
      <c r="M254" s="10">
        <f>'D) Ecrêtage'!C253</f>
        <v>90456.809812842344</v>
      </c>
      <c r="N254" s="10">
        <f t="shared" si="48"/>
        <v>116245.78609604266</v>
      </c>
      <c r="O254" s="55">
        <f t="shared" si="49"/>
        <v>275597.20435186435</v>
      </c>
      <c r="P254" s="218"/>
      <c r="Q254" s="219"/>
      <c r="R254" s="215"/>
      <c r="S254" s="215"/>
      <c r="T254" s="220"/>
    </row>
    <row r="255" spans="1:20" s="214" customFormat="1" x14ac:dyDescent="0.25">
      <c r="A255" s="306">
        <f>'A) Base RI'!A256</f>
        <v>5841</v>
      </c>
      <c r="B255" s="227" t="str">
        <f>'A) Base RI'!B256</f>
        <v>Château-d'Oex</v>
      </c>
      <c r="C255" s="243">
        <v>0</v>
      </c>
      <c r="D255" s="216">
        <f>'B) D RI'!AA256</f>
        <v>3468</v>
      </c>
      <c r="E255" s="217">
        <f>'B) D RI'!S256</f>
        <v>83</v>
      </c>
      <c r="F255" s="10">
        <f>'B) D RI'!R256</f>
        <v>9825429.408397248</v>
      </c>
      <c r="G255" s="10">
        <f>'B) D RI'!U256</f>
        <v>118378.66757105118</v>
      </c>
      <c r="H255" s="41">
        <f>'B) D RI'!T256</f>
        <v>8807652.5583972484</v>
      </c>
      <c r="I255" s="10">
        <f t="shared" si="50"/>
        <v>212232.5917686084</v>
      </c>
      <c r="J255" s="31">
        <f t="shared" si="46"/>
        <v>295252.87165416649</v>
      </c>
      <c r="K255" s="10">
        <f t="shared" si="47"/>
        <v>212232.5917686084</v>
      </c>
      <c r="L255" s="10">
        <f t="shared" si="51"/>
        <v>83020.279885558091</v>
      </c>
      <c r="M255" s="10">
        <f>'D) Ecrêtage'!C254</f>
        <v>118378.66757105118</v>
      </c>
      <c r="N255" s="10">
        <f t="shared" si="48"/>
        <v>152128.08518530437</v>
      </c>
      <c r="O255" s="55">
        <f t="shared" si="49"/>
        <v>364360.67695391277</v>
      </c>
      <c r="P255" s="218"/>
      <c r="Q255" s="219"/>
      <c r="R255" s="215"/>
      <c r="S255" s="215"/>
      <c r="T255" s="220"/>
    </row>
    <row r="256" spans="1:20" s="214" customFormat="1" x14ac:dyDescent="0.25">
      <c r="A256" s="306">
        <f>'A) Base RI'!A257</f>
        <v>5842</v>
      </c>
      <c r="B256" s="227" t="str">
        <f>'A) Base RI'!B257</f>
        <v>Rossinière</v>
      </c>
      <c r="C256" s="243">
        <v>0</v>
      </c>
      <c r="D256" s="216">
        <f>'B) D RI'!AA257</f>
        <v>548</v>
      </c>
      <c r="E256" s="217">
        <f>'B) D RI'!S257</f>
        <v>81</v>
      </c>
      <c r="F256" s="10">
        <f>'B) D RI'!R257</f>
        <v>1115256.4720364679</v>
      </c>
      <c r="G256" s="10">
        <f>'B) D RI'!U257</f>
        <v>13768.598420203307</v>
      </c>
      <c r="H256" s="41">
        <f>'B) D RI'!T257</f>
        <v>1020149.1887031344</v>
      </c>
      <c r="I256" s="10">
        <f t="shared" si="50"/>
        <v>25188.868856867517</v>
      </c>
      <c r="J256" s="31">
        <f t="shared" si="46"/>
        <v>46654.721357117429</v>
      </c>
      <c r="K256" s="10">
        <f t="shared" si="47"/>
        <v>25188.868856867517</v>
      </c>
      <c r="L256" s="10">
        <f t="shared" si="51"/>
        <v>21465.852500249912</v>
      </c>
      <c r="M256" s="10">
        <f>'D) Ecrêtage'!C255</f>
        <v>13768.598420203307</v>
      </c>
      <c r="N256" s="10">
        <f t="shared" si="48"/>
        <v>17693.986225125886</v>
      </c>
      <c r="O256" s="55">
        <f t="shared" si="49"/>
        <v>42882.855081993403</v>
      </c>
      <c r="P256" s="218"/>
      <c r="Q256" s="219"/>
      <c r="R256" s="215"/>
      <c r="S256" s="215"/>
      <c r="T256" s="220"/>
    </row>
    <row r="257" spans="1:20" s="214" customFormat="1" x14ac:dyDescent="0.25">
      <c r="A257" s="306">
        <f>'A) Base RI'!A258</f>
        <v>5843</v>
      </c>
      <c r="B257" s="227" t="str">
        <f>'A) Base RI'!B258</f>
        <v>Rougemont</v>
      </c>
      <c r="C257" s="243">
        <v>0</v>
      </c>
      <c r="D257" s="216">
        <f>'B) D RI'!AA258</f>
        <v>858</v>
      </c>
      <c r="E257" s="217">
        <f>'B) D RI'!S258</f>
        <v>74</v>
      </c>
      <c r="F257" s="10">
        <f>'B) D RI'!R258</f>
        <v>6356606.4663070058</v>
      </c>
      <c r="G257" s="10">
        <f>'B) D RI'!U258</f>
        <v>85900.087382527112</v>
      </c>
      <c r="H257" s="41">
        <f>'B) D RI'!T258</f>
        <v>5531987.9496403392</v>
      </c>
      <c r="I257" s="10">
        <f t="shared" si="50"/>
        <v>149513.18782811728</v>
      </c>
      <c r="J257" s="31">
        <f t="shared" si="46"/>
        <v>73046.990737968532</v>
      </c>
      <c r="K257" s="10">
        <f t="shared" si="47"/>
        <v>73046.990737968532</v>
      </c>
      <c r="L257" s="10">
        <f t="shared" si="51"/>
        <v>0</v>
      </c>
      <c r="M257" s="10">
        <f>'D) Ecrêtage'!C256</f>
        <v>85900.087382527112</v>
      </c>
      <c r="N257" s="10">
        <f t="shared" si="48"/>
        <v>110389.95520802629</v>
      </c>
      <c r="O257" s="55">
        <f t="shared" si="49"/>
        <v>183436.94594599481</v>
      </c>
      <c r="P257" s="218"/>
      <c r="Q257" s="219"/>
      <c r="R257" s="215"/>
      <c r="S257" s="215"/>
      <c r="T257" s="220"/>
    </row>
    <row r="258" spans="1:20" s="214" customFormat="1" x14ac:dyDescent="0.25">
      <c r="A258" s="306">
        <f>'A) Base RI'!A259</f>
        <v>5851</v>
      </c>
      <c r="B258" s="227" t="str">
        <f>'A) Base RI'!B259</f>
        <v>Allaman</v>
      </c>
      <c r="C258" s="243">
        <v>0</v>
      </c>
      <c r="D258" s="216">
        <f>'B) D RI'!AA259</f>
        <v>451</v>
      </c>
      <c r="E258" s="217">
        <f>'B) D RI'!S259</f>
        <v>62</v>
      </c>
      <c r="F258" s="10">
        <f>'B) D RI'!R259</f>
        <v>1441540.5613577482</v>
      </c>
      <c r="G258" s="10">
        <f>'B) D RI'!U259</f>
        <v>23250.654215447554</v>
      </c>
      <c r="H258" s="41">
        <f>'B) D RI'!T259</f>
        <v>1214440.5613577482</v>
      </c>
      <c r="I258" s="10">
        <f t="shared" si="50"/>
        <v>39175.501979282199</v>
      </c>
      <c r="J258" s="31">
        <f t="shared" si="46"/>
        <v>38396.495131496282</v>
      </c>
      <c r="K258" s="10">
        <f t="shared" si="47"/>
        <v>38396.495131496282</v>
      </c>
      <c r="L258" s="10">
        <f t="shared" si="51"/>
        <v>0</v>
      </c>
      <c r="M258" s="10">
        <f>'D) Ecrêtage'!C257</f>
        <v>23250.654215447554</v>
      </c>
      <c r="N258" s="10">
        <f t="shared" si="48"/>
        <v>29879.348852940067</v>
      </c>
      <c r="O258" s="55">
        <f t="shared" si="49"/>
        <v>68275.843984436346</v>
      </c>
      <c r="P258" s="218"/>
      <c r="Q258" s="219"/>
      <c r="R258" s="215"/>
      <c r="S258" s="215"/>
      <c r="T258" s="220"/>
    </row>
    <row r="259" spans="1:20" s="214" customFormat="1" x14ac:dyDescent="0.25">
      <c r="A259" s="306">
        <f>'A) Base RI'!A260</f>
        <v>5852</v>
      </c>
      <c r="B259" s="227" t="str">
        <f>'A) Base RI'!B260</f>
        <v>Bursinel</v>
      </c>
      <c r="C259" s="243">
        <v>0</v>
      </c>
      <c r="D259" s="216">
        <f>'B) D RI'!AA260</f>
        <v>473</v>
      </c>
      <c r="E259" s="217">
        <f>'B) D RI'!S260</f>
        <v>65.5</v>
      </c>
      <c r="F259" s="10">
        <f>'B) D RI'!R260</f>
        <v>2598963.8899033214</v>
      </c>
      <c r="G259" s="10">
        <f>'B) D RI'!U260</f>
        <v>39678.838013791166</v>
      </c>
      <c r="H259" s="41">
        <f>'B) D RI'!T260</f>
        <v>2410056.0732366545</v>
      </c>
      <c r="I259" s="10">
        <f t="shared" si="50"/>
        <v>73589.498419439828</v>
      </c>
      <c r="J259" s="31">
        <f t="shared" si="46"/>
        <v>40269.49489400829</v>
      </c>
      <c r="K259" s="10">
        <f t="shared" si="47"/>
        <v>40269.49489400829</v>
      </c>
      <c r="L259" s="10">
        <f t="shared" si="51"/>
        <v>0</v>
      </c>
      <c r="M259" s="10">
        <f>'D) Ecrêtage'!C258</f>
        <v>39678.838013791166</v>
      </c>
      <c r="N259" s="10">
        <f t="shared" si="48"/>
        <v>50991.160597351154</v>
      </c>
      <c r="O259" s="55">
        <f t="shared" si="49"/>
        <v>91260.655491359445</v>
      </c>
      <c r="P259" s="218"/>
      <c r="Q259" s="219"/>
      <c r="R259" s="215"/>
      <c r="S259" s="215"/>
      <c r="T259" s="220"/>
    </row>
    <row r="260" spans="1:20" s="214" customFormat="1" x14ac:dyDescent="0.25">
      <c r="A260" s="306">
        <f>'A) Base RI'!A261</f>
        <v>5853</v>
      </c>
      <c r="B260" s="227" t="str">
        <f>'A) Base RI'!B261</f>
        <v>Bursins</v>
      </c>
      <c r="C260" s="243">
        <v>0</v>
      </c>
      <c r="D260" s="216">
        <f>'B) D RI'!AA261</f>
        <v>782</v>
      </c>
      <c r="E260" s="217">
        <f>'B) D RI'!S261</f>
        <v>71</v>
      </c>
      <c r="F260" s="10">
        <f>'B) D RI'!R261</f>
        <v>2574749.1132356501</v>
      </c>
      <c r="G260" s="10">
        <f>'B) D RI'!U261</f>
        <v>36264.072017403523</v>
      </c>
      <c r="H260" s="41">
        <f>'B) D RI'!T261</f>
        <v>2361061.6632356504</v>
      </c>
      <c r="I260" s="10">
        <f t="shared" si="50"/>
        <v>66508.779246074657</v>
      </c>
      <c r="J260" s="31">
        <f t="shared" si="46"/>
        <v>66576.627922017942</v>
      </c>
      <c r="K260" s="10">
        <f t="shared" si="47"/>
        <v>66508.779246074657</v>
      </c>
      <c r="L260" s="10">
        <f t="shared" si="51"/>
        <v>67.848675943285343</v>
      </c>
      <c r="M260" s="10">
        <f>'D) Ecrêtage'!C259</f>
        <v>36264.072017403523</v>
      </c>
      <c r="N260" s="10">
        <f t="shared" si="48"/>
        <v>46602.854637795179</v>
      </c>
      <c r="O260" s="55">
        <f t="shared" si="49"/>
        <v>113111.63388386983</v>
      </c>
      <c r="P260" s="218"/>
      <c r="Q260" s="219"/>
      <c r="R260" s="215"/>
      <c r="S260" s="215"/>
      <c r="T260" s="220"/>
    </row>
    <row r="261" spans="1:20" s="214" customFormat="1" x14ac:dyDescent="0.25">
      <c r="A261" s="306">
        <f>'A) Base RI'!A262</f>
        <v>5854</v>
      </c>
      <c r="B261" s="227" t="str">
        <f>'A) Base RI'!B262</f>
        <v>Burtigny</v>
      </c>
      <c r="C261" s="243">
        <v>0</v>
      </c>
      <c r="D261" s="216">
        <f>'B) D RI'!AA262</f>
        <v>390</v>
      </c>
      <c r="E261" s="217">
        <f>'B) D RI'!S262</f>
        <v>80</v>
      </c>
      <c r="F261" s="10">
        <f>'B) D RI'!R262</f>
        <v>882992.90666666662</v>
      </c>
      <c r="G261" s="10">
        <f>'B) D RI'!U262</f>
        <v>11037.411333333333</v>
      </c>
      <c r="H261" s="41">
        <f>'B) D RI'!T262</f>
        <v>811607.44</v>
      </c>
      <c r="I261" s="10">
        <f t="shared" si="50"/>
        <v>20290.185999999998</v>
      </c>
      <c r="J261" s="31">
        <f t="shared" si="46"/>
        <v>33203.177608167513</v>
      </c>
      <c r="K261" s="10">
        <f t="shared" si="47"/>
        <v>20290.185999999998</v>
      </c>
      <c r="L261" s="10">
        <f t="shared" si="51"/>
        <v>12912.991608167515</v>
      </c>
      <c r="M261" s="10">
        <f>'D) Ecrêtage'!C260</f>
        <v>11037.411333333333</v>
      </c>
      <c r="N261" s="10">
        <f t="shared" si="48"/>
        <v>14184.145555910882</v>
      </c>
      <c r="O261" s="55">
        <f t="shared" si="49"/>
        <v>34474.331555910881</v>
      </c>
      <c r="P261" s="218"/>
      <c r="Q261" s="219"/>
      <c r="R261" s="215"/>
      <c r="S261" s="215"/>
      <c r="T261" s="220"/>
    </row>
    <row r="262" spans="1:20" s="214" customFormat="1" x14ac:dyDescent="0.25">
      <c r="A262" s="306">
        <f>'A) Base RI'!A263</f>
        <v>5855</v>
      </c>
      <c r="B262" s="227" t="str">
        <f>'A) Base RI'!B263</f>
        <v>Dully</v>
      </c>
      <c r="C262" s="243">
        <v>0</v>
      </c>
      <c r="D262" s="216">
        <f>'B) D RI'!AA263</f>
        <v>639</v>
      </c>
      <c r="E262" s="217">
        <f>'B) D RI'!S263</f>
        <v>49</v>
      </c>
      <c r="F262" s="10">
        <f>'B) D RI'!R263</f>
        <v>3899803.3521856391</v>
      </c>
      <c r="G262" s="10">
        <f>'B) D RI'!U263</f>
        <v>79587.82351399264</v>
      </c>
      <c r="H262" s="41">
        <f>'B) D RI'!T263</f>
        <v>3539018.1521856389</v>
      </c>
      <c r="I262" s="10">
        <f t="shared" si="50"/>
        <v>144449.72049737303</v>
      </c>
      <c r="J262" s="31">
        <f t="shared" si="46"/>
        <v>54402.129465689846</v>
      </c>
      <c r="K262" s="10">
        <f t="shared" si="47"/>
        <v>54402.129465689846</v>
      </c>
      <c r="L262" s="10">
        <f t="shared" si="51"/>
        <v>0</v>
      </c>
      <c r="M262" s="10">
        <f>'D) Ecrêtage'!C261</f>
        <v>79587.82351399264</v>
      </c>
      <c r="N262" s="10">
        <f t="shared" si="48"/>
        <v>102278.08306748059</v>
      </c>
      <c r="O262" s="55">
        <f t="shared" si="49"/>
        <v>156680.21253317044</v>
      </c>
      <c r="P262" s="218"/>
      <c r="Q262" s="219"/>
      <c r="R262" s="215"/>
      <c r="S262" s="215"/>
      <c r="T262" s="220"/>
    </row>
    <row r="263" spans="1:20" s="214" customFormat="1" x14ac:dyDescent="0.25">
      <c r="A263" s="306">
        <f>'A) Base RI'!A264</f>
        <v>5856</v>
      </c>
      <c r="B263" s="227" t="str">
        <f>'A) Base RI'!B264</f>
        <v>Essertines-sur-Rolle</v>
      </c>
      <c r="C263" s="243">
        <v>0</v>
      </c>
      <c r="D263" s="216">
        <f>'B) D RI'!AA264</f>
        <v>722</v>
      </c>
      <c r="E263" s="217">
        <f>'B) D RI'!S264</f>
        <v>68</v>
      </c>
      <c r="F263" s="10">
        <f>'B) D RI'!R264</f>
        <v>2482862.6661010347</v>
      </c>
      <c r="G263" s="10">
        <f>'B) D RI'!U264</f>
        <v>36512.686266191689</v>
      </c>
      <c r="H263" s="41">
        <f>'B) D RI'!T264</f>
        <v>2297627.9161010347</v>
      </c>
      <c r="I263" s="10">
        <f t="shared" si="50"/>
        <v>67577.291650030427</v>
      </c>
      <c r="J263" s="31">
        <f t="shared" si="46"/>
        <v>61468.446751530631</v>
      </c>
      <c r="K263" s="10">
        <f t="shared" si="47"/>
        <v>61468.446751530631</v>
      </c>
      <c r="L263" s="10">
        <f t="shared" si="51"/>
        <v>0</v>
      </c>
      <c r="M263" s="10">
        <f>'D) Ecrêtage'!C262</f>
        <v>36512.686266191689</v>
      </c>
      <c r="N263" s="10">
        <f t="shared" si="48"/>
        <v>46922.348093786532</v>
      </c>
      <c r="O263" s="55">
        <f t="shared" si="49"/>
        <v>108390.79484531717</v>
      </c>
      <c r="P263" s="218"/>
      <c r="Q263" s="219"/>
      <c r="R263" s="215"/>
      <c r="S263" s="215"/>
      <c r="T263" s="220"/>
    </row>
    <row r="264" spans="1:20" s="214" customFormat="1" x14ac:dyDescent="0.25">
      <c r="A264" s="306">
        <f>'A) Base RI'!A265</f>
        <v>5857</v>
      </c>
      <c r="B264" s="227" t="str">
        <f>'A) Base RI'!B265</f>
        <v>Gilly</v>
      </c>
      <c r="C264" s="243">
        <v>0</v>
      </c>
      <c r="D264" s="216">
        <f>'B) D RI'!AA265</f>
        <v>1370</v>
      </c>
      <c r="E264" s="217">
        <f>'B) D RI'!S265</f>
        <v>66</v>
      </c>
      <c r="F264" s="10">
        <f>'B) D RI'!R265</f>
        <v>5639380.0629696632</v>
      </c>
      <c r="G264" s="10">
        <f>'B) D RI'!U265</f>
        <v>85445.15246923732</v>
      </c>
      <c r="H264" s="41">
        <f>'B) D RI'!T265</f>
        <v>5242923.1629696628</v>
      </c>
      <c r="I264" s="10">
        <f t="shared" si="50"/>
        <v>158876.45948392918</v>
      </c>
      <c r="J264" s="31">
        <f t="shared" si="46"/>
        <v>116636.80339279358</v>
      </c>
      <c r="K264" s="10">
        <f t="shared" si="47"/>
        <v>116636.80339279358</v>
      </c>
      <c r="L264" s="10">
        <f t="shared" si="51"/>
        <v>0</v>
      </c>
      <c r="M264" s="10">
        <f>'D) Ecrêtage'!C263</f>
        <v>85445.15246923732</v>
      </c>
      <c r="N264" s="10">
        <f t="shared" si="48"/>
        <v>109805.31965955487</v>
      </c>
      <c r="O264" s="55">
        <f t="shared" si="49"/>
        <v>226442.12305234844</v>
      </c>
      <c r="P264" s="218"/>
      <c r="Q264" s="219"/>
      <c r="R264" s="215"/>
      <c r="S264" s="215"/>
      <c r="T264" s="220"/>
    </row>
    <row r="265" spans="1:20" s="214" customFormat="1" x14ac:dyDescent="0.25">
      <c r="A265" s="306">
        <f>'A) Base RI'!A266</f>
        <v>5858</v>
      </c>
      <c r="B265" s="227" t="str">
        <f>'A) Base RI'!B266</f>
        <v>Luins</v>
      </c>
      <c r="C265" s="243">
        <v>0</v>
      </c>
      <c r="D265" s="216">
        <f>'B) D RI'!AA266</f>
        <v>621</v>
      </c>
      <c r="E265" s="217">
        <f>'B) D RI'!S266</f>
        <v>60</v>
      </c>
      <c r="F265" s="10">
        <f>'B) D RI'!R266</f>
        <v>2801196.6879352177</v>
      </c>
      <c r="G265" s="10">
        <f>'B) D RI'!U266</f>
        <v>46686.611465586961</v>
      </c>
      <c r="H265" s="41">
        <f>'B) D RI'!T266</f>
        <v>2647864.0712685511</v>
      </c>
      <c r="I265" s="10">
        <f t="shared" si="50"/>
        <v>88262.135708951697</v>
      </c>
      <c r="J265" s="31">
        <f t="shared" si="46"/>
        <v>52869.675114543657</v>
      </c>
      <c r="K265" s="10">
        <f t="shared" si="47"/>
        <v>52869.675114543657</v>
      </c>
      <c r="L265" s="10">
        <f t="shared" si="51"/>
        <v>0</v>
      </c>
      <c r="M265" s="10">
        <f>'D) Ecrêtage'!C264</f>
        <v>46686.611465586961</v>
      </c>
      <c r="N265" s="10">
        <f t="shared" si="48"/>
        <v>59996.830102747823</v>
      </c>
      <c r="O265" s="55">
        <f t="shared" si="49"/>
        <v>112866.50521729147</v>
      </c>
      <c r="P265" s="218"/>
      <c r="Q265" s="219"/>
      <c r="R265" s="215"/>
      <c r="S265" s="215"/>
      <c r="T265" s="220"/>
    </row>
    <row r="266" spans="1:20" s="214" customFormat="1" x14ac:dyDescent="0.25">
      <c r="A266" s="306">
        <f>'A) Base RI'!A267</f>
        <v>5859</v>
      </c>
      <c r="B266" s="227" t="str">
        <f>'A) Base RI'!B267</f>
        <v>Mont-sur-Rolle</v>
      </c>
      <c r="C266" s="243">
        <v>0</v>
      </c>
      <c r="D266" s="216">
        <f>'B) D RI'!AA267</f>
        <v>2677</v>
      </c>
      <c r="E266" s="217">
        <f>'B) D RI'!S267</f>
        <v>65</v>
      </c>
      <c r="F266" s="10">
        <f>'B) D RI'!R267</f>
        <v>8862992.1770756505</v>
      </c>
      <c r="G266" s="10">
        <f>'B) D RI'!U267</f>
        <v>136353.72580116385</v>
      </c>
      <c r="H266" s="41">
        <f>'B) D RI'!T267</f>
        <v>8224254.6270756507</v>
      </c>
      <c r="I266" s="10">
        <f t="shared" si="50"/>
        <v>253053.98852540462</v>
      </c>
      <c r="J266" s="31">
        <f t="shared" si="46"/>
        <v>227910.01655657549</v>
      </c>
      <c r="K266" s="10">
        <f t="shared" si="47"/>
        <v>227910.01655657549</v>
      </c>
      <c r="L266" s="10">
        <f t="shared" si="51"/>
        <v>0</v>
      </c>
      <c r="M266" s="10">
        <f>'D) Ecrêtage'!C265</f>
        <v>136353.72580116385</v>
      </c>
      <c r="N266" s="10">
        <f t="shared" si="48"/>
        <v>175227.78081247577</v>
      </c>
      <c r="O266" s="55">
        <f t="shared" si="49"/>
        <v>403137.79736905126</v>
      </c>
      <c r="P266" s="218"/>
      <c r="Q266" s="219"/>
      <c r="R266" s="215"/>
      <c r="S266" s="215"/>
      <c r="T266" s="220"/>
    </row>
    <row r="267" spans="1:20" s="214" customFormat="1" x14ac:dyDescent="0.25">
      <c r="A267" s="306">
        <f>'A) Base RI'!A268</f>
        <v>5860</v>
      </c>
      <c r="B267" s="227" t="str">
        <f>'A) Base RI'!B268</f>
        <v>Perroy</v>
      </c>
      <c r="C267" s="243">
        <v>0</v>
      </c>
      <c r="D267" s="216">
        <f>'B) D RI'!AA268</f>
        <v>1497</v>
      </c>
      <c r="E267" s="217">
        <f>'B) D RI'!S268</f>
        <v>60</v>
      </c>
      <c r="F267" s="10">
        <f>'B) D RI'!R268</f>
        <v>6158361.2394076623</v>
      </c>
      <c r="G267" s="10">
        <f>'B) D RI'!U268</f>
        <v>102639.35399012771</v>
      </c>
      <c r="H267" s="41">
        <f>'B) D RI'!T268</f>
        <v>5633075.0547922775</v>
      </c>
      <c r="I267" s="10">
        <f t="shared" si="50"/>
        <v>187769.16849307591</v>
      </c>
      <c r="J267" s="31">
        <f t="shared" si="46"/>
        <v>127449.12020365839</v>
      </c>
      <c r="K267" s="10">
        <f t="shared" si="47"/>
        <v>127449.12020365839</v>
      </c>
      <c r="L267" s="10">
        <f t="shared" si="51"/>
        <v>0</v>
      </c>
      <c r="M267" s="10">
        <f>'D) Ecrêtage'!C266</f>
        <v>102639.35399012771</v>
      </c>
      <c r="N267" s="10">
        <f t="shared" si="48"/>
        <v>131901.53857579955</v>
      </c>
      <c r="O267" s="55">
        <f t="shared" si="49"/>
        <v>259350.65877945794</v>
      </c>
      <c r="P267" s="218"/>
      <c r="Q267" s="219"/>
      <c r="R267" s="215"/>
      <c r="S267" s="215"/>
      <c r="T267" s="220"/>
    </row>
    <row r="268" spans="1:20" s="214" customFormat="1" x14ac:dyDescent="0.25">
      <c r="A268" s="306">
        <f>'A) Base RI'!A269</f>
        <v>5861</v>
      </c>
      <c r="B268" s="227" t="str">
        <f>'A) Base RI'!B269</f>
        <v>Rolle</v>
      </c>
      <c r="C268" s="243">
        <v>0</v>
      </c>
      <c r="D268" s="216">
        <f>'B) D RI'!AA269</f>
        <v>6245</v>
      </c>
      <c r="E268" s="217">
        <f>'B) D RI'!S269</f>
        <v>59.5</v>
      </c>
      <c r="F268" s="10">
        <f>'B) D RI'!R269</f>
        <v>32265738.854563296</v>
      </c>
      <c r="G268" s="10">
        <f>'B) D RI'!U269</f>
        <v>542281.32528677804</v>
      </c>
      <c r="H268" s="41">
        <f>'B) D RI'!T269</f>
        <v>30192319.254563294</v>
      </c>
      <c r="I268" s="10">
        <f t="shared" si="50"/>
        <v>1014867.8741029679</v>
      </c>
      <c r="J268" s="31">
        <f t="shared" si="46"/>
        <v>531676.52349488751</v>
      </c>
      <c r="K268" s="10">
        <f t="shared" si="47"/>
        <v>531676.52349488751</v>
      </c>
      <c r="L268" s="10">
        <f t="shared" si="51"/>
        <v>0</v>
      </c>
      <c r="M268" s="10">
        <f>'D) Ecrêtage'!C267</f>
        <v>542281.32528677804</v>
      </c>
      <c r="N268" s="10">
        <f t="shared" si="48"/>
        <v>696884.17128121736</v>
      </c>
      <c r="O268" s="55">
        <f t="shared" si="49"/>
        <v>1228560.6947761048</v>
      </c>
      <c r="P268" s="218"/>
      <c r="Q268" s="219"/>
      <c r="R268" s="215"/>
      <c r="S268" s="215"/>
      <c r="T268" s="220"/>
    </row>
    <row r="269" spans="1:20" s="214" customFormat="1" x14ac:dyDescent="0.25">
      <c r="A269" s="306">
        <f>'A) Base RI'!A270</f>
        <v>5862</v>
      </c>
      <c r="B269" s="227" t="str">
        <f>'A) Base RI'!B270</f>
        <v>Tartegnin</v>
      </c>
      <c r="C269" s="243">
        <v>0</v>
      </c>
      <c r="D269" s="216">
        <f>'B) D RI'!AA270</f>
        <v>233</v>
      </c>
      <c r="E269" s="217">
        <f>'B) D RI'!S270</f>
        <v>81</v>
      </c>
      <c r="F269" s="10">
        <f>'B) D RI'!R270</f>
        <v>887181.30971795681</v>
      </c>
      <c r="G269" s="10">
        <f>'B) D RI'!U270</f>
        <v>10952.855675530331</v>
      </c>
      <c r="H269" s="41">
        <f>'B) D RI'!T270</f>
        <v>837543.60971795686</v>
      </c>
      <c r="I269" s="10">
        <f t="shared" si="50"/>
        <v>20680.089128838441</v>
      </c>
      <c r="J269" s="31">
        <f t="shared" si="46"/>
        <v>19836.770212059055</v>
      </c>
      <c r="K269" s="10">
        <f t="shared" si="47"/>
        <v>19836.770212059055</v>
      </c>
      <c r="L269" s="10">
        <f t="shared" si="51"/>
        <v>0</v>
      </c>
      <c r="M269" s="10">
        <f>'D) Ecrêtage'!C268</f>
        <v>10952.855675530331</v>
      </c>
      <c r="N269" s="10">
        <f t="shared" si="48"/>
        <v>14075.483323288319</v>
      </c>
      <c r="O269" s="55">
        <f t="shared" si="49"/>
        <v>33912.253535347372</v>
      </c>
      <c r="P269" s="218"/>
      <c r="Q269" s="219"/>
      <c r="R269" s="215"/>
      <c r="S269" s="215"/>
      <c r="T269" s="220"/>
    </row>
    <row r="270" spans="1:20" s="214" customFormat="1" x14ac:dyDescent="0.25">
      <c r="A270" s="306">
        <f>'A) Base RI'!A271</f>
        <v>5863</v>
      </c>
      <c r="B270" s="227" t="str">
        <f>'A) Base RI'!B271</f>
        <v>Vinzel</v>
      </c>
      <c r="C270" s="243">
        <v>0</v>
      </c>
      <c r="D270" s="216">
        <f>'B) D RI'!AA271</f>
        <v>355</v>
      </c>
      <c r="E270" s="217">
        <f>'B) D RI'!S271</f>
        <v>67</v>
      </c>
      <c r="F270" s="10">
        <f>'B) D RI'!R271</f>
        <v>1196174.0690870315</v>
      </c>
      <c r="G270" s="10">
        <f>'B) D RI'!U271</f>
        <v>17853.344314731814</v>
      </c>
      <c r="H270" s="41">
        <f>'B) D RI'!T271</f>
        <v>1112502.1690870316</v>
      </c>
      <c r="I270" s="10">
        <f t="shared" si="50"/>
        <v>33209.019972747214</v>
      </c>
      <c r="J270" s="31">
        <f t="shared" si="46"/>
        <v>30223.405258716582</v>
      </c>
      <c r="K270" s="10">
        <f t="shared" si="47"/>
        <v>30223.405258716582</v>
      </c>
      <c r="L270" s="10">
        <f t="shared" si="51"/>
        <v>0</v>
      </c>
      <c r="M270" s="10">
        <f>'D) Ecrêtage'!C269</f>
        <v>17853.344314731814</v>
      </c>
      <c r="N270" s="10">
        <f t="shared" si="48"/>
        <v>22943.281424619378</v>
      </c>
      <c r="O270" s="55">
        <f t="shared" si="49"/>
        <v>53166.68668333596</v>
      </c>
      <c r="P270" s="218"/>
      <c r="Q270" s="219"/>
      <c r="R270" s="215"/>
      <c r="S270" s="215"/>
      <c r="T270" s="220"/>
    </row>
    <row r="271" spans="1:20" s="214" customFormat="1" x14ac:dyDescent="0.25">
      <c r="A271" s="306">
        <f>'A) Base RI'!A272</f>
        <v>5871</v>
      </c>
      <c r="B271" s="227" t="str">
        <f>'A) Base RI'!B272</f>
        <v>L'Abbaye</v>
      </c>
      <c r="C271" s="243">
        <v>0</v>
      </c>
      <c r="D271" s="216">
        <f>'B) D RI'!AA272</f>
        <v>1481</v>
      </c>
      <c r="E271" s="217">
        <f>'B) D RI'!S272</f>
        <v>77.599999999999994</v>
      </c>
      <c r="F271" s="10">
        <f>'B) D RI'!R272</f>
        <v>3601236.5751887364</v>
      </c>
      <c r="G271" s="10">
        <f>'B) D RI'!U272</f>
        <v>46407.687824597124</v>
      </c>
      <c r="H271" s="41">
        <f>'B) D RI'!T272</f>
        <v>3337398.3251887364</v>
      </c>
      <c r="I271" s="10">
        <f t="shared" si="50"/>
        <v>86015.420752287027</v>
      </c>
      <c r="J271" s="31">
        <f t="shared" si="46"/>
        <v>126086.93855819509</v>
      </c>
      <c r="K271" s="10">
        <f t="shared" si="47"/>
        <v>86015.420752287027</v>
      </c>
      <c r="L271" s="10">
        <f t="shared" si="51"/>
        <v>40071.517805908064</v>
      </c>
      <c r="M271" s="10">
        <f>'D) Ecrêtage'!C270</f>
        <v>46407.687824597124</v>
      </c>
      <c r="N271" s="10">
        <f t="shared" si="48"/>
        <v>59638.386134021537</v>
      </c>
      <c r="O271" s="55">
        <f t="shared" si="49"/>
        <v>145653.80688630856</v>
      </c>
      <c r="P271" s="218"/>
      <c r="Q271" s="219"/>
      <c r="R271" s="215"/>
      <c r="S271" s="215"/>
      <c r="T271" s="220"/>
    </row>
    <row r="272" spans="1:20" s="214" customFormat="1" x14ac:dyDescent="0.25">
      <c r="A272" s="306">
        <f>'A) Base RI'!A273</f>
        <v>5872</v>
      </c>
      <c r="B272" s="227" t="str">
        <f>'A) Base RI'!B273</f>
        <v>Le Chenit</v>
      </c>
      <c r="C272" s="243">
        <v>0</v>
      </c>
      <c r="D272" s="216">
        <f>'B) D RI'!AA273</f>
        <v>4657</v>
      </c>
      <c r="E272" s="217">
        <f>'B) D RI'!S273</f>
        <v>68.39</v>
      </c>
      <c r="F272" s="10">
        <f>'B) D RI'!R273</f>
        <v>17369033.342484619</v>
      </c>
      <c r="G272" s="10">
        <f>'B) D RI'!U273</f>
        <v>253970.36617173007</v>
      </c>
      <c r="H272" s="41">
        <f>'B) D RI'!T273</f>
        <v>16601958.242484622</v>
      </c>
      <c r="I272" s="10">
        <f t="shared" si="50"/>
        <v>485508.35626508616</v>
      </c>
      <c r="J272" s="31">
        <f t="shared" si="46"/>
        <v>396479.99518265668</v>
      </c>
      <c r="K272" s="10">
        <f t="shared" si="47"/>
        <v>396479.99518265668</v>
      </c>
      <c r="L272" s="10">
        <f t="shared" si="51"/>
        <v>0</v>
      </c>
      <c r="M272" s="10">
        <f>'D) Ecrêtage'!C271</f>
        <v>253970.36617173007</v>
      </c>
      <c r="N272" s="10">
        <f t="shared" si="48"/>
        <v>326376.58703436964</v>
      </c>
      <c r="O272" s="55">
        <f t="shared" si="49"/>
        <v>722856.58221702627</v>
      </c>
      <c r="P272" s="218"/>
      <c r="Q272" s="219"/>
      <c r="R272" s="215"/>
      <c r="S272" s="215"/>
      <c r="T272" s="220"/>
    </row>
    <row r="273" spans="1:20" s="214" customFormat="1" x14ac:dyDescent="0.25">
      <c r="A273" s="306">
        <f>'A) Base RI'!A274</f>
        <v>5873</v>
      </c>
      <c r="B273" s="227" t="str">
        <f>'A) Base RI'!B274</f>
        <v>Le Lieu</v>
      </c>
      <c r="C273" s="243">
        <v>0</v>
      </c>
      <c r="D273" s="216">
        <f>'B) D RI'!AA274</f>
        <v>900</v>
      </c>
      <c r="E273" s="217">
        <f>'B) D RI'!S274</f>
        <v>70</v>
      </c>
      <c r="F273" s="10">
        <f>'B) D RI'!R274</f>
        <v>1996088.2811974657</v>
      </c>
      <c r="G273" s="10">
        <f>'B) D RI'!U274</f>
        <v>28515.54687424951</v>
      </c>
      <c r="H273" s="41">
        <f>'B) D RI'!T274</f>
        <v>1854727.4478641325</v>
      </c>
      <c r="I273" s="10">
        <f t="shared" si="50"/>
        <v>52992.212796118074</v>
      </c>
      <c r="J273" s="31">
        <f t="shared" si="46"/>
        <v>76622.717557309647</v>
      </c>
      <c r="K273" s="10">
        <f t="shared" si="47"/>
        <v>52992.212796118074</v>
      </c>
      <c r="L273" s="10">
        <f t="shared" si="51"/>
        <v>23630.504761191572</v>
      </c>
      <c r="M273" s="10">
        <f>'D) Ecrêtage'!C272</f>
        <v>28515.54687424951</v>
      </c>
      <c r="N273" s="10">
        <f t="shared" si="48"/>
        <v>36645.247264568861</v>
      </c>
      <c r="O273" s="55">
        <f t="shared" si="49"/>
        <v>89637.460060686935</v>
      </c>
      <c r="P273" s="218"/>
      <c r="Q273" s="219"/>
      <c r="R273" s="215"/>
      <c r="S273" s="215"/>
      <c r="T273" s="220"/>
    </row>
    <row r="274" spans="1:20" s="214" customFormat="1" x14ac:dyDescent="0.25">
      <c r="A274" s="306">
        <f>'A) Base RI'!A275</f>
        <v>5881</v>
      </c>
      <c r="B274" s="227" t="str">
        <f>'A) Base RI'!B275</f>
        <v>Blonay</v>
      </c>
      <c r="C274" s="243">
        <v>1</v>
      </c>
      <c r="D274" s="216">
        <f>'B) D RI'!AA275</f>
        <v>6151</v>
      </c>
      <c r="E274" s="217">
        <f>'B) D RI'!S275</f>
        <v>70</v>
      </c>
      <c r="F274" s="10">
        <f>'B) D RI'!R275</f>
        <v>24856614.53122462</v>
      </c>
      <c r="G274" s="10">
        <f>'B) D RI'!U275</f>
        <v>355094.49330320884</v>
      </c>
      <c r="H274" s="41">
        <f>'B) D RI'!T275</f>
        <v>23133248.881224621</v>
      </c>
      <c r="I274" s="10">
        <f t="shared" si="50"/>
        <v>660949.9680349892</v>
      </c>
      <c r="J274" s="31">
        <f t="shared" si="46"/>
        <v>523673.70632779069</v>
      </c>
      <c r="K274" s="10">
        <f t="shared" si="47"/>
        <v>0</v>
      </c>
      <c r="L274" s="10">
        <f t="shared" si="51"/>
        <v>523673.70632779069</v>
      </c>
      <c r="M274" s="10">
        <f>'D) Ecrêtage'!C273</f>
        <v>355094.49330320884</v>
      </c>
      <c r="N274" s="10">
        <f t="shared" si="48"/>
        <v>456330.91193259292</v>
      </c>
      <c r="O274" s="55">
        <f t="shared" si="49"/>
        <v>456330.91193259292</v>
      </c>
      <c r="P274" s="218"/>
      <c r="Q274" s="219"/>
      <c r="R274" s="215"/>
      <c r="S274" s="215"/>
      <c r="T274" s="220"/>
    </row>
    <row r="275" spans="1:20" s="214" customFormat="1" x14ac:dyDescent="0.25">
      <c r="A275" s="306">
        <f>'A) Base RI'!A276</f>
        <v>5882</v>
      </c>
      <c r="B275" s="227" t="str">
        <f>'A) Base RI'!B276</f>
        <v>Chardonne</v>
      </c>
      <c r="C275" s="243">
        <v>1</v>
      </c>
      <c r="D275" s="216">
        <f>'B) D RI'!AA276</f>
        <v>3032</v>
      </c>
      <c r="E275" s="217">
        <f>'B) D RI'!S276</f>
        <v>68</v>
      </c>
      <c r="F275" s="10">
        <f>'B) D RI'!R276</f>
        <v>12516468.404334353</v>
      </c>
      <c r="G275" s="10">
        <f>'B) D RI'!U276</f>
        <v>184065.71182844636</v>
      </c>
      <c r="H275" s="41">
        <f>'B) D RI'!T276</f>
        <v>11444502.734334353</v>
      </c>
      <c r="I275" s="10">
        <f t="shared" si="50"/>
        <v>336603.02159806923</v>
      </c>
      <c r="J275" s="31">
        <f t="shared" si="46"/>
        <v>258133.42181529207</v>
      </c>
      <c r="K275" s="10">
        <f t="shared" si="47"/>
        <v>0</v>
      </c>
      <c r="L275" s="10">
        <f t="shared" si="51"/>
        <v>258133.42181529207</v>
      </c>
      <c r="M275" s="10">
        <f>'D) Ecrêtage'!C274</f>
        <v>184065.71182844636</v>
      </c>
      <c r="N275" s="10">
        <f t="shared" si="48"/>
        <v>236542.31681502046</v>
      </c>
      <c r="O275" s="55">
        <f t="shared" si="49"/>
        <v>236542.31681502046</v>
      </c>
      <c r="P275" s="218"/>
      <c r="Q275" s="219"/>
      <c r="R275" s="215"/>
      <c r="S275" s="215"/>
      <c r="T275" s="220"/>
    </row>
    <row r="276" spans="1:20" s="214" customFormat="1" x14ac:dyDescent="0.25">
      <c r="A276" s="306">
        <f>'A) Base RI'!A277</f>
        <v>5883</v>
      </c>
      <c r="B276" s="227" t="str">
        <f>'A) Base RI'!B277</f>
        <v>Corseaux</v>
      </c>
      <c r="C276" s="243">
        <v>1</v>
      </c>
      <c r="D276" s="216">
        <f>'B) D RI'!AA277</f>
        <v>2287</v>
      </c>
      <c r="E276" s="217">
        <f>'B) D RI'!S277</f>
        <v>69</v>
      </c>
      <c r="F276" s="10">
        <f>'B) D RI'!R277</f>
        <v>11347232.54294767</v>
      </c>
      <c r="G276" s="10">
        <f>'B) D RI'!U277</f>
        <v>164452.64554996623</v>
      </c>
      <c r="H276" s="41">
        <f>'B) D RI'!T277</f>
        <v>10671527.14294767</v>
      </c>
      <c r="I276" s="10">
        <f t="shared" si="50"/>
        <v>309319.62733181653</v>
      </c>
      <c r="J276" s="31">
        <f t="shared" ref="J276:J307" si="52">+$I$314/$D$314*D276</f>
        <v>194706.83894840797</v>
      </c>
      <c r="K276" s="10">
        <f t="shared" si="47"/>
        <v>0</v>
      </c>
      <c r="L276" s="10">
        <f t="shared" si="51"/>
        <v>194706.83894840797</v>
      </c>
      <c r="M276" s="10">
        <f>'D) Ecrêtage'!C275</f>
        <v>164452.64554996623</v>
      </c>
      <c r="N276" s="10">
        <f t="shared" si="48"/>
        <v>211337.62175653939</v>
      </c>
      <c r="O276" s="55">
        <f t="shared" si="49"/>
        <v>211337.62175653939</v>
      </c>
      <c r="P276" s="218"/>
      <c r="Q276" s="219"/>
      <c r="R276" s="215"/>
      <c r="S276" s="215"/>
      <c r="T276" s="220"/>
    </row>
    <row r="277" spans="1:20" s="214" customFormat="1" x14ac:dyDescent="0.25">
      <c r="A277" s="306">
        <f>'A) Base RI'!A278</f>
        <v>5884</v>
      </c>
      <c r="B277" s="227" t="str">
        <f>'A) Base RI'!B278</f>
        <v>Corsier-sur-Vevey</v>
      </c>
      <c r="C277" s="243">
        <v>1</v>
      </c>
      <c r="D277" s="216">
        <f>'B) D RI'!AA278</f>
        <v>3363</v>
      </c>
      <c r="E277" s="217">
        <f>'B) D RI'!S278</f>
        <v>66</v>
      </c>
      <c r="F277" s="10">
        <f>'B) D RI'!R278</f>
        <v>8257677.9247051235</v>
      </c>
      <c r="G277" s="10">
        <f>'B) D RI'!U278</f>
        <v>125116.33219250187</v>
      </c>
      <c r="H277" s="41">
        <f>'B) D RI'!T278</f>
        <v>7278951.1413717903</v>
      </c>
      <c r="I277" s="10">
        <f t="shared" si="50"/>
        <v>220574.27701126639</v>
      </c>
      <c r="J277" s="31">
        <f t="shared" si="52"/>
        <v>286313.5546058137</v>
      </c>
      <c r="K277" s="10">
        <f t="shared" si="47"/>
        <v>0</v>
      </c>
      <c r="L277" s="10">
        <f t="shared" si="51"/>
        <v>286313.5546058137</v>
      </c>
      <c r="M277" s="10">
        <f>'D) Ecrêtage'!C276</f>
        <v>125116.33219250187</v>
      </c>
      <c r="N277" s="10">
        <f t="shared" si="48"/>
        <v>160786.63860977895</v>
      </c>
      <c r="O277" s="55">
        <f t="shared" si="49"/>
        <v>160786.63860977895</v>
      </c>
      <c r="P277" s="218"/>
      <c r="Q277" s="219"/>
      <c r="R277" s="215"/>
      <c r="S277" s="215"/>
      <c r="T277" s="220"/>
    </row>
    <row r="278" spans="1:20" s="214" customFormat="1" x14ac:dyDescent="0.25">
      <c r="A278" s="306">
        <f>'A) Base RI'!A279</f>
        <v>5885</v>
      </c>
      <c r="B278" s="227" t="str">
        <f>'A) Base RI'!B279</f>
        <v>Jongny</v>
      </c>
      <c r="C278" s="243">
        <v>1</v>
      </c>
      <c r="D278" s="216">
        <f>'B) D RI'!AA279</f>
        <v>1544</v>
      </c>
      <c r="E278" s="217">
        <f>'B) D RI'!S279</f>
        <v>71</v>
      </c>
      <c r="F278" s="10">
        <f>'B) D RI'!R279</f>
        <v>5583860.8150000013</v>
      </c>
      <c r="G278" s="10">
        <f>'B) D RI'!U279</f>
        <v>78645.92697183101</v>
      </c>
      <c r="H278" s="41">
        <f>'B) D RI'!T279</f>
        <v>5172293.6900000013</v>
      </c>
      <c r="I278" s="10">
        <f t="shared" si="50"/>
        <v>145698.41380281694</v>
      </c>
      <c r="J278" s="31">
        <f t="shared" si="52"/>
        <v>131450.52878720677</v>
      </c>
      <c r="K278" s="10">
        <f t="shared" si="47"/>
        <v>0</v>
      </c>
      <c r="L278" s="10">
        <f t="shared" si="51"/>
        <v>131450.52878720677</v>
      </c>
      <c r="M278" s="10">
        <f>'D) Ecrêtage'!C277</f>
        <v>78645.92697183101</v>
      </c>
      <c r="N278" s="10">
        <f t="shared" si="48"/>
        <v>101067.65453046648</v>
      </c>
      <c r="O278" s="55">
        <f t="shared" si="49"/>
        <v>101067.65453046648</v>
      </c>
      <c r="P278" s="218"/>
      <c r="Q278" s="219"/>
      <c r="R278" s="215"/>
      <c r="S278" s="215"/>
      <c r="T278" s="220"/>
    </row>
    <row r="279" spans="1:20" s="214" customFormat="1" x14ac:dyDescent="0.25">
      <c r="A279" s="306">
        <f>'A) Base RI'!A280</f>
        <v>5886</v>
      </c>
      <c r="B279" s="227" t="str">
        <f>'A) Base RI'!B280</f>
        <v>Montreux</v>
      </c>
      <c r="C279" s="243">
        <v>1</v>
      </c>
      <c r="D279" s="216">
        <f>'B) D RI'!AA280</f>
        <v>26065</v>
      </c>
      <c r="E279" s="217">
        <f>'B) D RI'!S280</f>
        <v>65</v>
      </c>
      <c r="F279" s="10">
        <f>'B) D RI'!R280</f>
        <v>73694821.179738984</v>
      </c>
      <c r="G279" s="10">
        <f>'B) D RI'!U280</f>
        <v>1133766.4796882921</v>
      </c>
      <c r="H279" s="41">
        <f>'B) D RI'!T280</f>
        <v>66401983.916405655</v>
      </c>
      <c r="I279" s="10">
        <f t="shared" si="50"/>
        <v>2043137.9666586355</v>
      </c>
      <c r="J279" s="31">
        <f t="shared" si="52"/>
        <v>2219079.036812529</v>
      </c>
      <c r="K279" s="10">
        <f t="shared" si="47"/>
        <v>0</v>
      </c>
      <c r="L279" s="10">
        <f t="shared" si="51"/>
        <v>2219079.036812529</v>
      </c>
      <c r="M279" s="10">
        <f>'D) Ecrêtage'!C278</f>
        <v>1133766.4796882921</v>
      </c>
      <c r="N279" s="10">
        <f t="shared" si="48"/>
        <v>1457000.0418254547</v>
      </c>
      <c r="O279" s="55">
        <f t="shared" si="49"/>
        <v>1457000.0418254547</v>
      </c>
      <c r="P279" s="218"/>
      <c r="Q279" s="219"/>
      <c r="R279" s="215"/>
      <c r="S279" s="215"/>
      <c r="T279" s="220"/>
    </row>
    <row r="280" spans="1:20" s="214" customFormat="1" x14ac:dyDescent="0.25">
      <c r="A280" s="306">
        <f>'A) Base RI'!A281</f>
        <v>5888</v>
      </c>
      <c r="B280" s="227" t="str">
        <f>'A) Base RI'!B281</f>
        <v>Saint-Légier-La Chiésaz</v>
      </c>
      <c r="C280" s="243">
        <v>1</v>
      </c>
      <c r="D280" s="216">
        <f>'B) D RI'!AA281</f>
        <v>5243</v>
      </c>
      <c r="E280" s="217">
        <f>'B) D RI'!S281</f>
        <v>70</v>
      </c>
      <c r="F280" s="10">
        <f>'B) D RI'!R281</f>
        <v>23612432.171318524</v>
      </c>
      <c r="G280" s="10">
        <f>'B) D RI'!U281</f>
        <v>337320.4595902646</v>
      </c>
      <c r="H280" s="41">
        <f>'B) D RI'!T281</f>
        <v>22015941.929651856</v>
      </c>
      <c r="I280" s="10">
        <f t="shared" si="50"/>
        <v>629026.9122757673</v>
      </c>
      <c r="J280" s="31">
        <f t="shared" si="52"/>
        <v>446369.89794774941</v>
      </c>
      <c r="K280" s="10">
        <f t="shared" si="47"/>
        <v>0</v>
      </c>
      <c r="L280" s="10">
        <f t="shared" si="51"/>
        <v>446369.89794774941</v>
      </c>
      <c r="M280" s="10">
        <f>'D) Ecrêtage'!C279</f>
        <v>337320.4595902646</v>
      </c>
      <c r="N280" s="10">
        <f t="shared" si="48"/>
        <v>433489.5523341978</v>
      </c>
      <c r="O280" s="55">
        <f t="shared" si="49"/>
        <v>433489.5523341978</v>
      </c>
      <c r="P280" s="218"/>
      <c r="Q280" s="219"/>
      <c r="R280" s="215"/>
      <c r="S280" s="215"/>
      <c r="T280" s="220"/>
    </row>
    <row r="281" spans="1:20" s="214" customFormat="1" x14ac:dyDescent="0.25">
      <c r="A281" s="306">
        <f>'A) Base RI'!A282</f>
        <v>5889</v>
      </c>
      <c r="B281" s="227" t="str">
        <f>'A) Base RI'!B282</f>
        <v>La Tour-de-Peilz</v>
      </c>
      <c r="C281" s="243">
        <v>1</v>
      </c>
      <c r="D281" s="216">
        <f>'B) D RI'!AA282</f>
        <v>11906</v>
      </c>
      <c r="E281" s="217">
        <f>'B) D RI'!S282</f>
        <v>64</v>
      </c>
      <c r="F281" s="10">
        <f>'B) D RI'!R282</f>
        <v>44230940.279809929</v>
      </c>
      <c r="G281" s="10">
        <f>'B) D RI'!U282</f>
        <v>691108.44187203015</v>
      </c>
      <c r="H281" s="41">
        <f>'B) D RI'!T282</f>
        <v>41588886.029809929</v>
      </c>
      <c r="I281" s="10">
        <f t="shared" si="50"/>
        <v>1299652.6884315603</v>
      </c>
      <c r="J281" s="31">
        <f t="shared" si="52"/>
        <v>1013633.4169303651</v>
      </c>
      <c r="K281" s="10">
        <f t="shared" si="47"/>
        <v>0</v>
      </c>
      <c r="L281" s="10">
        <f t="shared" si="51"/>
        <v>1013633.4169303651</v>
      </c>
      <c r="M281" s="10">
        <f>'D) Ecrêtage'!C280</f>
        <v>691108.44187203015</v>
      </c>
      <c r="N281" s="10">
        <f t="shared" si="48"/>
        <v>888141.47071124683</v>
      </c>
      <c r="O281" s="55">
        <f t="shared" si="49"/>
        <v>888141.47071124683</v>
      </c>
      <c r="P281" s="218"/>
      <c r="Q281" s="219"/>
      <c r="R281" s="215"/>
      <c r="S281" s="215"/>
      <c r="T281" s="220"/>
    </row>
    <row r="282" spans="1:20" s="214" customFormat="1" x14ac:dyDescent="0.25">
      <c r="A282" s="306">
        <f>'A) Base RI'!A283</f>
        <v>5890</v>
      </c>
      <c r="B282" s="227" t="str">
        <f>'A) Base RI'!B283</f>
        <v>Vevey</v>
      </c>
      <c r="C282" s="243">
        <v>1</v>
      </c>
      <c r="D282" s="216">
        <f>'B) D RI'!AA283</f>
        <v>19871</v>
      </c>
      <c r="E282" s="217">
        <f>'B) D RI'!S283</f>
        <v>76</v>
      </c>
      <c r="F282" s="10">
        <f>'B) D RI'!R283</f>
        <v>73337986.613936931</v>
      </c>
      <c r="G282" s="10">
        <f>'B) D RI'!U283</f>
        <v>964973.50807811751</v>
      </c>
      <c r="H282" s="41">
        <f>'B) D RI'!T283</f>
        <v>69056390.97393693</v>
      </c>
      <c r="I282" s="10">
        <f t="shared" si="50"/>
        <v>1817273.4466825507</v>
      </c>
      <c r="J282" s="31">
        <f t="shared" si="52"/>
        <v>1691744.4673125555</v>
      </c>
      <c r="K282" s="10">
        <f t="shared" si="47"/>
        <v>0</v>
      </c>
      <c r="L282" s="10">
        <f t="shared" si="51"/>
        <v>1691744.4673125555</v>
      </c>
      <c r="M282" s="10">
        <f>'D) Ecrêtage'!C281</f>
        <v>964973.50807811751</v>
      </c>
      <c r="N282" s="10">
        <f t="shared" si="48"/>
        <v>1240084.67953367</v>
      </c>
      <c r="O282" s="55">
        <f t="shared" si="49"/>
        <v>1240084.67953367</v>
      </c>
      <c r="P282" s="218"/>
      <c r="Q282" s="219"/>
      <c r="R282" s="215"/>
      <c r="S282" s="215"/>
      <c r="T282" s="220"/>
    </row>
    <row r="283" spans="1:20" s="214" customFormat="1" x14ac:dyDescent="0.25">
      <c r="A283" s="306">
        <f>'A) Base RI'!A284</f>
        <v>5891</v>
      </c>
      <c r="B283" s="227" t="str">
        <f>'A) Base RI'!B284</f>
        <v>Veytaux</v>
      </c>
      <c r="C283" s="243">
        <v>1</v>
      </c>
      <c r="D283" s="216">
        <f>'B) D RI'!AA284</f>
        <v>922</v>
      </c>
      <c r="E283" s="217">
        <f>'B) D RI'!S284</f>
        <v>71</v>
      </c>
      <c r="F283" s="10">
        <f>'B) D RI'!R284</f>
        <v>2629521.8139130403</v>
      </c>
      <c r="G283" s="10">
        <f>'B) D RI'!U284</f>
        <v>37035.518505817468</v>
      </c>
      <c r="H283" s="41">
        <f>'B) D RI'!T284</f>
        <v>2327060.1139130406</v>
      </c>
      <c r="I283" s="10">
        <f t="shared" si="50"/>
        <v>65550.989124311003</v>
      </c>
      <c r="J283" s="31">
        <f t="shared" si="52"/>
        <v>78495.717319821662</v>
      </c>
      <c r="K283" s="10">
        <f t="shared" si="47"/>
        <v>0</v>
      </c>
      <c r="L283" s="10">
        <f t="shared" si="51"/>
        <v>78495.717319821662</v>
      </c>
      <c r="M283" s="10">
        <f>'D) Ecrêtage'!C282</f>
        <v>37035.518505817468</v>
      </c>
      <c r="N283" s="10">
        <f t="shared" si="48"/>
        <v>47594.238301029109</v>
      </c>
      <c r="O283" s="55">
        <f t="shared" si="49"/>
        <v>47594.238301029109</v>
      </c>
      <c r="P283" s="218"/>
      <c r="Q283" s="219"/>
      <c r="R283" s="215"/>
      <c r="S283" s="215"/>
      <c r="T283" s="220"/>
    </row>
    <row r="284" spans="1:20" s="214" customFormat="1" x14ac:dyDescent="0.25">
      <c r="A284" s="306">
        <f>'A) Base RI'!A285</f>
        <v>5902</v>
      </c>
      <c r="B284" s="227" t="str">
        <f>'A) Base RI'!B285</f>
        <v>Belmont-sur-Yverdon</v>
      </c>
      <c r="C284" s="243">
        <v>0</v>
      </c>
      <c r="D284" s="216">
        <f>'B) D RI'!AA285</f>
        <v>374</v>
      </c>
      <c r="E284" s="217">
        <f>'B) D RI'!S285</f>
        <v>76</v>
      </c>
      <c r="F284" s="10">
        <f>'B) D RI'!R285</f>
        <v>818858.21285347943</v>
      </c>
      <c r="G284" s="10">
        <f>'B) D RI'!U285</f>
        <v>10774.45016912473</v>
      </c>
      <c r="H284" s="41">
        <f>'B) D RI'!T285</f>
        <v>762824.81285347941</v>
      </c>
      <c r="I284" s="10">
        <f t="shared" si="50"/>
        <v>20074.33718035472</v>
      </c>
      <c r="J284" s="31">
        <f t="shared" si="52"/>
        <v>31840.99596270423</v>
      </c>
      <c r="K284" s="10">
        <f t="shared" si="47"/>
        <v>20074.33718035472</v>
      </c>
      <c r="L284" s="10">
        <f t="shared" si="51"/>
        <v>11766.65878234951</v>
      </c>
      <c r="M284" s="10">
        <f>'D) Ecrêtage'!C283</f>
        <v>10774.45016912473</v>
      </c>
      <c r="N284" s="10">
        <f t="shared" si="48"/>
        <v>13846.214920180902</v>
      </c>
      <c r="O284" s="55">
        <f t="shared" si="49"/>
        <v>33920.55210053562</v>
      </c>
      <c r="P284" s="218"/>
      <c r="Q284" s="219"/>
      <c r="R284" s="215"/>
      <c r="S284" s="215"/>
      <c r="T284" s="220"/>
    </row>
    <row r="285" spans="1:20" s="214" customFormat="1" x14ac:dyDescent="0.25">
      <c r="A285" s="306">
        <f>'A) Base RI'!A286</f>
        <v>5903</v>
      </c>
      <c r="B285" s="227" t="str">
        <f>'A) Base RI'!B286</f>
        <v>Bioley-Magnoux</v>
      </c>
      <c r="C285" s="243">
        <v>0</v>
      </c>
      <c r="D285" s="216">
        <f>'B) D RI'!AA286</f>
        <v>228</v>
      </c>
      <c r="E285" s="217">
        <f>'B) D RI'!S286</f>
        <v>74</v>
      </c>
      <c r="F285" s="10">
        <f>'B) D RI'!R286</f>
        <v>478974.7454174413</v>
      </c>
      <c r="G285" s="10">
        <f>'B) D RI'!U286</f>
        <v>6472.6316948302874</v>
      </c>
      <c r="H285" s="41">
        <f>'B) D RI'!T286</f>
        <v>442356.95970315556</v>
      </c>
      <c r="I285" s="10">
        <f t="shared" si="50"/>
        <v>11955.593505490691</v>
      </c>
      <c r="J285" s="31">
        <f t="shared" si="52"/>
        <v>19411.088447851776</v>
      </c>
      <c r="K285" s="10">
        <f t="shared" si="47"/>
        <v>11955.593505490691</v>
      </c>
      <c r="L285" s="10">
        <f t="shared" si="51"/>
        <v>7455.4949423610851</v>
      </c>
      <c r="M285" s="10">
        <f>'D) Ecrêtage'!C284</f>
        <v>6472.6316948302874</v>
      </c>
      <c r="N285" s="10">
        <f t="shared" si="48"/>
        <v>8317.9603728285092</v>
      </c>
      <c r="O285" s="55">
        <f t="shared" si="49"/>
        <v>20273.553878319202</v>
      </c>
      <c r="P285" s="218"/>
      <c r="Q285" s="219"/>
      <c r="R285" s="215"/>
      <c r="S285" s="215"/>
      <c r="T285" s="220"/>
    </row>
    <row r="286" spans="1:20" s="214" customFormat="1" x14ac:dyDescent="0.25">
      <c r="A286" s="306">
        <f>'A) Base RI'!A287</f>
        <v>5904</v>
      </c>
      <c r="B286" s="227" t="str">
        <f>'A) Base RI'!B287</f>
        <v>Chamblon</v>
      </c>
      <c r="C286" s="243">
        <v>1</v>
      </c>
      <c r="D286" s="216">
        <f>'B) D RI'!AA287</f>
        <v>540</v>
      </c>
      <c r="E286" s="217">
        <f>'B) D RI'!S287</f>
        <v>66</v>
      </c>
      <c r="F286" s="10">
        <f>'B) D RI'!R287</f>
        <v>1449951.2462351846</v>
      </c>
      <c r="G286" s="10">
        <f>'B) D RI'!U287</f>
        <v>21968.958276290676</v>
      </c>
      <c r="H286" s="41">
        <f>'B) D RI'!T287</f>
        <v>1350936.2962351847</v>
      </c>
      <c r="I286" s="10">
        <f t="shared" ref="I286:I313" si="53">+H286/E286*$I$5</f>
        <v>40937.463522278325</v>
      </c>
      <c r="J286" s="31">
        <f t="shared" si="52"/>
        <v>45973.630534385789</v>
      </c>
      <c r="K286" s="10">
        <f t="shared" si="47"/>
        <v>0</v>
      </c>
      <c r="L286" s="10">
        <f t="shared" si="51"/>
        <v>45973.630534385789</v>
      </c>
      <c r="M286" s="10">
        <f>'D) Ecrêtage'!C285</f>
        <v>21968.958276290676</v>
      </c>
      <c r="N286" s="10">
        <f t="shared" si="48"/>
        <v>28232.245088263146</v>
      </c>
      <c r="O286" s="55">
        <f t="shared" si="49"/>
        <v>28232.245088263146</v>
      </c>
      <c r="P286" s="218"/>
      <c r="Q286" s="219"/>
      <c r="R286" s="215"/>
      <c r="S286" s="215"/>
      <c r="T286" s="220"/>
    </row>
    <row r="287" spans="1:20" s="214" customFormat="1" x14ac:dyDescent="0.25">
      <c r="A287" s="306">
        <f>'A) Base RI'!A288</f>
        <v>5905</v>
      </c>
      <c r="B287" s="227" t="str">
        <f>'A) Base RI'!B288</f>
        <v>Champvent</v>
      </c>
      <c r="C287" s="243">
        <v>0</v>
      </c>
      <c r="D287" s="216">
        <f>'B) D RI'!AA288</f>
        <v>689</v>
      </c>
      <c r="E287" s="217">
        <f>'B) D RI'!S288</f>
        <v>71</v>
      </c>
      <c r="F287" s="10">
        <f>'B) D RI'!R288</f>
        <v>1655845.9148771171</v>
      </c>
      <c r="G287" s="10">
        <f>'B) D RI'!U288</f>
        <v>23321.773448973479</v>
      </c>
      <c r="H287" s="41">
        <f>'B) D RI'!T288</f>
        <v>1554002.6148771171</v>
      </c>
      <c r="I287" s="10">
        <f t="shared" si="53"/>
        <v>43774.721545834283</v>
      </c>
      <c r="J287" s="31">
        <f t="shared" si="52"/>
        <v>58658.947107762608</v>
      </c>
      <c r="K287" s="10">
        <f t="shared" si="47"/>
        <v>43774.721545834283</v>
      </c>
      <c r="L287" s="10">
        <f t="shared" si="51"/>
        <v>14884.225561928324</v>
      </c>
      <c r="M287" s="10">
        <f>'D) Ecrêtage'!C286</f>
        <v>23321.773448973479</v>
      </c>
      <c r="N287" s="10">
        <f t="shared" si="48"/>
        <v>29970.743975373356</v>
      </c>
      <c r="O287" s="55">
        <f t="shared" si="49"/>
        <v>73745.465521207632</v>
      </c>
      <c r="P287" s="218"/>
      <c r="Q287" s="219"/>
      <c r="R287" s="215"/>
      <c r="S287" s="215"/>
      <c r="T287" s="220"/>
    </row>
    <row r="288" spans="1:20" s="214" customFormat="1" x14ac:dyDescent="0.25">
      <c r="A288" s="306">
        <f>'A) Base RI'!A289</f>
        <v>5907</v>
      </c>
      <c r="B288" s="227" t="str">
        <f>'A) Base RI'!B289</f>
        <v>Chavannes-le-Chêne</v>
      </c>
      <c r="C288" s="243">
        <v>0</v>
      </c>
      <c r="D288" s="216">
        <f>'B) D RI'!AA289</f>
        <v>311</v>
      </c>
      <c r="E288" s="217">
        <f>'B) D RI'!S289</f>
        <v>78</v>
      </c>
      <c r="F288" s="10">
        <f>'B) D RI'!R289</f>
        <v>739410.9729657179</v>
      </c>
      <c r="G288" s="10">
        <f>'B) D RI'!U289</f>
        <v>9479.6278585348446</v>
      </c>
      <c r="H288" s="41">
        <f>'B) D RI'!T289</f>
        <v>689729.77296571794</v>
      </c>
      <c r="I288" s="10">
        <f t="shared" si="53"/>
        <v>17685.378793992768</v>
      </c>
      <c r="J288" s="31">
        <f t="shared" si="52"/>
        <v>26477.405733692554</v>
      </c>
      <c r="K288" s="10">
        <f t="shared" si="47"/>
        <v>17685.378793992768</v>
      </c>
      <c r="L288" s="10">
        <f t="shared" si="51"/>
        <v>8792.0269396997865</v>
      </c>
      <c r="M288" s="10">
        <f>'D) Ecrêtage'!C287</f>
        <v>9479.6278585348446</v>
      </c>
      <c r="N288" s="10">
        <f t="shared" si="48"/>
        <v>12182.242493332767</v>
      </c>
      <c r="O288" s="55">
        <f t="shared" si="49"/>
        <v>29867.621287325535</v>
      </c>
      <c r="P288" s="218"/>
      <c r="Q288" s="219"/>
      <c r="R288" s="215"/>
      <c r="S288" s="215"/>
      <c r="T288" s="220"/>
    </row>
    <row r="289" spans="1:20" s="214" customFormat="1" x14ac:dyDescent="0.25">
      <c r="A289" s="306">
        <f>'A) Base RI'!A290</f>
        <v>5908</v>
      </c>
      <c r="B289" s="227" t="str">
        <f>'A) Base RI'!B290</f>
        <v>Chêne-Pâquier</v>
      </c>
      <c r="C289" s="243">
        <v>0</v>
      </c>
      <c r="D289" s="216">
        <f>'B) D RI'!AA290</f>
        <v>153</v>
      </c>
      <c r="E289" s="217">
        <f>'B) D RI'!S290</f>
        <v>79</v>
      </c>
      <c r="F289" s="10">
        <f>'B) D RI'!R290</f>
        <v>266666.21824810613</v>
      </c>
      <c r="G289" s="10">
        <f>'B) D RI'!U290</f>
        <v>3375.521749976027</v>
      </c>
      <c r="H289" s="41">
        <f>'B) D RI'!T290</f>
        <v>248471.61824810616</v>
      </c>
      <c r="I289" s="10">
        <f t="shared" si="53"/>
        <v>6290.4207151419278</v>
      </c>
      <c r="J289" s="31">
        <f t="shared" si="52"/>
        <v>13025.86198474264</v>
      </c>
      <c r="K289" s="10">
        <f t="shared" si="47"/>
        <v>6290.4207151419278</v>
      </c>
      <c r="L289" s="10">
        <f t="shared" si="51"/>
        <v>6735.4412696007121</v>
      </c>
      <c r="M289" s="10">
        <f>'D) Ecrêtage'!C288</f>
        <v>3375.521749976027</v>
      </c>
      <c r="N289" s="10">
        <f t="shared" si="48"/>
        <v>4337.8732913765034</v>
      </c>
      <c r="O289" s="55">
        <f t="shared" si="49"/>
        <v>10628.29400651843</v>
      </c>
      <c r="P289" s="218"/>
      <c r="Q289" s="219"/>
      <c r="R289" s="215"/>
      <c r="S289" s="215"/>
      <c r="T289" s="220"/>
    </row>
    <row r="290" spans="1:20" s="214" customFormat="1" x14ac:dyDescent="0.25">
      <c r="A290" s="306">
        <f>'A) Base RI'!A291</f>
        <v>5909</v>
      </c>
      <c r="B290" s="227" t="str">
        <f>'A) Base RI'!B291</f>
        <v>Cheseaux-Noréaz</v>
      </c>
      <c r="C290" s="243">
        <v>1</v>
      </c>
      <c r="D290" s="216">
        <f>'B) D RI'!AA291</f>
        <v>725</v>
      </c>
      <c r="E290" s="217">
        <f>'B) D RI'!S291</f>
        <v>70</v>
      </c>
      <c r="F290" s="10">
        <f>'B) D RI'!R291</f>
        <v>2263894.6553072599</v>
      </c>
      <c r="G290" s="10">
        <f>'B) D RI'!U291</f>
        <v>32341.35221867514</v>
      </c>
      <c r="H290" s="41">
        <f>'B) D RI'!T291</f>
        <v>2101839.7053072597</v>
      </c>
      <c r="I290" s="10">
        <f t="shared" si="53"/>
        <v>60052.563008778845</v>
      </c>
      <c r="J290" s="31">
        <f t="shared" si="52"/>
        <v>61723.855810054993</v>
      </c>
      <c r="K290" s="10">
        <f t="shared" si="47"/>
        <v>0</v>
      </c>
      <c r="L290" s="10">
        <f t="shared" si="51"/>
        <v>61723.855810054993</v>
      </c>
      <c r="M290" s="10">
        <f>'D) Ecrêtage'!C289</f>
        <v>32341.35221867514</v>
      </c>
      <c r="N290" s="10">
        <f t="shared" si="48"/>
        <v>41561.778707954545</v>
      </c>
      <c r="O290" s="55">
        <f t="shared" si="49"/>
        <v>41561.778707954545</v>
      </c>
      <c r="P290" s="218"/>
      <c r="Q290" s="219"/>
      <c r="R290" s="215"/>
      <c r="S290" s="215"/>
      <c r="T290" s="220"/>
    </row>
    <row r="291" spans="1:20" s="214" customFormat="1" x14ac:dyDescent="0.25">
      <c r="A291" s="306">
        <f>'A) Base RI'!A292</f>
        <v>5910</v>
      </c>
      <c r="B291" s="227" t="str">
        <f>'A) Base RI'!B292</f>
        <v>Cronay</v>
      </c>
      <c r="C291" s="243">
        <v>0</v>
      </c>
      <c r="D291" s="216">
        <f>'B) D RI'!AA292</f>
        <v>394</v>
      </c>
      <c r="E291" s="217">
        <f>'B) D RI'!S292</f>
        <v>79</v>
      </c>
      <c r="F291" s="10">
        <f>'B) D RI'!R292</f>
        <v>805640.89749788295</v>
      </c>
      <c r="G291" s="10">
        <f>'B) D RI'!U292</f>
        <v>10197.986044276999</v>
      </c>
      <c r="H291" s="41">
        <f>'B) D RI'!T292</f>
        <v>751991.29749788297</v>
      </c>
      <c r="I291" s="10">
        <f t="shared" si="53"/>
        <v>19037.754367035013</v>
      </c>
      <c r="J291" s="31">
        <f t="shared" si="52"/>
        <v>33543.723019533332</v>
      </c>
      <c r="K291" s="10">
        <f t="shared" si="47"/>
        <v>19037.754367035013</v>
      </c>
      <c r="L291" s="10">
        <f t="shared" si="51"/>
        <v>14505.968652498319</v>
      </c>
      <c r="M291" s="10">
        <f>'D) Ecrêtage'!C290</f>
        <v>10197.986044276999</v>
      </c>
      <c r="N291" s="10">
        <f t="shared" si="48"/>
        <v>13105.402531509</v>
      </c>
      <c r="O291" s="55">
        <f t="shared" si="49"/>
        <v>32143.156898544014</v>
      </c>
      <c r="P291" s="218"/>
      <c r="Q291" s="219"/>
      <c r="R291" s="215"/>
      <c r="S291" s="215"/>
      <c r="T291" s="220"/>
    </row>
    <row r="292" spans="1:20" s="214" customFormat="1" x14ac:dyDescent="0.25">
      <c r="A292" s="306">
        <f>'A) Base RI'!A293</f>
        <v>5911</v>
      </c>
      <c r="B292" s="227" t="str">
        <f>'A) Base RI'!B293</f>
        <v>Cuarny</v>
      </c>
      <c r="C292" s="243">
        <v>0</v>
      </c>
      <c r="D292" s="216">
        <f>'B) D RI'!AA293</f>
        <v>239</v>
      </c>
      <c r="E292" s="217">
        <f>'B) D RI'!S293</f>
        <v>79</v>
      </c>
      <c r="F292" s="10">
        <f>'B) D RI'!R293</f>
        <v>618982.19501377398</v>
      </c>
      <c r="G292" s="10">
        <f>'B) D RI'!U293</f>
        <v>7835.2176584022027</v>
      </c>
      <c r="H292" s="41">
        <f>'B) D RI'!T293</f>
        <v>584608.04501377395</v>
      </c>
      <c r="I292" s="10">
        <f t="shared" si="53"/>
        <v>14800.203671234784</v>
      </c>
      <c r="J292" s="31">
        <f t="shared" si="52"/>
        <v>20347.588329107784</v>
      </c>
      <c r="K292" s="10">
        <f t="shared" si="47"/>
        <v>14800.203671234784</v>
      </c>
      <c r="L292" s="10">
        <f t="shared" si="51"/>
        <v>5547.3846578730008</v>
      </c>
      <c r="M292" s="10">
        <f>'D) Ecrêtage'!C291</f>
        <v>7835.2176584022027</v>
      </c>
      <c r="N292" s="10">
        <f t="shared" si="48"/>
        <v>10069.015675205128</v>
      </c>
      <c r="O292" s="55">
        <f t="shared" si="49"/>
        <v>24869.21934643991</v>
      </c>
      <c r="P292" s="218"/>
      <c r="Q292" s="219"/>
      <c r="R292" s="215"/>
      <c r="S292" s="215"/>
      <c r="T292" s="220"/>
    </row>
    <row r="293" spans="1:20" s="214" customFormat="1" x14ac:dyDescent="0.25">
      <c r="A293" s="306">
        <f>'A) Base RI'!A294</f>
        <v>5912</v>
      </c>
      <c r="B293" s="227" t="str">
        <f>'A) Base RI'!B294</f>
        <v>Démoret</v>
      </c>
      <c r="C293" s="243">
        <v>0</v>
      </c>
      <c r="D293" s="216">
        <f>'B) D RI'!AA294</f>
        <v>156</v>
      </c>
      <c r="E293" s="217">
        <f>'B) D RI'!S294</f>
        <v>81</v>
      </c>
      <c r="F293" s="10">
        <f>'B) D RI'!R294</f>
        <v>321030.41965195973</v>
      </c>
      <c r="G293" s="10">
        <f>'B) D RI'!U294</f>
        <v>3963.3385142217253</v>
      </c>
      <c r="H293" s="41">
        <f>'B) D RI'!T294</f>
        <v>300586.91965195973</v>
      </c>
      <c r="I293" s="10">
        <f t="shared" si="53"/>
        <v>7421.8992506656723</v>
      </c>
      <c r="J293" s="31">
        <f t="shared" si="52"/>
        <v>13281.271043267006</v>
      </c>
      <c r="K293" s="10">
        <f t="shared" si="47"/>
        <v>7421.8992506656723</v>
      </c>
      <c r="L293" s="10">
        <f t="shared" si="51"/>
        <v>5859.3717926013342</v>
      </c>
      <c r="M293" s="10">
        <f>'D) Ecrêtage'!C292</f>
        <v>3963.3385142217253</v>
      </c>
      <c r="N293" s="10">
        <f t="shared" si="48"/>
        <v>5093.2749242834407</v>
      </c>
      <c r="O293" s="55">
        <f t="shared" si="49"/>
        <v>12515.174174949112</v>
      </c>
      <c r="P293" s="218"/>
      <c r="Q293" s="219"/>
      <c r="R293" s="215"/>
      <c r="S293" s="215"/>
      <c r="T293" s="220"/>
    </row>
    <row r="294" spans="1:20" s="214" customFormat="1" x14ac:dyDescent="0.25">
      <c r="A294" s="306">
        <f>'A) Base RI'!A295</f>
        <v>5913</v>
      </c>
      <c r="B294" s="227" t="str">
        <f>'A) Base RI'!B295</f>
        <v>Donneloye</v>
      </c>
      <c r="C294" s="243">
        <v>0</v>
      </c>
      <c r="D294" s="216">
        <f>'B) D RI'!AA295</f>
        <v>823</v>
      </c>
      <c r="E294" s="217">
        <f>'B) D RI'!S295</f>
        <v>73</v>
      </c>
      <c r="F294" s="10">
        <f>'B) D RI'!R295</f>
        <v>1573883.7444576384</v>
      </c>
      <c r="G294" s="10">
        <f>'B) D RI'!U295</f>
        <v>21560.051293940251</v>
      </c>
      <c r="H294" s="41">
        <f>'B) D RI'!T295</f>
        <v>1458029.1444576385</v>
      </c>
      <c r="I294" s="10">
        <f t="shared" si="53"/>
        <v>39946.003957743524</v>
      </c>
      <c r="J294" s="31">
        <f t="shared" si="52"/>
        <v>70067.218388517605</v>
      </c>
      <c r="K294" s="10">
        <f t="shared" si="47"/>
        <v>39946.003957743524</v>
      </c>
      <c r="L294" s="10">
        <f t="shared" si="51"/>
        <v>30121.214430774082</v>
      </c>
      <c r="M294" s="10">
        <f>'D) Ecrêtage'!C293</f>
        <v>21560.051293940251</v>
      </c>
      <c r="N294" s="10">
        <f t="shared" si="48"/>
        <v>27706.759901444882</v>
      </c>
      <c r="O294" s="55">
        <f t="shared" si="49"/>
        <v>67652.763859188402</v>
      </c>
      <c r="P294" s="218"/>
      <c r="Q294" s="219"/>
      <c r="R294" s="215"/>
      <c r="S294" s="215"/>
      <c r="T294" s="220"/>
    </row>
    <row r="295" spans="1:20" s="214" customFormat="1" x14ac:dyDescent="0.25">
      <c r="A295" s="306">
        <f>'A) Base RI'!A296</f>
        <v>5914</v>
      </c>
      <c r="B295" s="227" t="str">
        <f>'A) Base RI'!B296</f>
        <v>Ependes</v>
      </c>
      <c r="C295" s="243">
        <v>1</v>
      </c>
      <c r="D295" s="216">
        <f>'B) D RI'!AA296</f>
        <v>357</v>
      </c>
      <c r="E295" s="217">
        <f>'B) D RI'!S296</f>
        <v>75</v>
      </c>
      <c r="F295" s="10">
        <f>'B) D RI'!R296</f>
        <v>759004.45697640546</v>
      </c>
      <c r="G295" s="10">
        <f>'B) D RI'!U296</f>
        <v>10120.059426352072</v>
      </c>
      <c r="H295" s="41">
        <f>'B) D RI'!T296</f>
        <v>700177.20697640546</v>
      </c>
      <c r="I295" s="10">
        <f t="shared" si="53"/>
        <v>18671.392186037479</v>
      </c>
      <c r="J295" s="31">
        <f t="shared" si="52"/>
        <v>30393.677964399492</v>
      </c>
      <c r="K295" s="10">
        <f t="shared" si="47"/>
        <v>0</v>
      </c>
      <c r="L295" s="10">
        <f t="shared" si="51"/>
        <v>30393.677964399492</v>
      </c>
      <c r="M295" s="10">
        <f>'D) Ecrêtage'!C294</f>
        <v>10120.059426352072</v>
      </c>
      <c r="N295" s="10">
        <f t="shared" si="48"/>
        <v>13005.259258965654</v>
      </c>
      <c r="O295" s="55">
        <f t="shared" si="49"/>
        <v>13005.259258965654</v>
      </c>
      <c r="P295" s="218"/>
      <c r="Q295" s="219"/>
      <c r="R295" s="215"/>
      <c r="S295" s="215"/>
      <c r="T295" s="220"/>
    </row>
    <row r="296" spans="1:20" s="214" customFormat="1" x14ac:dyDescent="0.25">
      <c r="A296" s="306">
        <f>'A) Base RI'!A297</f>
        <v>5919</v>
      </c>
      <c r="B296" s="227" t="str">
        <f>'A) Base RI'!B297</f>
        <v>Mathod</v>
      </c>
      <c r="C296" s="243">
        <v>1</v>
      </c>
      <c r="D296" s="216">
        <f>'B) D RI'!AA297</f>
        <v>601</v>
      </c>
      <c r="E296" s="217">
        <f>'B) D RI'!S297</f>
        <v>72</v>
      </c>
      <c r="F296" s="10">
        <f>'B) D RI'!R297</f>
        <v>1254553.4043672457</v>
      </c>
      <c r="G296" s="10">
        <f>'B) D RI'!U297</f>
        <v>17424.35283843397</v>
      </c>
      <c r="H296" s="41">
        <f>'B) D RI'!T297</f>
        <v>1128840.6210339125</v>
      </c>
      <c r="I296" s="10">
        <f t="shared" si="53"/>
        <v>31356.68391760868</v>
      </c>
      <c r="J296" s="31">
        <f t="shared" si="52"/>
        <v>51166.948057714551</v>
      </c>
      <c r="K296" s="10">
        <f t="shared" si="47"/>
        <v>0</v>
      </c>
      <c r="L296" s="10">
        <f t="shared" si="51"/>
        <v>51166.948057714551</v>
      </c>
      <c r="M296" s="10">
        <f>'D) Ecrêtage'!C295</f>
        <v>17424.35283843397</v>
      </c>
      <c r="N296" s="10">
        <f t="shared" si="48"/>
        <v>22391.985712401318</v>
      </c>
      <c r="O296" s="55">
        <f t="shared" si="49"/>
        <v>22391.985712401318</v>
      </c>
      <c r="P296" s="218"/>
      <c r="Q296" s="219"/>
      <c r="R296" s="215"/>
      <c r="S296" s="215"/>
      <c r="T296" s="220"/>
    </row>
    <row r="297" spans="1:20" s="214" customFormat="1" x14ac:dyDescent="0.25">
      <c r="A297" s="306">
        <f>'A) Base RI'!A298</f>
        <v>5921</v>
      </c>
      <c r="B297" s="227" t="str">
        <f>'A) Base RI'!B298</f>
        <v>Molondin</v>
      </c>
      <c r="C297" s="243">
        <v>0</v>
      </c>
      <c r="D297" s="216">
        <f>'B) D RI'!AA298</f>
        <v>240</v>
      </c>
      <c r="E297" s="217">
        <f>'B) D RI'!S298</f>
        <v>81</v>
      </c>
      <c r="F297" s="10">
        <f>'B) D RI'!R298</f>
        <v>457482.80595625035</v>
      </c>
      <c r="G297" s="10">
        <f>'B) D RI'!U298</f>
        <v>5647.9358760030909</v>
      </c>
      <c r="H297" s="41">
        <f>'B) D RI'!T298</f>
        <v>425517.55595625035</v>
      </c>
      <c r="I297" s="10">
        <f t="shared" si="53"/>
        <v>10506.606319907416</v>
      </c>
      <c r="J297" s="31">
        <f t="shared" si="52"/>
        <v>20432.724681949239</v>
      </c>
      <c r="K297" s="10">
        <f t="shared" si="47"/>
        <v>10506.606319907416</v>
      </c>
      <c r="L297" s="10">
        <f t="shared" si="51"/>
        <v>9926.1183620418233</v>
      </c>
      <c r="M297" s="10">
        <f>'D) Ecrêtage'!C296</f>
        <v>5647.9358760030909</v>
      </c>
      <c r="N297" s="10">
        <f t="shared" si="48"/>
        <v>7258.1461482495151</v>
      </c>
      <c r="O297" s="55">
        <f t="shared" si="49"/>
        <v>17764.75246815693</v>
      </c>
      <c r="P297" s="218"/>
      <c r="Q297" s="219"/>
      <c r="R297" s="215"/>
      <c r="S297" s="215"/>
      <c r="T297" s="220"/>
    </row>
    <row r="298" spans="1:20" s="214" customFormat="1" x14ac:dyDescent="0.25">
      <c r="A298" s="306">
        <f>'A) Base RI'!A299</f>
        <v>5922</v>
      </c>
      <c r="B298" s="227" t="str">
        <f>'A) Base RI'!B299</f>
        <v>Montagny-près-Yverdon</v>
      </c>
      <c r="C298" s="243">
        <v>0</v>
      </c>
      <c r="D298" s="216">
        <f>'B) D RI'!AA299</f>
        <v>747</v>
      </c>
      <c r="E298" s="217">
        <f>'B) D RI'!S299</f>
        <v>65</v>
      </c>
      <c r="F298" s="10">
        <f>'B) D RI'!R299</f>
        <v>2338990.1181009281</v>
      </c>
      <c r="G298" s="10">
        <f>'B) D RI'!U299</f>
        <v>35984.463355398897</v>
      </c>
      <c r="H298" s="41">
        <f>'B) D RI'!T299</f>
        <v>1949051.5056009279</v>
      </c>
      <c r="I298" s="10">
        <f t="shared" si="53"/>
        <v>59970.815556951624</v>
      </c>
      <c r="J298" s="31">
        <f t="shared" si="52"/>
        <v>63596.855572567008</v>
      </c>
      <c r="K298" s="10">
        <f t="shared" si="47"/>
        <v>59970.815556951624</v>
      </c>
      <c r="L298" s="10">
        <f t="shared" si="51"/>
        <v>3626.0400156153846</v>
      </c>
      <c r="M298" s="10">
        <f>'D) Ecrêtage'!C297</f>
        <v>35984.463355398897</v>
      </c>
      <c r="N298" s="10">
        <f t="shared" si="48"/>
        <v>46243.530350533212</v>
      </c>
      <c r="O298" s="55">
        <f t="shared" si="49"/>
        <v>106214.34590748484</v>
      </c>
      <c r="P298" s="218"/>
      <c r="Q298" s="219"/>
      <c r="R298" s="215"/>
      <c r="S298" s="215"/>
      <c r="T298" s="220"/>
    </row>
    <row r="299" spans="1:20" s="214" customFormat="1" x14ac:dyDescent="0.25">
      <c r="A299" s="306">
        <f>'A) Base RI'!A300</f>
        <v>5923</v>
      </c>
      <c r="B299" s="227" t="str">
        <f>'A) Base RI'!B300</f>
        <v>Oppens</v>
      </c>
      <c r="C299" s="243">
        <v>0</v>
      </c>
      <c r="D299" s="216">
        <f>'B) D RI'!AA300</f>
        <v>202</v>
      </c>
      <c r="E299" s="217">
        <f>'B) D RI'!S300</f>
        <v>81</v>
      </c>
      <c r="F299" s="10">
        <f>'B) D RI'!R300</f>
        <v>436568.11826912174</v>
      </c>
      <c r="G299" s="10">
        <f>'B) D RI'!U300</f>
        <v>5389.7298551743424</v>
      </c>
      <c r="H299" s="41">
        <f>'B) D RI'!T300</f>
        <v>410738.11826912174</v>
      </c>
      <c r="I299" s="10">
        <f t="shared" si="53"/>
        <v>10141.681932570908</v>
      </c>
      <c r="J299" s="31">
        <f t="shared" si="52"/>
        <v>17197.543273973944</v>
      </c>
      <c r="K299" s="10">
        <f t="shared" si="47"/>
        <v>10141.681932570908</v>
      </c>
      <c r="L299" s="10">
        <f t="shared" si="51"/>
        <v>7055.8613414030369</v>
      </c>
      <c r="M299" s="10">
        <f>'D) Ecrêtage'!C298</f>
        <v>5389.7298551743424</v>
      </c>
      <c r="N299" s="10">
        <f t="shared" si="48"/>
        <v>6926.3263335990578</v>
      </c>
      <c r="O299" s="55">
        <f t="shared" si="49"/>
        <v>17068.008266169963</v>
      </c>
      <c r="P299" s="218"/>
      <c r="Q299" s="219"/>
      <c r="R299" s="215"/>
      <c r="S299" s="215"/>
      <c r="T299" s="220"/>
    </row>
    <row r="300" spans="1:20" s="214" customFormat="1" x14ac:dyDescent="0.25">
      <c r="A300" s="306">
        <f>'A) Base RI'!A301</f>
        <v>5924</v>
      </c>
      <c r="B300" s="227" t="str">
        <f>'A) Base RI'!B301</f>
        <v>Orges</v>
      </c>
      <c r="C300" s="243">
        <v>0</v>
      </c>
      <c r="D300" s="216">
        <f>'B) D RI'!AA301</f>
        <v>332</v>
      </c>
      <c r="E300" s="217">
        <f>'B) D RI'!S301</f>
        <v>74</v>
      </c>
      <c r="F300" s="10">
        <f>'B) D RI'!R301</f>
        <v>878070.11789865012</v>
      </c>
      <c r="G300" s="10">
        <f>'B) D RI'!U301</f>
        <v>11865.812404035813</v>
      </c>
      <c r="H300" s="41">
        <f>'B) D RI'!T301</f>
        <v>824914.36789865012</v>
      </c>
      <c r="I300" s="10">
        <f t="shared" si="53"/>
        <v>22294.982916179732</v>
      </c>
      <c r="J300" s="31">
        <f t="shared" si="52"/>
        <v>28265.269143363115</v>
      </c>
      <c r="K300" s="10">
        <f t="shared" si="47"/>
        <v>22294.982916179732</v>
      </c>
      <c r="L300" s="10">
        <f t="shared" si="51"/>
        <v>5970.2862271833837</v>
      </c>
      <c r="M300" s="10">
        <f>'D) Ecrêtage'!C299</f>
        <v>11865.812404035813</v>
      </c>
      <c r="N300" s="10">
        <f t="shared" si="48"/>
        <v>15248.721389016831</v>
      </c>
      <c r="O300" s="55">
        <f t="shared" si="49"/>
        <v>37543.704305196559</v>
      </c>
      <c r="P300" s="218"/>
      <c r="Q300" s="219"/>
      <c r="R300" s="215"/>
      <c r="S300" s="215"/>
      <c r="T300" s="220"/>
    </row>
    <row r="301" spans="1:20" s="214" customFormat="1" x14ac:dyDescent="0.25">
      <c r="A301" s="306">
        <f>'A) Base RI'!A302</f>
        <v>5925</v>
      </c>
      <c r="B301" s="227" t="str">
        <f>'A) Base RI'!B302</f>
        <v>Orzens</v>
      </c>
      <c r="C301" s="243">
        <v>0</v>
      </c>
      <c r="D301" s="216">
        <f>'B) D RI'!AA302</f>
        <v>208</v>
      </c>
      <c r="E301" s="217">
        <f>'B) D RI'!S302</f>
        <v>79</v>
      </c>
      <c r="F301" s="10">
        <f>'B) D RI'!R302</f>
        <v>422076.62926131027</v>
      </c>
      <c r="G301" s="10">
        <f>'B) D RI'!U302</f>
        <v>5342.7421425482316</v>
      </c>
      <c r="H301" s="41">
        <f>'B) D RI'!T302</f>
        <v>390215.52926131029</v>
      </c>
      <c r="I301" s="10">
        <f t="shared" si="53"/>
        <v>9878.8741585141852</v>
      </c>
      <c r="J301" s="31">
        <f t="shared" si="52"/>
        <v>17708.361391022674</v>
      </c>
      <c r="K301" s="10">
        <f t="shared" si="47"/>
        <v>9878.8741585141852</v>
      </c>
      <c r="L301" s="10">
        <f t="shared" si="51"/>
        <v>7829.4872325084889</v>
      </c>
      <c r="M301" s="10">
        <f>'D) Ecrêtage'!C300</f>
        <v>5342.7421425482316</v>
      </c>
      <c r="N301" s="10">
        <f t="shared" si="48"/>
        <v>6865.9425592610232</v>
      </c>
      <c r="O301" s="55">
        <f t="shared" si="49"/>
        <v>16744.816717775208</v>
      </c>
      <c r="P301" s="218"/>
      <c r="Q301" s="219"/>
      <c r="R301" s="215"/>
      <c r="S301" s="215"/>
      <c r="T301" s="220"/>
    </row>
    <row r="302" spans="1:20" s="214" customFormat="1" x14ac:dyDescent="0.25">
      <c r="A302" s="306">
        <f>'A) Base RI'!A303</f>
        <v>5926</v>
      </c>
      <c r="B302" s="227" t="str">
        <f>'A) Base RI'!B303</f>
        <v>Pomy</v>
      </c>
      <c r="C302" s="243">
        <v>1</v>
      </c>
      <c r="D302" s="216">
        <f>'B) D RI'!AA303</f>
        <v>793</v>
      </c>
      <c r="E302" s="217">
        <f>'B) D RI'!S303</f>
        <v>71</v>
      </c>
      <c r="F302" s="10">
        <f>'B) D RI'!R303</f>
        <v>1951237.2538853374</v>
      </c>
      <c r="G302" s="10">
        <f>'B) D RI'!U303</f>
        <v>27482.214843455455</v>
      </c>
      <c r="H302" s="41">
        <f>'B) D RI'!T303</f>
        <v>1829819.2538853374</v>
      </c>
      <c r="I302" s="10">
        <f t="shared" si="53"/>
        <v>51544.204334798233</v>
      </c>
      <c r="J302" s="31">
        <f t="shared" si="52"/>
        <v>67513.12780327395</v>
      </c>
      <c r="K302" s="10">
        <f t="shared" si="47"/>
        <v>0</v>
      </c>
      <c r="L302" s="10">
        <f t="shared" si="51"/>
        <v>67513.12780327395</v>
      </c>
      <c r="M302" s="10">
        <f>'D) Ecrêtage'!C301</f>
        <v>27482.214843455455</v>
      </c>
      <c r="N302" s="10">
        <f t="shared" si="48"/>
        <v>35317.315244122772</v>
      </c>
      <c r="O302" s="55">
        <f t="shared" si="49"/>
        <v>35317.315244122772</v>
      </c>
      <c r="P302" s="218"/>
      <c r="Q302" s="219"/>
      <c r="R302" s="215"/>
      <c r="S302" s="215"/>
      <c r="T302" s="220"/>
    </row>
    <row r="303" spans="1:20" s="214" customFormat="1" x14ac:dyDescent="0.25">
      <c r="A303" s="306">
        <f>'A) Base RI'!A304</f>
        <v>5928</v>
      </c>
      <c r="B303" s="227" t="str">
        <f>'A) Base RI'!B304</f>
        <v>Rovray</v>
      </c>
      <c r="C303" s="243">
        <v>0</v>
      </c>
      <c r="D303" s="216">
        <f>'B) D RI'!AA304</f>
        <v>185</v>
      </c>
      <c r="E303" s="217">
        <f>'B) D RI'!S304</f>
        <v>73</v>
      </c>
      <c r="F303" s="10">
        <f>'B) D RI'!R304</f>
        <v>438225.89723948424</v>
      </c>
      <c r="G303" s="10">
        <f>'B) D RI'!U304</f>
        <v>6003.0944827326612</v>
      </c>
      <c r="H303" s="41">
        <f>'B) D RI'!T304</f>
        <v>415262.89723948424</v>
      </c>
      <c r="I303" s="10">
        <f t="shared" si="53"/>
        <v>11377.065677794089</v>
      </c>
      <c r="J303" s="31">
        <f t="shared" si="52"/>
        <v>15750.225275669205</v>
      </c>
      <c r="K303" s="10">
        <f t="shared" ref="K303:K313" si="54">IF(C303=1,0,IF(J303&gt;I303,I303,J303))</f>
        <v>11377.065677794089</v>
      </c>
      <c r="L303" s="10">
        <f t="shared" si="51"/>
        <v>4373.1595978751157</v>
      </c>
      <c r="M303" s="10">
        <f>'D) Ecrêtage'!C302</f>
        <v>6003.0944827326612</v>
      </c>
      <c r="N303" s="10">
        <f t="shared" si="48"/>
        <v>7714.5594521619059</v>
      </c>
      <c r="O303" s="55">
        <f t="shared" si="49"/>
        <v>19091.625129955995</v>
      </c>
      <c r="P303" s="218"/>
      <c r="Q303" s="219"/>
      <c r="R303" s="215"/>
      <c r="S303" s="215"/>
      <c r="T303" s="220"/>
    </row>
    <row r="304" spans="1:20" s="214" customFormat="1" x14ac:dyDescent="0.25">
      <c r="A304" s="306">
        <f>'A) Base RI'!A305</f>
        <v>5929</v>
      </c>
      <c r="B304" s="227" t="str">
        <f>'A) Base RI'!B305</f>
        <v>Suchy</v>
      </c>
      <c r="C304" s="243">
        <v>1</v>
      </c>
      <c r="D304" s="216">
        <f>'B) D RI'!AA305</f>
        <v>645</v>
      </c>
      <c r="E304" s="217">
        <f>'B) D RI'!S305</f>
        <v>70</v>
      </c>
      <c r="F304" s="10">
        <f>'B) D RI'!R305</f>
        <v>1205085.1026626863</v>
      </c>
      <c r="G304" s="10">
        <f>'B) D RI'!U305</f>
        <v>17215.501466609803</v>
      </c>
      <c r="H304" s="41">
        <f>'B) D RI'!T305</f>
        <v>1097321.2276626863</v>
      </c>
      <c r="I304" s="10">
        <f t="shared" si="53"/>
        <v>31352.035076076751</v>
      </c>
      <c r="J304" s="31">
        <f t="shared" si="52"/>
        <v>54912.947582738583</v>
      </c>
      <c r="K304" s="10">
        <f t="shared" si="54"/>
        <v>0</v>
      </c>
      <c r="L304" s="10">
        <f t="shared" si="51"/>
        <v>54912.947582738583</v>
      </c>
      <c r="M304" s="10">
        <f>'D) Ecrêtage'!C303</f>
        <v>17215.501466609803</v>
      </c>
      <c r="N304" s="10">
        <f t="shared" si="48"/>
        <v>22123.591415220493</v>
      </c>
      <c r="O304" s="55">
        <f t="shared" si="49"/>
        <v>22123.591415220493</v>
      </c>
      <c r="P304" s="218"/>
      <c r="Q304" s="219"/>
      <c r="R304" s="215"/>
      <c r="S304" s="215"/>
      <c r="T304" s="220"/>
    </row>
    <row r="305" spans="1:20" s="214" customFormat="1" x14ac:dyDescent="0.25">
      <c r="A305" s="306">
        <f>'A) Base RI'!A306</f>
        <v>5930</v>
      </c>
      <c r="B305" s="227" t="str">
        <f>'A) Base RI'!B306</f>
        <v>Suscévaz</v>
      </c>
      <c r="C305" s="243">
        <v>1</v>
      </c>
      <c r="D305" s="216">
        <f>'B) D RI'!AA306</f>
        <v>215</v>
      </c>
      <c r="E305" s="217">
        <f>'B) D RI'!S306</f>
        <v>72</v>
      </c>
      <c r="F305" s="10">
        <f>'B) D RI'!R306</f>
        <v>421847.78351727442</v>
      </c>
      <c r="G305" s="10">
        <f>'B) D RI'!U306</f>
        <v>5858.9969932954782</v>
      </c>
      <c r="H305" s="41">
        <f>'B) D RI'!T306</f>
        <v>390804.63351727446</v>
      </c>
      <c r="I305" s="10">
        <f t="shared" si="53"/>
        <v>10855.684264368734</v>
      </c>
      <c r="J305" s="31">
        <f t="shared" si="52"/>
        <v>18304.315860912859</v>
      </c>
      <c r="K305" s="10">
        <f t="shared" si="54"/>
        <v>0</v>
      </c>
      <c r="L305" s="10">
        <f t="shared" si="51"/>
        <v>18304.315860912859</v>
      </c>
      <c r="M305" s="10">
        <f>'D) Ecrêtage'!C304</f>
        <v>5858.9969932954782</v>
      </c>
      <c r="N305" s="10">
        <f t="shared" si="48"/>
        <v>7529.3801829753265</v>
      </c>
      <c r="O305" s="55">
        <f t="shared" si="49"/>
        <v>7529.3801829753265</v>
      </c>
      <c r="P305" s="218"/>
      <c r="Q305" s="219"/>
      <c r="R305" s="215"/>
      <c r="S305" s="215"/>
      <c r="T305" s="220"/>
    </row>
    <row r="306" spans="1:20" s="214" customFormat="1" x14ac:dyDescent="0.25">
      <c r="A306" s="306">
        <f>'A) Base RI'!A307</f>
        <v>5931</v>
      </c>
      <c r="B306" s="227" t="str">
        <f>'A) Base RI'!B307</f>
        <v>Treycovagnes</v>
      </c>
      <c r="C306" s="243">
        <v>1</v>
      </c>
      <c r="D306" s="216">
        <f>'B) D RI'!AA307</f>
        <v>492</v>
      </c>
      <c r="E306" s="217">
        <f>'B) D RI'!S307</f>
        <v>75</v>
      </c>
      <c r="F306" s="10">
        <f>'B) D RI'!R307</f>
        <v>912960.84255236667</v>
      </c>
      <c r="G306" s="10">
        <f>'B) D RI'!U307</f>
        <v>12172.811234031555</v>
      </c>
      <c r="H306" s="41">
        <f>'B) D RI'!T307</f>
        <v>836994.24255236669</v>
      </c>
      <c r="I306" s="10">
        <f t="shared" si="53"/>
        <v>22319.846468063111</v>
      </c>
      <c r="J306" s="31">
        <f t="shared" si="52"/>
        <v>41887.085597995938</v>
      </c>
      <c r="K306" s="10">
        <f t="shared" si="54"/>
        <v>0</v>
      </c>
      <c r="L306" s="10">
        <f t="shared" si="51"/>
        <v>41887.085597995938</v>
      </c>
      <c r="M306" s="10">
        <f>'D) Ecrêtage'!C305</f>
        <v>12172.811234031555</v>
      </c>
      <c r="N306" s="10">
        <f t="shared" si="48"/>
        <v>15643.244702377744</v>
      </c>
      <c r="O306" s="55">
        <f t="shared" si="49"/>
        <v>15643.244702377744</v>
      </c>
      <c r="P306" s="218"/>
      <c r="Q306" s="219"/>
      <c r="R306" s="215"/>
      <c r="S306" s="215"/>
      <c r="T306" s="220"/>
    </row>
    <row r="307" spans="1:20" s="214" customFormat="1" x14ac:dyDescent="0.25">
      <c r="A307" s="306">
        <f>'A) Base RI'!A308</f>
        <v>5932</v>
      </c>
      <c r="B307" s="227" t="str">
        <f>'A) Base RI'!B308</f>
        <v>Ursins</v>
      </c>
      <c r="C307" s="243">
        <v>0</v>
      </c>
      <c r="D307" s="216">
        <f>'B) D RI'!AA308</f>
        <v>225</v>
      </c>
      <c r="E307" s="217">
        <f>'B) D RI'!S308</f>
        <v>77</v>
      </c>
      <c r="F307" s="10">
        <f>'B) D RI'!R308</f>
        <v>637311.71465667384</v>
      </c>
      <c r="G307" s="10">
        <f>'B) D RI'!U308</f>
        <v>8276.7755150217381</v>
      </c>
      <c r="H307" s="41">
        <f>'B) D RI'!T308</f>
        <v>604739.21465667384</v>
      </c>
      <c r="I307" s="10">
        <f t="shared" si="53"/>
        <v>15707.512069004515</v>
      </c>
      <c r="J307" s="31">
        <f t="shared" si="52"/>
        <v>19155.679389327412</v>
      </c>
      <c r="K307" s="10">
        <f t="shared" si="54"/>
        <v>15707.512069004515</v>
      </c>
      <c r="L307" s="10">
        <f t="shared" si="51"/>
        <v>3448.1673203228966</v>
      </c>
      <c r="M307" s="10">
        <f>'D) Ecrêtage'!C306</f>
        <v>8276.7755150217381</v>
      </c>
      <c r="N307" s="10">
        <f t="shared" si="48"/>
        <v>10636.460406628039</v>
      </c>
      <c r="O307" s="55">
        <f t="shared" si="49"/>
        <v>26343.972475632552</v>
      </c>
      <c r="P307" s="218"/>
      <c r="Q307" s="219"/>
      <c r="R307" s="215"/>
      <c r="S307" s="215"/>
      <c r="T307" s="220"/>
    </row>
    <row r="308" spans="1:20" s="214" customFormat="1" x14ac:dyDescent="0.25">
      <c r="A308" s="306">
        <f>'A) Base RI'!A309</f>
        <v>5933</v>
      </c>
      <c r="B308" s="227" t="str">
        <f>'A) Base RI'!B309</f>
        <v>Valeyres-sous-Montagny</v>
      </c>
      <c r="C308" s="243">
        <v>0</v>
      </c>
      <c r="D308" s="216">
        <f>'B) D RI'!AA309</f>
        <v>709</v>
      </c>
      <c r="E308" s="217">
        <f>'B) D RI'!S309</f>
        <v>72</v>
      </c>
      <c r="F308" s="10">
        <f>'B) D RI'!R309</f>
        <v>1590402.9283043139</v>
      </c>
      <c r="G308" s="10">
        <f>'B) D RI'!U309</f>
        <v>22088.929559782136</v>
      </c>
      <c r="H308" s="41">
        <f>'B) D RI'!T309</f>
        <v>1469094.9283043139</v>
      </c>
      <c r="I308" s="10">
        <f t="shared" si="53"/>
        <v>40808.192452897609</v>
      </c>
      <c r="J308" s="31">
        <f t="shared" ref="J308:J313" si="55">+$I$314/$D$314*D308</f>
        <v>60361.674164591714</v>
      </c>
      <c r="K308" s="10">
        <f t="shared" si="54"/>
        <v>40808.192452897609</v>
      </c>
      <c r="L308" s="10">
        <f t="shared" si="51"/>
        <v>19553.481711694105</v>
      </c>
      <c r="M308" s="10">
        <f>'D) Ecrêtage'!C307</f>
        <v>22088.929559782136</v>
      </c>
      <c r="N308" s="10">
        <f t="shared" si="48"/>
        <v>28386.419839586692</v>
      </c>
      <c r="O308" s="55">
        <f t="shared" si="49"/>
        <v>69194.612292484293</v>
      </c>
      <c r="P308" s="218"/>
      <c r="Q308" s="219"/>
      <c r="R308" s="215"/>
      <c r="S308" s="215"/>
      <c r="T308" s="220"/>
    </row>
    <row r="309" spans="1:20" s="214" customFormat="1" x14ac:dyDescent="0.25">
      <c r="A309" s="306">
        <f>'A) Base RI'!A310</f>
        <v>5934</v>
      </c>
      <c r="B309" s="227" t="str">
        <f>'A) Base RI'!B310</f>
        <v>Valeyres-sous-Ursins</v>
      </c>
      <c r="C309" s="243">
        <v>0</v>
      </c>
      <c r="D309" s="216">
        <f>'B) D RI'!AA310</f>
        <v>227</v>
      </c>
      <c r="E309" s="217">
        <f>'B) D RI'!S310</f>
        <v>79</v>
      </c>
      <c r="F309" s="10">
        <f>'B) D RI'!R310</f>
        <v>596238.01</v>
      </c>
      <c r="G309" s="10">
        <f>'B) D RI'!U310</f>
        <v>7547.3165822784813</v>
      </c>
      <c r="H309" s="41">
        <f>'B) D RI'!T310</f>
        <v>566892.76</v>
      </c>
      <c r="I309" s="10">
        <f t="shared" si="53"/>
        <v>14351.715443037974</v>
      </c>
      <c r="J309" s="31">
        <f t="shared" si="55"/>
        <v>19325.952095010322</v>
      </c>
      <c r="K309" s="10">
        <f t="shared" si="54"/>
        <v>14351.715443037974</v>
      </c>
      <c r="L309" s="10">
        <f t="shared" si="51"/>
        <v>4974.2366519723473</v>
      </c>
      <c r="M309" s="10">
        <f>'D) Ecrêtage'!C308</f>
        <v>7547.3165822784813</v>
      </c>
      <c r="N309" s="10">
        <f t="shared" si="48"/>
        <v>9699.0348304114268</v>
      </c>
      <c r="O309" s="55">
        <f t="shared" si="49"/>
        <v>24050.750273449401</v>
      </c>
      <c r="P309" s="218"/>
      <c r="Q309" s="219"/>
      <c r="R309" s="215"/>
      <c r="S309" s="215"/>
      <c r="T309" s="220"/>
    </row>
    <row r="310" spans="1:20" s="214" customFormat="1" x14ac:dyDescent="0.25">
      <c r="A310" s="306">
        <f>'A) Base RI'!A311</f>
        <v>5935</v>
      </c>
      <c r="B310" s="227" t="str">
        <f>'A) Base RI'!B311</f>
        <v>Villars-Epeney</v>
      </c>
      <c r="C310" s="243">
        <v>0</v>
      </c>
      <c r="D310" s="216">
        <f>'B) D RI'!AA311</f>
        <v>102</v>
      </c>
      <c r="E310" s="217">
        <f>'B) D RI'!S311</f>
        <v>60</v>
      </c>
      <c r="F310" s="10">
        <f>'B) D RI'!R311</f>
        <v>291170.20999999996</v>
      </c>
      <c r="G310" s="10">
        <f>'B) D RI'!U311</f>
        <v>4852.8368333333328</v>
      </c>
      <c r="H310" s="41">
        <f>'B) D RI'!T311</f>
        <v>272452.25999999995</v>
      </c>
      <c r="I310" s="10">
        <f t="shared" si="53"/>
        <v>9081.7419999999984</v>
      </c>
      <c r="J310" s="31">
        <f t="shared" si="55"/>
        <v>8683.9079898284272</v>
      </c>
      <c r="K310" s="10">
        <f t="shared" si="54"/>
        <v>8683.9079898284272</v>
      </c>
      <c r="L310" s="10">
        <f t="shared" si="51"/>
        <v>0</v>
      </c>
      <c r="M310" s="10">
        <f>'D) Ecrêtage'!C309</f>
        <v>4852.8368333333328</v>
      </c>
      <c r="N310" s="10">
        <f t="shared" si="48"/>
        <v>6236.366655576815</v>
      </c>
      <c r="O310" s="55">
        <f t="shared" si="49"/>
        <v>14920.274645405243</v>
      </c>
      <c r="P310" s="218"/>
      <c r="Q310" s="219"/>
      <c r="R310" s="215"/>
      <c r="S310" s="215"/>
      <c r="T310" s="220"/>
    </row>
    <row r="311" spans="1:20" s="214" customFormat="1" x14ac:dyDescent="0.25">
      <c r="A311" s="306">
        <f>'A) Base RI'!A312</f>
        <v>5937</v>
      </c>
      <c r="B311" s="227" t="str">
        <f>'A) Base RI'!B312</f>
        <v>Vugelles-La Mothe</v>
      </c>
      <c r="C311" s="243">
        <v>0</v>
      </c>
      <c r="D311" s="216">
        <f>'B) D RI'!AA312</f>
        <v>135</v>
      </c>
      <c r="E311" s="217">
        <f>'B) D RI'!S312</f>
        <v>70</v>
      </c>
      <c r="F311" s="10">
        <f>'B) D RI'!R312</f>
        <v>210951.25400409699</v>
      </c>
      <c r="G311" s="10">
        <f>'B) D RI'!U312</f>
        <v>3013.5893429156713</v>
      </c>
      <c r="H311" s="41">
        <f>'B) D RI'!T312</f>
        <v>194637.0397183827</v>
      </c>
      <c r="I311" s="10">
        <f t="shared" si="53"/>
        <v>5561.0582776680776</v>
      </c>
      <c r="J311" s="31">
        <f t="shared" si="55"/>
        <v>11493.407633596447</v>
      </c>
      <c r="K311" s="10">
        <f t="shared" si="54"/>
        <v>5561.0582776680776</v>
      </c>
      <c r="L311" s="10">
        <f t="shared" si="51"/>
        <v>5932.3493559283697</v>
      </c>
      <c r="M311" s="10">
        <f>'D) Ecrêtage'!C310</f>
        <v>3013.5893429156713</v>
      </c>
      <c r="N311" s="10">
        <f t="shared" si="48"/>
        <v>3872.7549961435143</v>
      </c>
      <c r="O311" s="55">
        <f t="shared" si="49"/>
        <v>9433.8132738115928</v>
      </c>
      <c r="P311" s="218"/>
      <c r="Q311" s="219"/>
      <c r="R311" s="215"/>
      <c r="S311" s="215"/>
      <c r="T311" s="220"/>
    </row>
    <row r="312" spans="1:20" s="214" customFormat="1" x14ac:dyDescent="0.25">
      <c r="A312" s="306">
        <f>'A) Base RI'!A313</f>
        <v>5938</v>
      </c>
      <c r="B312" s="227" t="str">
        <f>'A) Base RI'!B313</f>
        <v>Yverdon-les-Bains</v>
      </c>
      <c r="C312" s="243">
        <v>1</v>
      </c>
      <c r="D312" s="216">
        <f>'B) D RI'!AA313</f>
        <v>30189</v>
      </c>
      <c r="E312" s="217">
        <f>'B) D RI'!S313</f>
        <v>76.5</v>
      </c>
      <c r="F312" s="10">
        <f>'B) D RI'!R313</f>
        <v>59796941.694850646</v>
      </c>
      <c r="G312" s="10">
        <f>'B) D RI'!U313</f>
        <v>781659.36856013921</v>
      </c>
      <c r="H312" s="41">
        <f>'B) D RI'!T313</f>
        <v>54901498.244850643</v>
      </c>
      <c r="I312" s="10">
        <f t="shared" si="53"/>
        <v>1435333.2874470756</v>
      </c>
      <c r="J312" s="31">
        <f t="shared" si="55"/>
        <v>2570181.3559306897</v>
      </c>
      <c r="K312" s="10">
        <f t="shared" si="54"/>
        <v>0</v>
      </c>
      <c r="L312" s="10">
        <f t="shared" si="51"/>
        <v>2570181.3559306897</v>
      </c>
      <c r="M312" s="10">
        <f>'D) Ecrêtage'!C311</f>
        <v>781659.36856013921</v>
      </c>
      <c r="N312" s="10">
        <f t="shared" si="48"/>
        <v>1004508.2061329724</v>
      </c>
      <c r="O312" s="55">
        <f t="shared" si="49"/>
        <v>1004508.2061329724</v>
      </c>
      <c r="P312" s="218"/>
      <c r="Q312" s="219"/>
      <c r="R312" s="215"/>
      <c r="S312" s="215"/>
      <c r="T312" s="220"/>
    </row>
    <row r="313" spans="1:20" s="214" customFormat="1" x14ac:dyDescent="0.25">
      <c r="A313" s="307">
        <f>'A) Base RI'!A314</f>
        <v>5939</v>
      </c>
      <c r="B313" s="227" t="str">
        <f>'A) Base RI'!B314</f>
        <v>Yvonand</v>
      </c>
      <c r="C313" s="243">
        <v>0</v>
      </c>
      <c r="D313" s="216">
        <f>'B) D RI'!AA314</f>
        <v>3434</v>
      </c>
      <c r="E313" s="217">
        <f>'B) D RI'!S314</f>
        <v>73</v>
      </c>
      <c r="F313" s="10">
        <f>'B) D RI'!R314</f>
        <v>6936429.828103466</v>
      </c>
      <c r="G313" s="10">
        <f>'B) D RI'!U314</f>
        <v>95019.586686348848</v>
      </c>
      <c r="H313" s="41">
        <f>'B) D RI'!T314</f>
        <v>6335308.2281034663</v>
      </c>
      <c r="I313" s="18">
        <f t="shared" si="53"/>
        <v>173570.08844119086</v>
      </c>
      <c r="J313" s="106">
        <f t="shared" si="55"/>
        <v>292358.23565755703</v>
      </c>
      <c r="K313" s="10">
        <f t="shared" si="54"/>
        <v>173570.08844119086</v>
      </c>
      <c r="L313" s="18">
        <f t="shared" si="51"/>
        <v>118788.14721636617</v>
      </c>
      <c r="M313" s="18">
        <f>'D) Ecrêtage'!C312</f>
        <v>95019.586686348848</v>
      </c>
      <c r="N313" s="18">
        <f>+$N$5*M313</f>
        <v>122109.39753158882</v>
      </c>
      <c r="O313" s="101">
        <f t="shared" si="49"/>
        <v>295679.48597277969</v>
      </c>
      <c r="P313" s="218"/>
      <c r="Q313" s="219"/>
      <c r="R313" s="215"/>
      <c r="S313" s="215"/>
      <c r="T313" s="220"/>
    </row>
    <row r="314" spans="1:20" s="214" customFormat="1" x14ac:dyDescent="0.25">
      <c r="A314" s="30"/>
      <c r="B314" s="118">
        <f>COUNTA(B6:B313)</f>
        <v>308</v>
      </c>
      <c r="C314" s="237">
        <f>SUM(C6:C313)</f>
        <v>52</v>
      </c>
      <c r="D314" s="229">
        <f>SUM(D6:D313)</f>
        <v>806088</v>
      </c>
      <c r="E314" s="229"/>
      <c r="F314" s="229">
        <f t="shared" ref="F314:M314" si="56">SUM(F6:F313)</f>
        <v>2535692395.4626303</v>
      </c>
      <c r="G314" s="229">
        <f t="shared" si="56"/>
        <v>37080520.101833388</v>
      </c>
      <c r="H314" s="229">
        <f t="shared" si="56"/>
        <v>2346148597.139421</v>
      </c>
      <c r="I314" s="245">
        <f>SUM(I6:I313)</f>
        <v>68627392.389262915</v>
      </c>
      <c r="J314" s="229">
        <f t="shared" si="56"/>
        <v>68627392.3892629</v>
      </c>
      <c r="K314" s="364">
        <f t="shared" si="56"/>
        <v>22323734.719278872</v>
      </c>
      <c r="L314" s="231">
        <f t="shared" si="56"/>
        <v>46303657.669984013</v>
      </c>
      <c r="M314" s="229">
        <f t="shared" si="56"/>
        <v>37080520.101833388</v>
      </c>
      <c r="N314" s="238">
        <f>Paramètres!B67-K314</f>
        <v>47652069.722624347</v>
      </c>
      <c r="O314" s="232">
        <f>SUM(O6:O313)</f>
        <v>69975804.441903159</v>
      </c>
      <c r="P314" s="215"/>
      <c r="R314" s="215"/>
      <c r="S314" s="215"/>
    </row>
    <row r="315" spans="1:20" s="214" customFormat="1" x14ac:dyDescent="0.25">
      <c r="A315" s="213"/>
      <c r="B315" s="213"/>
      <c r="C315" s="213"/>
      <c r="D315" s="213"/>
      <c r="E315" s="213"/>
      <c r="F315" s="213"/>
      <c r="G315" s="213"/>
      <c r="H315" s="213"/>
      <c r="I315" s="244"/>
      <c r="J315" s="213"/>
      <c r="K315" s="213"/>
      <c r="L315" s="221"/>
      <c r="M315" s="213"/>
      <c r="N315" s="221"/>
      <c r="O315" s="213"/>
      <c r="P315" s="215"/>
      <c r="R315" s="215"/>
      <c r="S315" s="215"/>
    </row>
    <row r="316" spans="1:20" x14ac:dyDescent="0.25">
      <c r="I316" s="244"/>
      <c r="J316" s="244"/>
      <c r="K316" s="244"/>
      <c r="L316" s="244"/>
      <c r="M316" s="244"/>
      <c r="N316" s="428"/>
      <c r="O316" s="244"/>
    </row>
  </sheetData>
  <protectedRanges>
    <protectedRange sqref="C6:C313" name="Plage1"/>
  </protectedRanges>
  <mergeCells count="13">
    <mergeCell ref="O4:O5"/>
    <mergeCell ref="B4:B5"/>
    <mergeCell ref="A4:A5"/>
    <mergeCell ref="M4:M5"/>
    <mergeCell ref="L4:L5"/>
    <mergeCell ref="K4:K5"/>
    <mergeCell ref="J4:J5"/>
    <mergeCell ref="H4:H5"/>
    <mergeCell ref="G4:G5"/>
    <mergeCell ref="F4:F5"/>
    <mergeCell ref="E4:E5"/>
    <mergeCell ref="D4:D5"/>
    <mergeCell ref="C4:C5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8" fitToHeight="9" orientation="landscape" r:id="rId1"/>
  <headerFooter alignWithMargins="0">
    <oddFooter>&amp;L&amp;8SCL - Division finances communales&amp;C- &amp;N -&amp;R&amp;8ASFiCo/FW/Juillet 2014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7">
    <tabColor rgb="FF00B0F0"/>
  </sheetPr>
  <dimension ref="A1:P316"/>
  <sheetViews>
    <sheetView workbookViewId="0">
      <selection sqref="A1:E1"/>
    </sheetView>
  </sheetViews>
  <sheetFormatPr baseColWidth="10" defaultColWidth="10.75" defaultRowHeight="15" x14ac:dyDescent="0.25"/>
  <cols>
    <col min="1" max="1" width="7.5" style="13" customWidth="1"/>
    <col min="2" max="2" width="20.25" style="13" bestFit="1" customWidth="1"/>
    <col min="3" max="3" width="6.125" style="15" bestFit="1" customWidth="1"/>
    <col min="4" max="4" width="6.5" style="150" bestFit="1" customWidth="1"/>
    <col min="5" max="5" width="8.625" style="150" bestFit="1" customWidth="1"/>
    <col min="6" max="6" width="11.25" style="13" customWidth="1"/>
    <col min="7" max="7" width="10.625" style="13" customWidth="1"/>
    <col min="8" max="8" width="10.75" style="13" customWidth="1"/>
    <col min="9" max="9" width="12" style="13" customWidth="1"/>
    <col min="10" max="10" width="12.125" style="13" customWidth="1"/>
    <col min="11" max="11" width="11.875" style="13" customWidth="1"/>
    <col min="12" max="12" width="11.25" style="13" bestFit="1" customWidth="1"/>
    <col min="13" max="13" width="8.625" style="13" bestFit="1" customWidth="1"/>
    <col min="14" max="14" width="9.5" style="13" bestFit="1" customWidth="1"/>
    <col min="15" max="15" width="1.375" style="13" customWidth="1"/>
    <col min="16" max="16384" width="10.75" style="13"/>
  </cols>
  <sheetData>
    <row r="1" spans="1:16" s="43" customFormat="1" ht="20.25" customHeight="1" x14ac:dyDescent="0.2">
      <c r="A1" s="534" t="s">
        <v>470</v>
      </c>
      <c r="B1" s="535"/>
      <c r="C1" s="535"/>
      <c r="D1" s="535"/>
      <c r="E1" s="535"/>
      <c r="F1" s="68"/>
      <c r="G1" s="68"/>
      <c r="H1" s="68"/>
      <c r="I1" s="68"/>
      <c r="J1" s="68"/>
      <c r="K1" s="68"/>
      <c r="L1" s="68"/>
      <c r="M1" s="68"/>
      <c r="N1" s="68"/>
    </row>
    <row r="2" spans="1:16" s="43" customFormat="1" ht="20.25" customHeight="1" x14ac:dyDescent="0.2">
      <c r="A2" s="280" t="str">
        <f>Paramètres!B5</f>
        <v>Acomptes 2021</v>
      </c>
      <c r="C2" s="134"/>
      <c r="D2" s="281"/>
      <c r="E2" s="281"/>
      <c r="F2" s="68"/>
      <c r="G2" s="68"/>
      <c r="H2" s="68"/>
      <c r="I2" s="68"/>
      <c r="J2" s="68"/>
      <c r="K2" s="68"/>
      <c r="L2" s="68"/>
      <c r="M2" s="68"/>
      <c r="N2" s="68"/>
    </row>
    <row r="3" spans="1:16" x14ac:dyDescent="0.25">
      <c r="D3" s="13"/>
      <c r="E3" s="13"/>
    </row>
    <row r="4" spans="1:16" ht="53.25" customHeight="1" x14ac:dyDescent="0.25">
      <c r="A4" s="492" t="s">
        <v>46</v>
      </c>
      <c r="B4" s="492" t="s">
        <v>95</v>
      </c>
      <c r="C4" s="514" t="s">
        <v>360</v>
      </c>
      <c r="D4" s="530" t="s">
        <v>361</v>
      </c>
      <c r="E4" s="530" t="s">
        <v>542</v>
      </c>
      <c r="F4" s="492" t="s">
        <v>566</v>
      </c>
      <c r="G4" s="530" t="s">
        <v>144</v>
      </c>
      <c r="H4" s="530" t="s">
        <v>138</v>
      </c>
      <c r="I4" s="530" t="s">
        <v>410</v>
      </c>
      <c r="J4" s="530" t="s">
        <v>210</v>
      </c>
      <c r="K4" s="530" t="s">
        <v>125</v>
      </c>
      <c r="L4" s="532" t="s">
        <v>211</v>
      </c>
      <c r="M4" s="530" t="s">
        <v>488</v>
      </c>
      <c r="N4" s="532" t="s">
        <v>137</v>
      </c>
      <c r="O4" s="529" t="s">
        <v>508</v>
      </c>
    </row>
    <row r="5" spans="1:16" ht="14.25" customHeight="1" x14ac:dyDescent="0.25">
      <c r="A5" s="494"/>
      <c r="B5" s="494"/>
      <c r="C5" s="515"/>
      <c r="D5" s="536"/>
      <c r="E5" s="531"/>
      <c r="F5" s="494"/>
      <c r="G5" s="531"/>
      <c r="H5" s="531"/>
      <c r="I5" s="531"/>
      <c r="J5" s="536"/>
      <c r="K5" s="531"/>
      <c r="L5" s="533"/>
      <c r="M5" s="531"/>
      <c r="N5" s="533"/>
      <c r="O5" s="529"/>
    </row>
    <row r="6" spans="1:16" s="154" customFormat="1" x14ac:dyDescent="0.25">
      <c r="A6" s="308">
        <f>'B) D RI'!A7</f>
        <v>5401</v>
      </c>
      <c r="B6" s="152" t="str">
        <f>'B) D RI'!B7</f>
        <v>Aigle</v>
      </c>
      <c r="C6" s="313">
        <f>'B) D RI'!S7</f>
        <v>67.5</v>
      </c>
      <c r="D6" s="314">
        <f>'B) D RI'!AA7</f>
        <v>10217</v>
      </c>
      <c r="E6" s="311">
        <f>'D) Ecrêtage'!C5</f>
        <v>273757.05287947325</v>
      </c>
      <c r="F6" s="157">
        <f>'E) Part. coh. soc.'!G11</f>
        <v>5326630.4722302398</v>
      </c>
      <c r="G6" s="312">
        <f>'H) Péréquation directe'!I16</f>
        <v>-3437037.605192367</v>
      </c>
      <c r="H6" s="157">
        <f>+'I) Dépenses thématiques'!O5</f>
        <v>-2912391.8899178468</v>
      </c>
      <c r="I6" s="312">
        <f>'K) Plafonnement aide'!J5</f>
        <v>0</v>
      </c>
      <c r="J6" s="157">
        <f>'J) Plafonnement effort'!J5</f>
        <v>0</v>
      </c>
      <c r="K6" s="315">
        <f>'L) Plafonnement taux'!Q6</f>
        <v>0</v>
      </c>
      <c r="L6" s="309">
        <f>F6+G6+H6+I6+J6+K6</f>
        <v>-1022799.022879974</v>
      </c>
      <c r="M6" s="234">
        <f>'M) Police'!O6</f>
        <v>351804.40120708628</v>
      </c>
      <c r="N6" s="233">
        <f>L6+M6</f>
        <v>-670994.6216728877</v>
      </c>
      <c r="P6" s="317"/>
    </row>
    <row r="7" spans="1:16" s="154" customFormat="1" x14ac:dyDescent="0.25">
      <c r="A7" s="151">
        <f>'B) D RI'!A8</f>
        <v>5402</v>
      </c>
      <c r="B7" s="152" t="str">
        <f>'B) D RI'!B8</f>
        <v>Bex</v>
      </c>
      <c r="C7" s="313">
        <f>'B) D RI'!S8</f>
        <v>71</v>
      </c>
      <c r="D7" s="153">
        <f>'B) D RI'!AA8</f>
        <v>7869</v>
      </c>
      <c r="E7" s="311">
        <f>'D) Ecrêtage'!C6</f>
        <v>185201.4300069781</v>
      </c>
      <c r="F7" s="315">
        <f>'E) Part. coh. soc.'!G12</f>
        <v>3474347.8698994806</v>
      </c>
      <c r="G7" s="312">
        <f>'H) Péréquation directe'!I17</f>
        <v>-3443754.0105645312</v>
      </c>
      <c r="H7" s="315">
        <f>+'I) Dépenses thématiques'!O6</f>
        <v>-1880200.8792379298</v>
      </c>
      <c r="I7" s="312">
        <f>'K) Plafonnement aide'!J6</f>
        <v>0</v>
      </c>
      <c r="J7" s="315">
        <f>'J) Plafonnement effort'!J6</f>
        <v>0</v>
      </c>
      <c r="K7" s="315">
        <f>'L) Plafonnement taux'!Q7</f>
        <v>0</v>
      </c>
      <c r="L7" s="310">
        <f t="shared" ref="L7:L60" si="0">F7+G7+H7+I7+J7+K7</f>
        <v>-1849607.0199029804</v>
      </c>
      <c r="M7" s="234">
        <f>'M) Police'!O7</f>
        <v>238001.82497941566</v>
      </c>
      <c r="N7" s="234">
        <f t="shared" ref="N7:N69" si="1">L7+M7</f>
        <v>-1611605.1949235648</v>
      </c>
      <c r="P7" s="317"/>
    </row>
    <row r="8" spans="1:16" s="154" customFormat="1" x14ac:dyDescent="0.25">
      <c r="A8" s="151">
        <f>'B) D RI'!A9</f>
        <v>5403</v>
      </c>
      <c r="B8" s="152" t="str">
        <f>'B) D RI'!B9</f>
        <v>Chessel</v>
      </c>
      <c r="C8" s="313">
        <f>'B) D RI'!S9</f>
        <v>74</v>
      </c>
      <c r="D8" s="153">
        <f>'B) D RI'!AA9</f>
        <v>429</v>
      </c>
      <c r="E8" s="311">
        <f>'D) Ecrêtage'!C7</f>
        <v>10689.780666211695</v>
      </c>
      <c r="F8" s="315">
        <f>'E) Part. coh. soc.'!G13</f>
        <v>213740.41353671282</v>
      </c>
      <c r="G8" s="312">
        <f>'H) Péréquation directe'!I18</f>
        <v>-39405.002065055247</v>
      </c>
      <c r="H8" s="315">
        <f>+'I) Dépenses thématiques'!O7</f>
        <v>-46915.548612624865</v>
      </c>
      <c r="I8" s="312">
        <f>'K) Plafonnement aide'!J7</f>
        <v>0</v>
      </c>
      <c r="J8" s="315">
        <f>'J) Plafonnement effort'!J7</f>
        <v>0</v>
      </c>
      <c r="K8" s="315">
        <f>'L) Plafonnement taux'!Q8</f>
        <v>0</v>
      </c>
      <c r="L8" s="310">
        <f t="shared" si="0"/>
        <v>127419.8628590327</v>
      </c>
      <c r="M8" s="234">
        <f>'M) Police'!O8</f>
        <v>33189.90285309343</v>
      </c>
      <c r="N8" s="234">
        <f t="shared" si="1"/>
        <v>160609.76571212613</v>
      </c>
      <c r="P8" s="317"/>
    </row>
    <row r="9" spans="1:16" s="154" customFormat="1" x14ac:dyDescent="0.25">
      <c r="A9" s="151">
        <f>'B) D RI'!A10</f>
        <v>5404</v>
      </c>
      <c r="B9" s="152" t="str">
        <f>'B) D RI'!B10</f>
        <v>Corbeyrier</v>
      </c>
      <c r="C9" s="313">
        <f>'B) D RI'!S10</f>
        <v>74</v>
      </c>
      <c r="D9" s="153">
        <f>'B) D RI'!AA10</f>
        <v>437</v>
      </c>
      <c r="E9" s="311">
        <f>'D) Ecrêtage'!C8</f>
        <v>14591.74084015964</v>
      </c>
      <c r="F9" s="315">
        <f>'E) Part. coh. soc.'!G14</f>
        <v>319156.49370141374</v>
      </c>
      <c r="G9" s="312">
        <f>'H) Péréquation directe'!I19</f>
        <v>112666.27467417321</v>
      </c>
      <c r="H9" s="315">
        <f>+'I) Dépenses thématiques'!O8</f>
        <v>-135963.43004729477</v>
      </c>
      <c r="I9" s="312">
        <f>'K) Plafonnement aide'!J8</f>
        <v>0</v>
      </c>
      <c r="J9" s="315">
        <f>'J) Plafonnement effort'!J8</f>
        <v>0</v>
      </c>
      <c r="K9" s="315">
        <f>'L) Plafonnement taux'!Q9</f>
        <v>0</v>
      </c>
      <c r="L9" s="310">
        <f t="shared" si="0"/>
        <v>295859.33832829219</v>
      </c>
      <c r="M9" s="234">
        <f>'M) Police'!O9</f>
        <v>45669.713339080961</v>
      </c>
      <c r="N9" s="234">
        <f t="shared" si="1"/>
        <v>341529.05166737316</v>
      </c>
      <c r="P9" s="317"/>
    </row>
    <row r="10" spans="1:16" s="154" customFormat="1" x14ac:dyDescent="0.25">
      <c r="A10" s="151">
        <f>'B) D RI'!A11</f>
        <v>5405</v>
      </c>
      <c r="B10" s="152" t="str">
        <f>'B) D RI'!B11</f>
        <v>Gryon</v>
      </c>
      <c r="C10" s="313">
        <f>'B) D RI'!S11</f>
        <v>75</v>
      </c>
      <c r="D10" s="153">
        <f>'B) D RI'!AA11</f>
        <v>1347</v>
      </c>
      <c r="E10" s="311">
        <f>'D) Ecrêtage'!C9</f>
        <v>65629.125271315643</v>
      </c>
      <c r="F10" s="315">
        <f>'E) Part. coh. soc.'!G15</f>
        <v>1374669.0064115447</v>
      </c>
      <c r="G10" s="312">
        <f>'H) Péréquation directe'!I20</f>
        <v>1041838.8454565515</v>
      </c>
      <c r="H10" s="315">
        <f>+'I) Dépenses thématiques'!O9</f>
        <v>-1015926.9307872978</v>
      </c>
      <c r="I10" s="312">
        <f>'K) Plafonnement aide'!J9</f>
        <v>0</v>
      </c>
      <c r="J10" s="315">
        <f>'J) Plafonnement effort'!J9</f>
        <v>0</v>
      </c>
      <c r="K10" s="315">
        <f>'L) Plafonnement taux'!Q10</f>
        <v>0</v>
      </c>
      <c r="L10" s="310">
        <f t="shared" si="0"/>
        <v>1400580.9210807984</v>
      </c>
      <c r="M10" s="234">
        <f>'M) Police'!O10</f>
        <v>199018.46738474641</v>
      </c>
      <c r="N10" s="234">
        <f t="shared" si="1"/>
        <v>1599599.3884655447</v>
      </c>
      <c r="P10" s="317"/>
    </row>
    <row r="11" spans="1:16" s="154" customFormat="1" x14ac:dyDescent="0.25">
      <c r="A11" s="151">
        <f>'B) D RI'!A12</f>
        <v>5406</v>
      </c>
      <c r="B11" s="152" t="str">
        <f>'B) D RI'!B12</f>
        <v>Lavey-Morcles</v>
      </c>
      <c r="C11" s="313">
        <f>'B) D RI'!S12</f>
        <v>71</v>
      </c>
      <c r="D11" s="153">
        <f>'B) D RI'!AA12</f>
        <v>931</v>
      </c>
      <c r="E11" s="311">
        <f>'D) Ecrêtage'!C10</f>
        <v>24629.026648333398</v>
      </c>
      <c r="F11" s="315">
        <f>'E) Part. coh. soc.'!G16</f>
        <v>399030.05205480469</v>
      </c>
      <c r="G11" s="312">
        <f>'H) Péréquation directe'!I21</f>
        <v>4774.0201943723951</v>
      </c>
      <c r="H11" s="315">
        <f>+'I) Dépenses thématiques'!O10</f>
        <v>-114313.02184328019</v>
      </c>
      <c r="I11" s="312">
        <f>'K) Plafonnement aide'!J10</f>
        <v>0</v>
      </c>
      <c r="J11" s="315">
        <f>'J) Plafonnement effort'!J10</f>
        <v>0</v>
      </c>
      <c r="K11" s="315">
        <f>'L) Plafonnement taux'!Q11</f>
        <v>0</v>
      </c>
      <c r="L11" s="310">
        <f t="shared" si="0"/>
        <v>289491.05040589691</v>
      </c>
      <c r="M11" s="234">
        <f>'M) Police'!O11</f>
        <v>76422.740589622452</v>
      </c>
      <c r="N11" s="234">
        <f t="shared" si="1"/>
        <v>365913.79099551938</v>
      </c>
      <c r="P11" s="317"/>
    </row>
    <row r="12" spans="1:16" s="154" customFormat="1" x14ac:dyDescent="0.25">
      <c r="A12" s="151">
        <f>'B) D RI'!A13</f>
        <v>5407</v>
      </c>
      <c r="B12" s="152" t="str">
        <f>'B) D RI'!B13</f>
        <v>Leysin</v>
      </c>
      <c r="C12" s="313">
        <f>'B) D RI'!S13</f>
        <v>78</v>
      </c>
      <c r="D12" s="153">
        <f>'B) D RI'!AA13</f>
        <v>3776</v>
      </c>
      <c r="E12" s="311">
        <f>'D) Ecrêtage'!C11</f>
        <v>88989.44860843374</v>
      </c>
      <c r="F12" s="315">
        <f>'E) Part. coh. soc.'!G17</f>
        <v>1764014.5050833237</v>
      </c>
      <c r="G12" s="312">
        <f>'H) Péréquation directe'!I22</f>
        <v>-1505413.9080295791</v>
      </c>
      <c r="H12" s="315">
        <f>+'I) Dépenses thématiques'!O11</f>
        <v>-2100839.2287408649</v>
      </c>
      <c r="I12" s="312">
        <f>'K) Plafonnement aide'!J11</f>
        <v>0</v>
      </c>
      <c r="J12" s="315">
        <f>'J) Plafonnement effort'!J11</f>
        <v>0</v>
      </c>
      <c r="K12" s="315">
        <f>'L) Plafonnement taux'!Q12</f>
        <v>0</v>
      </c>
      <c r="L12" s="310">
        <f t="shared" si="0"/>
        <v>-1842238.6316871203</v>
      </c>
      <c r="M12" s="234">
        <f>'M) Police'!O12</f>
        <v>270184.83976957313</v>
      </c>
      <c r="N12" s="234">
        <f t="shared" si="1"/>
        <v>-1572053.7919175471</v>
      </c>
      <c r="P12" s="317"/>
    </row>
    <row r="13" spans="1:16" s="154" customFormat="1" x14ac:dyDescent="0.25">
      <c r="A13" s="151">
        <f>'B) D RI'!A14</f>
        <v>5408</v>
      </c>
      <c r="B13" s="152" t="str">
        <f>'B) D RI'!B14</f>
        <v>Noville</v>
      </c>
      <c r="C13" s="313">
        <f>'B) D RI'!S14</f>
        <v>78.5</v>
      </c>
      <c r="D13" s="153">
        <f>'B) D RI'!AA14</f>
        <v>1167</v>
      </c>
      <c r="E13" s="311">
        <f>'D) Ecrêtage'!C12</f>
        <v>28270.539787685771</v>
      </c>
      <c r="F13" s="315">
        <f>'E) Part. coh. soc.'!G18</f>
        <v>786003.70119977789</v>
      </c>
      <c r="G13" s="312">
        <f>'H) Péréquation directe'!I23</f>
        <v>-247184.7705316036</v>
      </c>
      <c r="H13" s="315">
        <f>+'I) Dépenses thématiques'!O12</f>
        <v>-272722.17522422422</v>
      </c>
      <c r="I13" s="312">
        <f>'K) Plafonnement aide'!J12</f>
        <v>0</v>
      </c>
      <c r="J13" s="315">
        <f>'J) Plafonnement effort'!J12</f>
        <v>0</v>
      </c>
      <c r="K13" s="315">
        <f>'L) Plafonnement taux'!Q13</f>
        <v>0</v>
      </c>
      <c r="L13" s="310">
        <f t="shared" si="0"/>
        <v>266096.75544395007</v>
      </c>
      <c r="M13" s="234">
        <f>'M) Police'!O13</f>
        <v>85396.705031166115</v>
      </c>
      <c r="N13" s="234">
        <f t="shared" si="1"/>
        <v>351493.46047511615</v>
      </c>
      <c r="P13" s="317"/>
    </row>
    <row r="14" spans="1:16" s="154" customFormat="1" x14ac:dyDescent="0.25">
      <c r="A14" s="151">
        <f>'B) D RI'!A15</f>
        <v>5409</v>
      </c>
      <c r="B14" s="152" t="str">
        <f>'B) D RI'!B15</f>
        <v>Ollon</v>
      </c>
      <c r="C14" s="313">
        <f>'B) D RI'!S15</f>
        <v>68</v>
      </c>
      <c r="D14" s="153">
        <f>'B) D RI'!AA15</f>
        <v>7560</v>
      </c>
      <c r="E14" s="311">
        <f>'D) Ecrêtage'!C13</f>
        <v>398078.90791518224</v>
      </c>
      <c r="F14" s="315">
        <f>'E) Part. coh. soc.'!G19</f>
        <v>8353743.5387676517</v>
      </c>
      <c r="G14" s="312">
        <f>'H) Péréquation directe'!I24</f>
        <v>4443835.9395113159</v>
      </c>
      <c r="H14" s="315">
        <f>+'I) Dépenses thématiques'!O13</f>
        <v>-2307618.1650837595</v>
      </c>
      <c r="I14" s="312">
        <f>'K) Plafonnement aide'!J13</f>
        <v>0</v>
      </c>
      <c r="J14" s="315">
        <f>'J) Plafonnement effort'!J13</f>
        <v>0</v>
      </c>
      <c r="K14" s="315">
        <f>'L) Plafonnement taux'!Q14</f>
        <v>0</v>
      </c>
      <c r="L14" s="310">
        <f t="shared" si="0"/>
        <v>10489961.31319521</v>
      </c>
      <c r="M14" s="234">
        <f>'M) Police'!O14</f>
        <v>511570.05950794404</v>
      </c>
      <c r="N14" s="234">
        <f t="shared" si="1"/>
        <v>11001531.372703154</v>
      </c>
      <c r="P14" s="317"/>
    </row>
    <row r="15" spans="1:16" s="154" customFormat="1" x14ac:dyDescent="0.25">
      <c r="A15" s="151">
        <f>'B) D RI'!A16</f>
        <v>5410</v>
      </c>
      <c r="B15" s="152" t="str">
        <f>'B) D RI'!B16</f>
        <v>Ormont-Dessous</v>
      </c>
      <c r="C15" s="313">
        <f>'B) D RI'!S16</f>
        <v>78.5</v>
      </c>
      <c r="D15" s="153">
        <f>'B) D RI'!AA16</f>
        <v>1141</v>
      </c>
      <c r="E15" s="311">
        <f>'D) Ecrêtage'!C14</f>
        <v>38209.218513800428</v>
      </c>
      <c r="F15" s="315">
        <f>'E) Part. coh. soc.'!G20</f>
        <v>770520.60222280037</v>
      </c>
      <c r="G15" s="312">
        <f>'H) Péréquation directe'!I25</f>
        <v>228156.83154768066</v>
      </c>
      <c r="H15" s="315">
        <f>+'I) Dépenses thématiques'!O14</f>
        <v>-966355.72296854854</v>
      </c>
      <c r="I15" s="312">
        <f>'K) Plafonnement aide'!J14</f>
        <v>0</v>
      </c>
      <c r="J15" s="315">
        <f>'J) Plafonnement effort'!J14</f>
        <v>0</v>
      </c>
      <c r="K15" s="315">
        <f>'L) Plafonnement taux'!Q15</f>
        <v>0</v>
      </c>
      <c r="L15" s="310">
        <f t="shared" si="0"/>
        <v>32321.710801932495</v>
      </c>
      <c r="M15" s="234">
        <f>'M) Police'!O15</f>
        <v>115467.15960774705</v>
      </c>
      <c r="N15" s="234">
        <f t="shared" si="1"/>
        <v>147788.87040967954</v>
      </c>
      <c r="P15" s="317"/>
    </row>
    <row r="16" spans="1:16" s="154" customFormat="1" x14ac:dyDescent="0.25">
      <c r="A16" s="151">
        <f>'B) D RI'!A17</f>
        <v>5411</v>
      </c>
      <c r="B16" s="152" t="str">
        <f>'B) D RI'!B17</f>
        <v>Ormont-Dessus</v>
      </c>
      <c r="C16" s="313">
        <f>'B) D RI'!S17</f>
        <v>76</v>
      </c>
      <c r="D16" s="153">
        <f>'B) D RI'!AA17</f>
        <v>1434</v>
      </c>
      <c r="E16" s="311">
        <f>'D) Ecrêtage'!C15</f>
        <v>73074.251809839989</v>
      </c>
      <c r="F16" s="315">
        <f>'E) Part. coh. soc.'!G21</f>
        <v>1584836.4708388534</v>
      </c>
      <c r="G16" s="312">
        <f>'H) Péréquation directe'!I26</f>
        <v>1157522.9089461835</v>
      </c>
      <c r="H16" s="315">
        <f>+'I) Dépenses thématiques'!O15</f>
        <v>-903932.95256986679</v>
      </c>
      <c r="I16" s="312">
        <f>'K) Plafonnement aide'!J15</f>
        <v>0</v>
      </c>
      <c r="J16" s="315">
        <f>'J) Plafonnement effort'!J15</f>
        <v>0</v>
      </c>
      <c r="K16" s="315">
        <f>'L) Plafonnement taux'!Q16</f>
        <v>0</v>
      </c>
      <c r="L16" s="310">
        <f t="shared" si="0"/>
        <v>1838426.4272151699</v>
      </c>
      <c r="M16" s="234">
        <f>'M) Police'!O16</f>
        <v>215993.04078108049</v>
      </c>
      <c r="N16" s="234">
        <f t="shared" si="1"/>
        <v>2054419.4679962504</v>
      </c>
      <c r="P16" s="317"/>
    </row>
    <row r="17" spans="1:16" s="154" customFormat="1" x14ac:dyDescent="0.25">
      <c r="A17" s="151">
        <f>'B) D RI'!A18</f>
        <v>5412</v>
      </c>
      <c r="B17" s="152" t="str">
        <f>'B) D RI'!B18</f>
        <v>Rennaz</v>
      </c>
      <c r="C17" s="313">
        <f>'B) D RI'!S18</f>
        <v>67.5</v>
      </c>
      <c r="D17" s="153">
        <f>'B) D RI'!AA18</f>
        <v>871</v>
      </c>
      <c r="E17" s="311">
        <f>'D) Ecrêtage'!C16</f>
        <v>23813.904160849284</v>
      </c>
      <c r="F17" s="315">
        <f>'E) Part. coh. soc.'!G22</f>
        <v>424071.12577247736</v>
      </c>
      <c r="G17" s="312">
        <f>'H) Péréquation directe'!I27</f>
        <v>66112.914681845927</v>
      </c>
      <c r="H17" s="315">
        <f>+'I) Dépenses thématiques'!O16</f>
        <v>-88109.256216736772</v>
      </c>
      <c r="I17" s="312">
        <f>'K) Plafonnement aide'!J16</f>
        <v>0</v>
      </c>
      <c r="J17" s="315">
        <f>'J) Plafonnement effort'!J16</f>
        <v>0</v>
      </c>
      <c r="K17" s="315">
        <f>'L) Plafonnement taux'!Q17</f>
        <v>0</v>
      </c>
      <c r="L17" s="310">
        <f t="shared" si="0"/>
        <v>402074.78423758654</v>
      </c>
      <c r="M17" s="234">
        <f>'M) Police'!O17</f>
        <v>74367.844355610694</v>
      </c>
      <c r="N17" s="234">
        <f t="shared" si="1"/>
        <v>476442.62859319721</v>
      </c>
      <c r="P17" s="317"/>
    </row>
    <row r="18" spans="1:16" s="154" customFormat="1" x14ac:dyDescent="0.25">
      <c r="A18" s="151">
        <f>'B) D RI'!A19</f>
        <v>5413</v>
      </c>
      <c r="B18" s="152" t="str">
        <f>'B) D RI'!B19</f>
        <v>Roche</v>
      </c>
      <c r="C18" s="313">
        <f>'B) D RI'!S19</f>
        <v>68</v>
      </c>
      <c r="D18" s="153">
        <f>'B) D RI'!AA19</f>
        <v>1826</v>
      </c>
      <c r="E18" s="311">
        <f>'D) Ecrêtage'!C17</f>
        <v>44639.413526237746</v>
      </c>
      <c r="F18" s="315">
        <f>'E) Part. coh. soc.'!G23</f>
        <v>954974.9824599101</v>
      </c>
      <c r="G18" s="312">
        <f>'H) Péréquation directe'!I28</f>
        <v>-257630.58414529555</v>
      </c>
      <c r="H18" s="315">
        <f>+'I) Dépenses thématiques'!O17</f>
        <v>0</v>
      </c>
      <c r="I18" s="312">
        <f>'K) Plafonnement aide'!J17</f>
        <v>0</v>
      </c>
      <c r="J18" s="315">
        <f>'J) Plafonnement effort'!J17</f>
        <v>0</v>
      </c>
      <c r="K18" s="315">
        <f>'L) Plafonnement taux'!Q18</f>
        <v>0</v>
      </c>
      <c r="L18" s="310">
        <f t="shared" si="0"/>
        <v>697344.39831461455</v>
      </c>
      <c r="M18" s="234">
        <f>'M) Police'!O18</f>
        <v>138607.57392300741</v>
      </c>
      <c r="N18" s="234">
        <f t="shared" si="1"/>
        <v>835951.9722376219</v>
      </c>
      <c r="P18" s="317"/>
    </row>
    <row r="19" spans="1:16" s="154" customFormat="1" x14ac:dyDescent="0.25">
      <c r="A19" s="151">
        <f>'B) D RI'!A20</f>
        <v>5414</v>
      </c>
      <c r="B19" s="152" t="str">
        <f>'B) D RI'!B20</f>
        <v>Villeneuve</v>
      </c>
      <c r="C19" s="313">
        <f>'B) D RI'!S20</f>
        <v>69</v>
      </c>
      <c r="D19" s="153">
        <f>'B) D RI'!AA20</f>
        <v>5772</v>
      </c>
      <c r="E19" s="311">
        <f>'D) Ecrêtage'!C18</f>
        <v>166033.59034311198</v>
      </c>
      <c r="F19" s="315">
        <f>'E) Part. coh. soc.'!G24</f>
        <v>3875067.3177019847</v>
      </c>
      <c r="G19" s="312">
        <f>'H) Péréquation directe'!I29</f>
        <v>-907418.70826363051</v>
      </c>
      <c r="H19" s="315">
        <f>+'I) Dépenses thématiques'!O18</f>
        <v>-1861013.6538512111</v>
      </c>
      <c r="I19" s="312">
        <f>'K) Plafonnement aide'!J18</f>
        <v>0</v>
      </c>
      <c r="J19" s="315">
        <f>'J) Plafonnement effort'!J18</f>
        <v>0</v>
      </c>
      <c r="K19" s="315">
        <f>'L) Plafonnement taux'!Q19</f>
        <v>0</v>
      </c>
      <c r="L19" s="310">
        <f t="shared" si="0"/>
        <v>1106634.9555871431</v>
      </c>
      <c r="M19" s="234">
        <f>'M) Police'!O19</f>
        <v>506832.86135327502</v>
      </c>
      <c r="N19" s="234">
        <f t="shared" si="1"/>
        <v>1613467.816940418</v>
      </c>
      <c r="P19" s="317"/>
    </row>
    <row r="20" spans="1:16" s="154" customFormat="1" x14ac:dyDescent="0.25">
      <c r="A20" s="151">
        <f>'B) D RI'!A21</f>
        <v>5415</v>
      </c>
      <c r="B20" s="152" t="str">
        <f>'B) D RI'!B21</f>
        <v>Yvorne</v>
      </c>
      <c r="C20" s="313">
        <f>'B) D RI'!S21</f>
        <v>71.5</v>
      </c>
      <c r="D20" s="153">
        <f>'B) D RI'!AA21</f>
        <v>1071</v>
      </c>
      <c r="E20" s="311">
        <f>'D) Ecrêtage'!C19</f>
        <v>39123.170780997614</v>
      </c>
      <c r="F20" s="315">
        <f>'E) Part. coh. soc.'!G25</f>
        <v>787734.74044719944</v>
      </c>
      <c r="G20" s="312">
        <f>'H) Péréquation directe'!I30</f>
        <v>413372.64628059487</v>
      </c>
      <c r="H20" s="315">
        <f>+'I) Dépenses thématiques'!O19</f>
        <v>-174004.78855078347</v>
      </c>
      <c r="I20" s="312">
        <f>'K) Plafonnement aide'!J19</f>
        <v>0</v>
      </c>
      <c r="J20" s="315">
        <f>'J) Plafonnement effort'!J19</f>
        <v>0</v>
      </c>
      <c r="K20" s="315">
        <f>'L) Plafonnement taux'!Q20</f>
        <v>0</v>
      </c>
      <c r="L20" s="310">
        <f t="shared" si="0"/>
        <v>1027102.5981770109</v>
      </c>
      <c r="M20" s="234">
        <f>'M) Police'!O20</f>
        <v>122133.08059869689</v>
      </c>
      <c r="N20" s="234">
        <f t="shared" si="1"/>
        <v>1149235.6787757077</v>
      </c>
      <c r="P20" s="317"/>
    </row>
    <row r="21" spans="1:16" s="154" customFormat="1" x14ac:dyDescent="0.25">
      <c r="A21" s="151">
        <f>'B) D RI'!A22</f>
        <v>5421</v>
      </c>
      <c r="B21" s="152" t="str">
        <f>'B) D RI'!B22</f>
        <v>Apples</v>
      </c>
      <c r="C21" s="313">
        <f>'B) D RI'!S22</f>
        <v>76</v>
      </c>
      <c r="D21" s="153">
        <f>'B) D RI'!AA22</f>
        <v>1460</v>
      </c>
      <c r="E21" s="311">
        <f>'D) Ecrêtage'!C20</f>
        <v>70492.513251958138</v>
      </c>
      <c r="F21" s="315">
        <f>'E) Part. coh. soc.'!G26</f>
        <v>1327863.5934451807</v>
      </c>
      <c r="G21" s="312">
        <f>'H) Péréquation directe'!I31</f>
        <v>1097649.2673202921</v>
      </c>
      <c r="H21" s="315">
        <f>+'I) Dépenses thématiques'!O20</f>
        <v>-247220.60795013927</v>
      </c>
      <c r="I21" s="312">
        <f>'K) Plafonnement aide'!J20</f>
        <v>0</v>
      </c>
      <c r="J21" s="315">
        <f>'J) Plafonnement effort'!J20</f>
        <v>0</v>
      </c>
      <c r="K21" s="315">
        <f>'L) Plafonnement taux'!Q21</f>
        <v>0</v>
      </c>
      <c r="L21" s="310">
        <f t="shared" si="0"/>
        <v>2178292.2528153337</v>
      </c>
      <c r="M21" s="234">
        <f>'M) Police'!O21</f>
        <v>214888.80116046482</v>
      </c>
      <c r="N21" s="234">
        <f t="shared" si="1"/>
        <v>2393181.0539757987</v>
      </c>
      <c r="P21" s="317"/>
    </row>
    <row r="22" spans="1:16" s="154" customFormat="1" x14ac:dyDescent="0.25">
      <c r="A22" s="151">
        <f>'B) D RI'!A23</f>
        <v>5422</v>
      </c>
      <c r="B22" s="152" t="str">
        <f>'B) D RI'!B23</f>
        <v>Aubonne</v>
      </c>
      <c r="C22" s="313">
        <f>'B) D RI'!S23</f>
        <v>70.52</v>
      </c>
      <c r="D22" s="153">
        <f>'B) D RI'!AA23</f>
        <v>3817</v>
      </c>
      <c r="E22" s="311">
        <f>'D) Ecrêtage'!C21</f>
        <v>245436.88330377048</v>
      </c>
      <c r="F22" s="315">
        <f>'E) Part. coh. soc.'!G27</f>
        <v>5721120.1061410662</v>
      </c>
      <c r="G22" s="312">
        <f>'H) Péréquation directe'!I32</f>
        <v>3582816.7193260258</v>
      </c>
      <c r="H22" s="315">
        <f>+'I) Dépenses thématiques'!O21</f>
        <v>0</v>
      </c>
      <c r="I22" s="312">
        <f>'K) Plafonnement aide'!J21</f>
        <v>0</v>
      </c>
      <c r="J22" s="315">
        <f>'J) Plafonnement effort'!J21</f>
        <v>0</v>
      </c>
      <c r="K22" s="315">
        <f>'L) Plafonnement taux'!Q22</f>
        <v>0</v>
      </c>
      <c r="L22" s="310">
        <f t="shared" si="0"/>
        <v>9303936.8254670911</v>
      </c>
      <c r="M22" s="234">
        <f>'M) Police'!O22</f>
        <v>640375.69154272124</v>
      </c>
      <c r="N22" s="234">
        <f t="shared" si="1"/>
        <v>9944312.5170098115</v>
      </c>
      <c r="P22" s="317"/>
    </row>
    <row r="23" spans="1:16" s="154" customFormat="1" x14ac:dyDescent="0.25">
      <c r="A23" s="151">
        <f>'B) D RI'!A24</f>
        <v>5423</v>
      </c>
      <c r="B23" s="152" t="str">
        <f>'B) D RI'!B24</f>
        <v>Ballens</v>
      </c>
      <c r="C23" s="313">
        <f>'B) D RI'!S24</f>
        <v>73</v>
      </c>
      <c r="D23" s="153">
        <f>'B) D RI'!AA24</f>
        <v>545</v>
      </c>
      <c r="E23" s="311">
        <f>'D) Ecrêtage'!C22</f>
        <v>16319.771402685055</v>
      </c>
      <c r="F23" s="315">
        <f>'E) Part. coh. soc.'!G28</f>
        <v>300279.04766338418</v>
      </c>
      <c r="G23" s="312">
        <f>'H) Péréquation directe'!I33</f>
        <v>68077.958473049977</v>
      </c>
      <c r="H23" s="315">
        <f>+'I) Dépenses thématiques'!O22</f>
        <v>-77976.224000073096</v>
      </c>
      <c r="I23" s="312">
        <f>'K) Plafonnement aide'!J22</f>
        <v>0</v>
      </c>
      <c r="J23" s="315">
        <f>'J) Plafonnement effort'!J22</f>
        <v>0</v>
      </c>
      <c r="K23" s="315">
        <f>'L) Plafonnement taux'!Q23</f>
        <v>0</v>
      </c>
      <c r="L23" s="310">
        <f t="shared" si="0"/>
        <v>290380.78213636106</v>
      </c>
      <c r="M23" s="234">
        <f>'M) Police'!O23</f>
        <v>51334.956009771384</v>
      </c>
      <c r="N23" s="234">
        <f t="shared" si="1"/>
        <v>341715.73814613244</v>
      </c>
      <c r="P23" s="317"/>
    </row>
    <row r="24" spans="1:16" s="154" customFormat="1" x14ac:dyDescent="0.25">
      <c r="A24" s="151">
        <f>'B) D RI'!A25</f>
        <v>5424</v>
      </c>
      <c r="B24" s="152" t="str">
        <f>'B) D RI'!B25</f>
        <v>Berolle</v>
      </c>
      <c r="C24" s="313">
        <f>'B) D RI'!S25</f>
        <v>77</v>
      </c>
      <c r="D24" s="153">
        <f>'B) D RI'!AA25</f>
        <v>300</v>
      </c>
      <c r="E24" s="311">
        <f>'D) Ecrêtage'!C23</f>
        <v>9278.5718181818156</v>
      </c>
      <c r="F24" s="315">
        <f>'E) Part. coh. soc.'!G29</f>
        <v>147519.81566918339</v>
      </c>
      <c r="G24" s="312">
        <f>'H) Péréquation directe'!I34</f>
        <v>38774.407092578738</v>
      </c>
      <c r="H24" s="315">
        <f>+'I) Dépenses thématiques'!O23</f>
        <v>-39295.543691502862</v>
      </c>
      <c r="I24" s="312">
        <f>'K) Plafonnement aide'!J23</f>
        <v>0</v>
      </c>
      <c r="J24" s="315">
        <f>'J) Plafonnement effort'!J23</f>
        <v>0</v>
      </c>
      <c r="K24" s="315">
        <f>'L) Plafonnement taux'!Q24</f>
        <v>0</v>
      </c>
      <c r="L24" s="310">
        <f t="shared" si="0"/>
        <v>146998.67907025927</v>
      </c>
      <c r="M24" s="234">
        <f>'M) Police'!O24</f>
        <v>29158.64595420262</v>
      </c>
      <c r="N24" s="234">
        <f t="shared" si="1"/>
        <v>176157.3250244619</v>
      </c>
      <c r="P24" s="317"/>
    </row>
    <row r="25" spans="1:16" s="154" customFormat="1" x14ac:dyDescent="0.25">
      <c r="A25" s="151">
        <f>'B) D RI'!A26</f>
        <v>5425</v>
      </c>
      <c r="B25" s="152" t="str">
        <f>'B) D RI'!B26</f>
        <v>Bière</v>
      </c>
      <c r="C25" s="313">
        <f>'B) D RI'!S26</f>
        <v>70</v>
      </c>
      <c r="D25" s="153">
        <f>'B) D RI'!AA26</f>
        <v>1596</v>
      </c>
      <c r="E25" s="311">
        <f>'D) Ecrêtage'!C24</f>
        <v>39360.03487040029</v>
      </c>
      <c r="F25" s="315">
        <f>'E) Part. coh. soc.'!G30</f>
        <v>773741.0853781614</v>
      </c>
      <c r="G25" s="312">
        <f>'H) Péréquation directe'!I35</f>
        <v>-220795.58351050341</v>
      </c>
      <c r="H25" s="315">
        <f>+'I) Dépenses thématiques'!O24</f>
        <v>-563507.20200069516</v>
      </c>
      <c r="I25" s="312">
        <f>'K) Plafonnement aide'!J24</f>
        <v>0</v>
      </c>
      <c r="J25" s="315">
        <f>'J) Plafonnement effort'!J24</f>
        <v>0</v>
      </c>
      <c r="K25" s="315">
        <f>'L) Plafonnement taux'!Q25</f>
        <v>0</v>
      </c>
      <c r="L25" s="310">
        <f t="shared" si="0"/>
        <v>-10561.700133037171</v>
      </c>
      <c r="M25" s="234">
        <f>'M) Police'!O25</f>
        <v>123135.35970013327</v>
      </c>
      <c r="N25" s="234">
        <f t="shared" si="1"/>
        <v>112573.6595670961</v>
      </c>
      <c r="P25" s="317"/>
    </row>
    <row r="26" spans="1:16" s="154" customFormat="1" x14ac:dyDescent="0.25">
      <c r="A26" s="151">
        <f>'B) D RI'!A27</f>
        <v>5426</v>
      </c>
      <c r="B26" s="152" t="str">
        <f>'B) D RI'!B27</f>
        <v>Bougy-Villars</v>
      </c>
      <c r="C26" s="313">
        <f>'B) D RI'!S27</f>
        <v>66</v>
      </c>
      <c r="D26" s="153">
        <f>'B) D RI'!AA27</f>
        <v>475</v>
      </c>
      <c r="E26" s="311">
        <f>'D) Ecrêtage'!C25</f>
        <v>51974.123620521015</v>
      </c>
      <c r="F26" s="315">
        <f>'E) Part. coh. soc.'!G31</f>
        <v>1703712.3438071124</v>
      </c>
      <c r="G26" s="312">
        <f>'H) Péréquation directe'!I36</f>
        <v>961551.51525782247</v>
      </c>
      <c r="H26" s="315">
        <f>+'I) Dépenses thématiques'!O25</f>
        <v>0</v>
      </c>
      <c r="I26" s="312">
        <f>'K) Plafonnement aide'!J25</f>
        <v>0</v>
      </c>
      <c r="J26" s="315">
        <f>'J) Plafonnement effort'!J25</f>
        <v>-12636.93027992602</v>
      </c>
      <c r="K26" s="315">
        <f>'L) Plafonnement taux'!Q26</f>
        <v>0</v>
      </c>
      <c r="L26" s="310">
        <f t="shared" si="0"/>
        <v>2652626.9287850088</v>
      </c>
      <c r="M26" s="234">
        <f>'M) Police'!O26</f>
        <v>107231.56436348334</v>
      </c>
      <c r="N26" s="234">
        <f t="shared" si="1"/>
        <v>2759858.4931484922</v>
      </c>
      <c r="P26" s="317"/>
    </row>
    <row r="27" spans="1:16" s="154" customFormat="1" x14ac:dyDescent="0.25">
      <c r="A27" s="151">
        <f>'B) D RI'!A28</f>
        <v>5427</v>
      </c>
      <c r="B27" s="152" t="str">
        <f>'B) D RI'!B28</f>
        <v>Féchy</v>
      </c>
      <c r="C27" s="313">
        <f>'B) D RI'!S28</f>
        <v>64</v>
      </c>
      <c r="D27" s="153">
        <f>'B) D RI'!AA28</f>
        <v>861</v>
      </c>
      <c r="E27" s="311">
        <f>'D) Ecrêtage'!C26</f>
        <v>86694.092344793113</v>
      </c>
      <c r="F27" s="315">
        <f>'E) Part. coh. soc.'!G32</f>
        <v>2639022.5475235153</v>
      </c>
      <c r="G27" s="312">
        <f>'H) Péréquation directe'!I37</f>
        <v>1595261.8731332677</v>
      </c>
      <c r="H27" s="315">
        <f>+'I) Dépenses thématiques'!O26</f>
        <v>0</v>
      </c>
      <c r="I27" s="312">
        <f>'K) Plafonnement aide'!J26</f>
        <v>0</v>
      </c>
      <c r="J27" s="315">
        <f>'J) Plafonnement effort'!J26</f>
        <v>0</v>
      </c>
      <c r="K27" s="315">
        <f>'L) Plafonnement taux'!Q27</f>
        <v>0</v>
      </c>
      <c r="L27" s="310">
        <f t="shared" si="0"/>
        <v>4234284.4206567835</v>
      </c>
      <c r="M27" s="234">
        <f>'M) Police'!O27</f>
        <v>184712.72849761209</v>
      </c>
      <c r="N27" s="234">
        <f t="shared" si="1"/>
        <v>4418997.1491543958</v>
      </c>
      <c r="P27" s="317"/>
    </row>
    <row r="28" spans="1:16" s="154" customFormat="1" x14ac:dyDescent="0.25">
      <c r="A28" s="151">
        <f>'B) D RI'!A29</f>
        <v>5428</v>
      </c>
      <c r="B28" s="152" t="str">
        <f>'B) D RI'!B29</f>
        <v>Gimel</v>
      </c>
      <c r="C28" s="313">
        <f>'B) D RI'!S29</f>
        <v>74.5</v>
      </c>
      <c r="D28" s="153">
        <f>'B) D RI'!AA29</f>
        <v>2238</v>
      </c>
      <c r="E28" s="311">
        <f>'D) Ecrêtage'!C27</f>
        <v>66248.425772179224</v>
      </c>
      <c r="F28" s="315">
        <f>'E) Part. coh. soc.'!G33</f>
        <v>1264913.4936187777</v>
      </c>
      <c r="G28" s="312">
        <f>'H) Péréquation directe'!I38</f>
        <v>-63681.769808975747</v>
      </c>
      <c r="H28" s="315">
        <f>+'I) Dépenses thématiques'!O27</f>
        <v>-253931.93490023864</v>
      </c>
      <c r="I28" s="312">
        <f>'K) Plafonnement aide'!J27</f>
        <v>0</v>
      </c>
      <c r="J28" s="315">
        <f>'J) Plafonnement effort'!J27</f>
        <v>0</v>
      </c>
      <c r="K28" s="315">
        <f>'L) Plafonnement taux'!Q28</f>
        <v>0</v>
      </c>
      <c r="L28" s="310">
        <f t="shared" si="0"/>
        <v>947299.78890956333</v>
      </c>
      <c r="M28" s="234">
        <f>'M) Police'!O28</f>
        <v>207474.68676944129</v>
      </c>
      <c r="N28" s="234">
        <f t="shared" si="1"/>
        <v>1154774.4756790046</v>
      </c>
      <c r="P28" s="317"/>
    </row>
    <row r="29" spans="1:16" s="154" customFormat="1" x14ac:dyDescent="0.25">
      <c r="A29" s="151">
        <f>'B) D RI'!A30</f>
        <v>5429</v>
      </c>
      <c r="B29" s="152" t="str">
        <f>'B) D RI'!B30</f>
        <v>Longirod</v>
      </c>
      <c r="C29" s="313">
        <f>'B) D RI'!S30</f>
        <v>81</v>
      </c>
      <c r="D29" s="153">
        <f>'B) D RI'!AA30</f>
        <v>482</v>
      </c>
      <c r="E29" s="311">
        <f>'D) Ecrêtage'!C28</f>
        <v>15299.789438077625</v>
      </c>
      <c r="F29" s="315">
        <f>'E) Part. coh. soc.'!G34</f>
        <v>273062.91152824025</v>
      </c>
      <c r="G29" s="312">
        <f>'H) Péréquation directe'!I39</f>
        <v>62036.559655123157</v>
      </c>
      <c r="H29" s="315">
        <f>+'I) Dépenses thématiques'!O28</f>
        <v>-70308.676380243385</v>
      </c>
      <c r="I29" s="312">
        <f>'K) Plafonnement aide'!J28</f>
        <v>0</v>
      </c>
      <c r="J29" s="315">
        <f>'J) Plafonnement effort'!J28</f>
        <v>0</v>
      </c>
      <c r="K29" s="315">
        <f>'L) Plafonnement taux'!Q29</f>
        <v>0</v>
      </c>
      <c r="L29" s="310">
        <f t="shared" si="0"/>
        <v>264790.79480312002</v>
      </c>
      <c r="M29" s="234">
        <f>'M) Police'!O29</f>
        <v>47785.106619636863</v>
      </c>
      <c r="N29" s="234">
        <f t="shared" si="1"/>
        <v>312575.9014227569</v>
      </c>
      <c r="P29" s="317"/>
    </row>
    <row r="30" spans="1:16" s="154" customFormat="1" x14ac:dyDescent="0.25">
      <c r="A30" s="151">
        <f>'B) D RI'!A31</f>
        <v>5430</v>
      </c>
      <c r="B30" s="152" t="str">
        <f>'B) D RI'!B31</f>
        <v>Marchissy</v>
      </c>
      <c r="C30" s="313">
        <f>'B) D RI'!S31</f>
        <v>79</v>
      </c>
      <c r="D30" s="153">
        <f>'B) D RI'!AA31</f>
        <v>472</v>
      </c>
      <c r="E30" s="311">
        <f>'D) Ecrêtage'!C29</f>
        <v>14892.112085590652</v>
      </c>
      <c r="F30" s="315">
        <f>'E) Part. coh. soc.'!G35</f>
        <v>258214.27559764753</v>
      </c>
      <c r="G30" s="312">
        <f>'H) Péréquation directe'!I40</f>
        <v>65255.110516624787</v>
      </c>
      <c r="H30" s="315">
        <f>+'I) Dépenses thématiques'!O29</f>
        <v>-69409.5943053667</v>
      </c>
      <c r="I30" s="312">
        <f>'K) Plafonnement aide'!J29</f>
        <v>0</v>
      </c>
      <c r="J30" s="315">
        <f>'J) Plafonnement effort'!J29</f>
        <v>0</v>
      </c>
      <c r="K30" s="315">
        <f>'L) Plafonnement taux'!Q30</f>
        <v>0</v>
      </c>
      <c r="L30" s="310">
        <f t="shared" si="0"/>
        <v>254059.7918089056</v>
      </c>
      <c r="M30" s="234">
        <f>'M) Police'!O30</f>
        <v>46711.490272168725</v>
      </c>
      <c r="N30" s="234">
        <f t="shared" si="1"/>
        <v>300771.28208107431</v>
      </c>
      <c r="P30" s="317"/>
    </row>
    <row r="31" spans="1:16" s="154" customFormat="1" x14ac:dyDescent="0.25">
      <c r="A31" s="151">
        <f>'B) D RI'!A32</f>
        <v>5431</v>
      </c>
      <c r="B31" s="152" t="str">
        <f>'B) D RI'!B32</f>
        <v>Mollens</v>
      </c>
      <c r="C31" s="313">
        <f>'B) D RI'!S32</f>
        <v>74</v>
      </c>
      <c r="D31" s="153">
        <f>'B) D RI'!AA32</f>
        <v>308</v>
      </c>
      <c r="E31" s="311">
        <f>'D) Ecrêtage'!C30</f>
        <v>10626.564516518391</v>
      </c>
      <c r="F31" s="315">
        <f>'E) Part. coh. soc.'!G36</f>
        <v>221192.70855664642</v>
      </c>
      <c r="G31" s="312">
        <f>'H) Péréquation directe'!I41</f>
        <v>93531.369715453679</v>
      </c>
      <c r="H31" s="315">
        <f>+'I) Dépenses thématiques'!O30</f>
        <v>-26487.161206723973</v>
      </c>
      <c r="I31" s="312">
        <f>'K) Plafonnement aide'!J30</f>
        <v>0</v>
      </c>
      <c r="J31" s="315">
        <f>'J) Plafonnement effort'!J30</f>
        <v>0</v>
      </c>
      <c r="K31" s="315">
        <f>'L) Plafonnement taux'!Q31</f>
        <v>0</v>
      </c>
      <c r="L31" s="310">
        <f t="shared" si="0"/>
        <v>288236.91706537612</v>
      </c>
      <c r="M31" s="234">
        <f>'M) Police'!O31</f>
        <v>33507.923553465909</v>
      </c>
      <c r="N31" s="234">
        <f t="shared" si="1"/>
        <v>321744.84061884205</v>
      </c>
      <c r="P31" s="317"/>
    </row>
    <row r="32" spans="1:16" s="154" customFormat="1" x14ac:dyDescent="0.25">
      <c r="A32" s="151">
        <f>'B) D RI'!A33</f>
        <v>5434</v>
      </c>
      <c r="B32" s="152" t="str">
        <f>'B) D RI'!B33</f>
        <v>Saint-George</v>
      </c>
      <c r="C32" s="313">
        <f>'B) D RI'!S33</f>
        <v>71</v>
      </c>
      <c r="D32" s="153">
        <f>'B) D RI'!AA33</f>
        <v>1063</v>
      </c>
      <c r="E32" s="311">
        <f>'D) Ecrêtage'!C31</f>
        <v>39849.055598308893</v>
      </c>
      <c r="F32" s="315">
        <f>'E) Part. coh. soc.'!G37</f>
        <v>726324.67011093104</v>
      </c>
      <c r="G32" s="312">
        <f>'H) Péréquation directe'!I42</f>
        <v>455075.22270169668</v>
      </c>
      <c r="H32" s="315">
        <f>+'I) Dépenses thématiques'!O31</f>
        <v>-59793.171284479205</v>
      </c>
      <c r="I32" s="312">
        <f>'K) Plafonnement aide'!J31</f>
        <v>0</v>
      </c>
      <c r="J32" s="315">
        <f>'J) Plafonnement effort'!J31</f>
        <v>0</v>
      </c>
      <c r="K32" s="315">
        <f>'L) Plafonnement taux'!Q32</f>
        <v>0</v>
      </c>
      <c r="L32" s="310">
        <f t="shared" si="0"/>
        <v>1121606.7215281487</v>
      </c>
      <c r="M32" s="234">
        <f>'M) Police'!O32</f>
        <v>124314.84444803197</v>
      </c>
      <c r="N32" s="234">
        <f t="shared" si="1"/>
        <v>1245921.5659761806</v>
      </c>
      <c r="P32" s="317"/>
    </row>
    <row r="33" spans="1:16" s="154" customFormat="1" x14ac:dyDescent="0.25">
      <c r="A33" s="151">
        <f>'B) D RI'!A34</f>
        <v>5435</v>
      </c>
      <c r="B33" s="152" t="str">
        <f>'B) D RI'!B34</f>
        <v>Saint-Livres</v>
      </c>
      <c r="C33" s="313">
        <f>'B) D RI'!S34</f>
        <v>69</v>
      </c>
      <c r="D33" s="153">
        <f>'B) D RI'!AA34</f>
        <v>691</v>
      </c>
      <c r="E33" s="311">
        <f>'D) Ecrêtage'!C32</f>
        <v>24291.940869565216</v>
      </c>
      <c r="F33" s="315">
        <f>'E) Part. coh. soc.'!G38</f>
        <v>406090.59310247941</v>
      </c>
      <c r="G33" s="312">
        <f>'H) Péréquation directe'!I43</f>
        <v>249615.36181403397</v>
      </c>
      <c r="H33" s="315">
        <f>+'I) Dépenses thématiques'!O32</f>
        <v>-66762.878031894987</v>
      </c>
      <c r="I33" s="312">
        <f>'K) Plafonnement aide'!J32</f>
        <v>0</v>
      </c>
      <c r="J33" s="315">
        <f>'J) Plafonnement effort'!J32</f>
        <v>0</v>
      </c>
      <c r="K33" s="315">
        <f>'L) Plafonnement taux'!Q33</f>
        <v>0</v>
      </c>
      <c r="L33" s="310">
        <f t="shared" si="0"/>
        <v>588943.07688461838</v>
      </c>
      <c r="M33" s="234">
        <f>'M) Police'!O33</f>
        <v>76226.877829691875</v>
      </c>
      <c r="N33" s="234">
        <f t="shared" si="1"/>
        <v>665169.95471431024</v>
      </c>
      <c r="P33" s="317"/>
    </row>
    <row r="34" spans="1:16" s="154" customFormat="1" x14ac:dyDescent="0.25">
      <c r="A34" s="151">
        <f>'B) D RI'!A35</f>
        <v>5436</v>
      </c>
      <c r="B34" s="152" t="str">
        <f>'B) D RI'!B35</f>
        <v>Saint-Oyens</v>
      </c>
      <c r="C34" s="313">
        <f>'B) D RI'!S35</f>
        <v>81</v>
      </c>
      <c r="D34" s="153">
        <f>'B) D RI'!AA35</f>
        <v>447</v>
      </c>
      <c r="E34" s="311">
        <f>'D) Ecrêtage'!C33</f>
        <v>16655.571776721274</v>
      </c>
      <c r="F34" s="315">
        <f>'E) Part. coh. soc.'!G39</f>
        <v>279511.38257089938</v>
      </c>
      <c r="G34" s="312">
        <f>'H) Péréquation directe'!I44</f>
        <v>169901.98487720499</v>
      </c>
      <c r="H34" s="315">
        <f>+'I) Dépenses thématiques'!O33</f>
        <v>0</v>
      </c>
      <c r="I34" s="312">
        <f>'K) Plafonnement aide'!J33</f>
        <v>0</v>
      </c>
      <c r="J34" s="315">
        <f>'J) Plafonnement effort'!J33</f>
        <v>0</v>
      </c>
      <c r="K34" s="315">
        <f>'L) Plafonnement taux'!Q34</f>
        <v>0</v>
      </c>
      <c r="L34" s="310">
        <f t="shared" si="0"/>
        <v>449413.36744810437</v>
      </c>
      <c r="M34" s="234">
        <f>'M) Police'!O34</f>
        <v>52721.263527389332</v>
      </c>
      <c r="N34" s="234">
        <f t="shared" si="1"/>
        <v>502134.6309754937</v>
      </c>
      <c r="P34" s="317"/>
    </row>
    <row r="35" spans="1:16" s="154" customFormat="1" x14ac:dyDescent="0.25">
      <c r="A35" s="151">
        <f>'B) D RI'!A36</f>
        <v>5437</v>
      </c>
      <c r="B35" s="152" t="str">
        <f>'B) D RI'!B36</f>
        <v>Saubraz</v>
      </c>
      <c r="C35" s="313">
        <f>'B) D RI'!S36</f>
        <v>80</v>
      </c>
      <c r="D35" s="153">
        <f>'B) D RI'!AA36</f>
        <v>423</v>
      </c>
      <c r="E35" s="311">
        <f>'D) Ecrêtage'!C34</f>
        <v>13155.457431390041</v>
      </c>
      <c r="F35" s="315">
        <f>'E) Part. coh. soc.'!G40</f>
        <v>224971.32888046349</v>
      </c>
      <c r="G35" s="312">
        <f>'H) Péréquation directe'!I45</f>
        <v>46079.957472893147</v>
      </c>
      <c r="H35" s="315">
        <f>+'I) Dépenses thématiques'!O34</f>
        <v>-16176.189608862469</v>
      </c>
      <c r="I35" s="312">
        <f>'K) Plafonnement aide'!J34</f>
        <v>0</v>
      </c>
      <c r="J35" s="315">
        <f>'J) Plafonnement effort'!J34</f>
        <v>0</v>
      </c>
      <c r="K35" s="315">
        <f>'L) Plafonnement taux'!Q35</f>
        <v>0</v>
      </c>
      <c r="L35" s="310">
        <f t="shared" si="0"/>
        <v>254875.09674449419</v>
      </c>
      <c r="M35" s="234">
        <f>'M) Police'!O35</f>
        <v>41534.6428668511</v>
      </c>
      <c r="N35" s="234">
        <f t="shared" si="1"/>
        <v>296409.73961134529</v>
      </c>
      <c r="P35" s="317"/>
    </row>
    <row r="36" spans="1:16" s="154" customFormat="1" x14ac:dyDescent="0.25">
      <c r="A36" s="151">
        <f>'B) D RI'!A37</f>
        <v>5451</v>
      </c>
      <c r="B36" s="152" t="str">
        <f>'B) D RI'!B37</f>
        <v>Avenches</v>
      </c>
      <c r="C36" s="313">
        <f>'B) D RI'!S37</f>
        <v>68</v>
      </c>
      <c r="D36" s="153">
        <f>'B) D RI'!AA37</f>
        <v>4305</v>
      </c>
      <c r="E36" s="311">
        <f>'D) Ecrêtage'!C35</f>
        <v>131058.88480778445</v>
      </c>
      <c r="F36" s="315">
        <f>'E) Part. coh. soc.'!G41</f>
        <v>2508348.7970377402</v>
      </c>
      <c r="G36" s="312">
        <f>'H) Péréquation directe'!I46</f>
        <v>-132533.99524947675</v>
      </c>
      <c r="H36" s="315">
        <f>+'I) Dépenses thématiques'!O35</f>
        <v>-1324697.7437514344</v>
      </c>
      <c r="I36" s="312">
        <f>'K) Plafonnement aide'!J35</f>
        <v>0</v>
      </c>
      <c r="J36" s="315">
        <f>'J) Plafonnement effort'!J35</f>
        <v>0</v>
      </c>
      <c r="K36" s="315">
        <f>'L) Plafonnement taux'!Q36</f>
        <v>0</v>
      </c>
      <c r="L36" s="310">
        <f t="shared" si="0"/>
        <v>1051117.0580368291</v>
      </c>
      <c r="M36" s="234">
        <f>'M) Police'!O36</f>
        <v>401527.73902720702</v>
      </c>
      <c r="N36" s="234">
        <f t="shared" si="1"/>
        <v>1452644.7970640361</v>
      </c>
      <c r="P36" s="317"/>
    </row>
    <row r="37" spans="1:16" s="154" customFormat="1" x14ac:dyDescent="0.25">
      <c r="A37" s="151">
        <f>'B) D RI'!A38</f>
        <v>5456</v>
      </c>
      <c r="B37" s="152" t="str">
        <f>'B) D RI'!B38</f>
        <v>Cudrefin</v>
      </c>
      <c r="C37" s="313">
        <f>'B) D RI'!S38</f>
        <v>59</v>
      </c>
      <c r="D37" s="153">
        <f>'B) D RI'!AA38</f>
        <v>1735</v>
      </c>
      <c r="E37" s="311">
        <f>'D) Ecrêtage'!C36</f>
        <v>57483.919740251898</v>
      </c>
      <c r="F37" s="315">
        <f>'E) Part. coh. soc.'!G42</f>
        <v>1458955.0672770939</v>
      </c>
      <c r="G37" s="312">
        <f>'H) Péréquation directe'!I47</f>
        <v>438446.49446771527</v>
      </c>
      <c r="H37" s="315">
        <f>+'I) Dépenses thématiques'!O36</f>
        <v>-329794.15327044006</v>
      </c>
      <c r="I37" s="312">
        <f>'K) Plafonnement aide'!J36</f>
        <v>0</v>
      </c>
      <c r="J37" s="315">
        <f>'J) Plafonnement effort'!J36</f>
        <v>0</v>
      </c>
      <c r="K37" s="315">
        <f>'L) Plafonnement taux'!Q37</f>
        <v>0</v>
      </c>
      <c r="L37" s="310">
        <f t="shared" si="0"/>
        <v>1567607.408474369</v>
      </c>
      <c r="M37" s="234">
        <f>'M) Police'!O37</f>
        <v>177925.09272244538</v>
      </c>
      <c r="N37" s="234">
        <f t="shared" si="1"/>
        <v>1745532.5011968142</v>
      </c>
      <c r="P37" s="317"/>
    </row>
    <row r="38" spans="1:16" s="154" customFormat="1" x14ac:dyDescent="0.25">
      <c r="A38" s="151">
        <f>'B) D RI'!A39</f>
        <v>5458</v>
      </c>
      <c r="B38" s="152" t="str">
        <f>'B) D RI'!B39</f>
        <v>Faoug</v>
      </c>
      <c r="C38" s="313">
        <f>'B) D RI'!S39</f>
        <v>66</v>
      </c>
      <c r="D38" s="153">
        <f>'B) D RI'!AA39</f>
        <v>884</v>
      </c>
      <c r="E38" s="311">
        <f>'D) Ecrêtage'!C37</f>
        <v>33103.176846222719</v>
      </c>
      <c r="F38" s="315">
        <f>'E) Part. coh. soc.'!G43</f>
        <v>732222.28728932282</v>
      </c>
      <c r="G38" s="312">
        <f>'H) Péréquation directe'!I48</f>
        <v>409332.52312290925</v>
      </c>
      <c r="H38" s="315">
        <f>+'I) Dépenses thématiques'!O37</f>
        <v>-61892.274862956219</v>
      </c>
      <c r="I38" s="312">
        <f>'K) Plafonnement aide'!J37</f>
        <v>0</v>
      </c>
      <c r="J38" s="315">
        <f>'J) Plafonnement effort'!J37</f>
        <v>0</v>
      </c>
      <c r="K38" s="315">
        <f>'L) Plafonnement taux'!Q38</f>
        <v>0</v>
      </c>
      <c r="L38" s="310">
        <f t="shared" si="0"/>
        <v>1079662.5355492758</v>
      </c>
      <c r="M38" s="234">
        <f>'M) Police'!O38</f>
        <v>103208.27275508306</v>
      </c>
      <c r="N38" s="234">
        <f t="shared" si="1"/>
        <v>1182870.808304359</v>
      </c>
      <c r="P38" s="317"/>
    </row>
    <row r="39" spans="1:16" s="154" customFormat="1" x14ac:dyDescent="0.25">
      <c r="A39" s="151">
        <f>'B) D RI'!A40</f>
        <v>5464</v>
      </c>
      <c r="B39" s="152" t="str">
        <f>'B) D RI'!B40</f>
        <v>Vully-les-Lacs</v>
      </c>
      <c r="C39" s="313">
        <f>'B) D RI'!S40</f>
        <v>67</v>
      </c>
      <c r="D39" s="153">
        <f>'B) D RI'!AA40</f>
        <v>3278</v>
      </c>
      <c r="E39" s="311">
        <f>'D) Ecrêtage'!C38</f>
        <v>112706.50074312353</v>
      </c>
      <c r="F39" s="315">
        <f>'E) Part. coh. soc.'!G44</f>
        <v>2109043.6937075015</v>
      </c>
      <c r="G39" s="312">
        <f>'H) Péréquation directe'!I49</f>
        <v>570697.88803868019</v>
      </c>
      <c r="H39" s="315">
        <f>+'I) Dépenses thématiques'!O38</f>
        <v>-491512.80584648752</v>
      </c>
      <c r="I39" s="312">
        <f>'K) Plafonnement aide'!J38</f>
        <v>0</v>
      </c>
      <c r="J39" s="315">
        <f>'J) Plafonnement effort'!J38</f>
        <v>0</v>
      </c>
      <c r="K39" s="315">
        <f>'L) Plafonnement taux'!Q39</f>
        <v>0</v>
      </c>
      <c r="L39" s="310">
        <f t="shared" si="0"/>
        <v>2188228.7758996938</v>
      </c>
      <c r="M39" s="234">
        <f>'M) Police'!O39</f>
        <v>350114.25562553847</v>
      </c>
      <c r="N39" s="234">
        <f t="shared" si="1"/>
        <v>2538343.0315252324</v>
      </c>
      <c r="P39" s="317"/>
    </row>
    <row r="40" spans="1:16" s="154" customFormat="1" x14ac:dyDescent="0.25">
      <c r="A40" s="151">
        <f>'B) D RI'!A41</f>
        <v>5471</v>
      </c>
      <c r="B40" s="152" t="str">
        <f>'B) D RI'!B41</f>
        <v>Bettens</v>
      </c>
      <c r="C40" s="313">
        <f>'B) D RI'!S41</f>
        <v>70</v>
      </c>
      <c r="D40" s="153">
        <f>'B) D RI'!AA41</f>
        <v>650</v>
      </c>
      <c r="E40" s="311">
        <f>'D) Ecrêtage'!C39</f>
        <v>21669.887846159098</v>
      </c>
      <c r="F40" s="315">
        <f>'E) Part. coh. soc.'!G45</f>
        <v>362854.06861390069</v>
      </c>
      <c r="G40" s="312">
        <f>'H) Péréquation directe'!I50</f>
        <v>184893.25067312352</v>
      </c>
      <c r="H40" s="315">
        <f>+'I) Dépenses thématiques'!O39</f>
        <v>-290.83952731760985</v>
      </c>
      <c r="I40" s="312">
        <f>'K) Plafonnement aide'!J39</f>
        <v>0</v>
      </c>
      <c r="J40" s="315">
        <f>'J) Plafonnement effort'!J39</f>
        <v>0</v>
      </c>
      <c r="K40" s="315">
        <f>'L) Plafonnement taux'!Q40</f>
        <v>0</v>
      </c>
      <c r="L40" s="310">
        <f t="shared" si="0"/>
        <v>547456.47975970665</v>
      </c>
      <c r="M40" s="234">
        <f>'M) Police'!O40</f>
        <v>67750.46797711197</v>
      </c>
      <c r="N40" s="234">
        <f t="shared" si="1"/>
        <v>615206.94773681858</v>
      </c>
      <c r="P40" s="317"/>
    </row>
    <row r="41" spans="1:16" s="154" customFormat="1" x14ac:dyDescent="0.25">
      <c r="A41" s="151">
        <f>'B) D RI'!A42</f>
        <v>5472</v>
      </c>
      <c r="B41" s="152" t="str">
        <f>'B) D RI'!B42</f>
        <v>Bournens</v>
      </c>
      <c r="C41" s="313">
        <f>'B) D RI'!S42</f>
        <v>76</v>
      </c>
      <c r="D41" s="153">
        <f>'B) D RI'!AA42</f>
        <v>422</v>
      </c>
      <c r="E41" s="311">
        <f>'D) Ecrêtage'!C40</f>
        <v>15019.940865033717</v>
      </c>
      <c r="F41" s="315">
        <f>'E) Part. coh. soc.'!G46</f>
        <v>260423.63271484227</v>
      </c>
      <c r="G41" s="312">
        <f>'H) Péréquation directe'!I51</f>
        <v>141938.44318816523</v>
      </c>
      <c r="H41" s="315">
        <f>+'I) Dépenses thématiques'!O40</f>
        <v>-4502.7215458451847</v>
      </c>
      <c r="I41" s="312">
        <f>'K) Plafonnement aide'!J40</f>
        <v>0</v>
      </c>
      <c r="J41" s="315">
        <f>'J) Plafonnement effort'!J40</f>
        <v>0</v>
      </c>
      <c r="K41" s="315">
        <f>'L) Plafonnement taux'!Q41</f>
        <v>0</v>
      </c>
      <c r="L41" s="310">
        <f t="shared" si="0"/>
        <v>397859.35435716232</v>
      </c>
      <c r="M41" s="234">
        <f>'M) Police'!O41</f>
        <v>46932.981636884746</v>
      </c>
      <c r="N41" s="234">
        <f t="shared" si="1"/>
        <v>444792.33599404705</v>
      </c>
      <c r="P41" s="317"/>
    </row>
    <row r="42" spans="1:16" s="154" customFormat="1" x14ac:dyDescent="0.25">
      <c r="A42" s="151">
        <f>'B) D RI'!A43</f>
        <v>5473</v>
      </c>
      <c r="B42" s="152" t="str">
        <f>'B) D RI'!B43</f>
        <v>Boussens</v>
      </c>
      <c r="C42" s="313">
        <f>'B) D RI'!S43</f>
        <v>69</v>
      </c>
      <c r="D42" s="153">
        <f>'B) D RI'!AA43</f>
        <v>993</v>
      </c>
      <c r="E42" s="311">
        <f>'D) Ecrêtage'!C41</f>
        <v>34282.214706986073</v>
      </c>
      <c r="F42" s="315">
        <f>'E) Part. coh. soc.'!G47</f>
        <v>571034.92432017345</v>
      </c>
      <c r="G42" s="312">
        <f>'H) Péréquation directe'!I52</f>
        <v>334623.70330954401</v>
      </c>
      <c r="H42" s="315">
        <f>+'I) Dépenses thématiques'!O41</f>
        <v>0</v>
      </c>
      <c r="I42" s="312">
        <f>'K) Plafonnement aide'!J41</f>
        <v>0</v>
      </c>
      <c r="J42" s="315">
        <f>'J) Plafonnement effort'!J41</f>
        <v>0</v>
      </c>
      <c r="K42" s="315">
        <f>'L) Plafonnement taux'!Q42</f>
        <v>0</v>
      </c>
      <c r="L42" s="310">
        <f t="shared" si="0"/>
        <v>905658.62762971746</v>
      </c>
      <c r="M42" s="234">
        <f>'M) Police'!O42</f>
        <v>107326.14695184772</v>
      </c>
      <c r="N42" s="234">
        <f t="shared" si="1"/>
        <v>1012984.7745815652</v>
      </c>
      <c r="P42" s="317"/>
    </row>
    <row r="43" spans="1:16" s="154" customFormat="1" x14ac:dyDescent="0.25">
      <c r="A43" s="151">
        <f>'B) D RI'!A44</f>
        <v>5474</v>
      </c>
      <c r="B43" s="152" t="str">
        <f>'B) D RI'!B44</f>
        <v>La Chaux (Cossonay)</v>
      </c>
      <c r="C43" s="313">
        <f>'B) D RI'!S44</f>
        <v>77</v>
      </c>
      <c r="D43" s="153">
        <f>'B) D RI'!AA44</f>
        <v>395</v>
      </c>
      <c r="E43" s="311">
        <f>'D) Ecrêtage'!C42</f>
        <v>15312.847748917748</v>
      </c>
      <c r="F43" s="315">
        <f>'E) Part. coh. soc.'!G48</f>
        <v>286216.46393842075</v>
      </c>
      <c r="G43" s="312">
        <f>'H) Péréquation directe'!I53</f>
        <v>184364.26630165003</v>
      </c>
      <c r="H43" s="315">
        <f>+'I) Dépenses thématiques'!O42</f>
        <v>-144944.22275398078</v>
      </c>
      <c r="I43" s="312">
        <f>'K) Plafonnement aide'!J42</f>
        <v>0</v>
      </c>
      <c r="J43" s="315">
        <f>'J) Plafonnement effort'!J42</f>
        <v>0</v>
      </c>
      <c r="K43" s="315">
        <f>'L) Plafonnement taux'!Q43</f>
        <v>0</v>
      </c>
      <c r="L43" s="310">
        <f t="shared" si="0"/>
        <v>325636.50748609001</v>
      </c>
      <c r="M43" s="234">
        <f>'M) Police'!O43</f>
        <v>48468.317634462714</v>
      </c>
      <c r="N43" s="234">
        <f t="shared" si="1"/>
        <v>374104.82512055273</v>
      </c>
      <c r="P43" s="317"/>
    </row>
    <row r="44" spans="1:16" s="154" customFormat="1" x14ac:dyDescent="0.25">
      <c r="A44" s="151">
        <f>'B) D RI'!A45</f>
        <v>5475</v>
      </c>
      <c r="B44" s="152" t="str">
        <f>'B) D RI'!B45</f>
        <v>Chavannes-le-Veyron</v>
      </c>
      <c r="C44" s="313">
        <f>'B) D RI'!S45</f>
        <v>77</v>
      </c>
      <c r="D44" s="153">
        <f>'B) D RI'!AA45</f>
        <v>152</v>
      </c>
      <c r="E44" s="311">
        <f>'D) Ecrêtage'!C43</f>
        <v>3043.2190909090909</v>
      </c>
      <c r="F44" s="315">
        <f>'E) Part. coh. soc.'!G49</f>
        <v>59481.972194499554</v>
      </c>
      <c r="G44" s="312">
        <f>'H) Péréquation directe'!I54</f>
        <v>-51741.76874753162</v>
      </c>
      <c r="H44" s="315">
        <f>+'I) Dépenses thématiques'!O43</f>
        <v>-17514.036645820699</v>
      </c>
      <c r="I44" s="312">
        <f>'K) Plafonnement aide'!J43</f>
        <v>0</v>
      </c>
      <c r="J44" s="315">
        <f>'J) Plafonnement effort'!J43</f>
        <v>0</v>
      </c>
      <c r="K44" s="315">
        <f>'L) Plafonnement taux'!Q44</f>
        <v>0</v>
      </c>
      <c r="L44" s="310">
        <f t="shared" si="0"/>
        <v>-9773.8331988527643</v>
      </c>
      <c r="M44" s="234">
        <f>'M) Police'!O44</f>
        <v>9411.548203957489</v>
      </c>
      <c r="N44" s="234">
        <f t="shared" si="1"/>
        <v>-362.2849948952753</v>
      </c>
      <c r="P44" s="317"/>
    </row>
    <row r="45" spans="1:16" s="154" customFormat="1" x14ac:dyDescent="0.25">
      <c r="A45" s="151">
        <f>'B) D RI'!A46</f>
        <v>5476</v>
      </c>
      <c r="B45" s="152" t="str">
        <f>'B) D RI'!B46</f>
        <v>Chevilly</v>
      </c>
      <c r="C45" s="313">
        <f>'B) D RI'!S46</f>
        <v>74</v>
      </c>
      <c r="D45" s="153">
        <f>'B) D RI'!AA46</f>
        <v>317</v>
      </c>
      <c r="E45" s="311">
        <f>'D) Ecrêtage'!C44</f>
        <v>12636.676556913548</v>
      </c>
      <c r="F45" s="315">
        <f>'E) Part. coh. soc.'!G50</f>
        <v>193757.51334715457</v>
      </c>
      <c r="G45" s="312">
        <f>'H) Péréquation directe'!I55</f>
        <v>166406.32452556255</v>
      </c>
      <c r="H45" s="315">
        <f>+'I) Dépenses thématiques'!O44</f>
        <v>-10160.074048430435</v>
      </c>
      <c r="I45" s="312">
        <f>'K) Plafonnement aide'!J44</f>
        <v>0</v>
      </c>
      <c r="J45" s="315">
        <f>'J) Plafonnement effort'!J44</f>
        <v>0</v>
      </c>
      <c r="K45" s="315">
        <f>'L) Plafonnement taux'!Q45</f>
        <v>0</v>
      </c>
      <c r="L45" s="310">
        <f t="shared" si="0"/>
        <v>350003.7638242867</v>
      </c>
      <c r="M45" s="234">
        <f>'M) Police'!O45</f>
        <v>39911.66386240939</v>
      </c>
      <c r="N45" s="234">
        <f t="shared" si="1"/>
        <v>389915.42768669606</v>
      </c>
      <c r="P45" s="317"/>
    </row>
    <row r="46" spans="1:16" s="154" customFormat="1" x14ac:dyDescent="0.25">
      <c r="A46" s="151">
        <f>'B) D RI'!A47</f>
        <v>5477</v>
      </c>
      <c r="B46" s="152" t="str">
        <f>'B) D RI'!B47</f>
        <v>Cossonay</v>
      </c>
      <c r="C46" s="313">
        <f>'B) D RI'!S47</f>
        <v>71</v>
      </c>
      <c r="D46" s="153">
        <f>'B) D RI'!AA47</f>
        <v>4045</v>
      </c>
      <c r="E46" s="311">
        <f>'D) Ecrêtage'!C45</f>
        <v>144296.3607707771</v>
      </c>
      <c r="F46" s="315">
        <f>'E) Part. coh. soc.'!G51</f>
        <v>2467444.8868554663</v>
      </c>
      <c r="G46" s="312">
        <f>'H) Péréquation directe'!I56</f>
        <v>649471.8473546626</v>
      </c>
      <c r="H46" s="315">
        <f>+'I) Dépenses thématiques'!O45</f>
        <v>-529358.29403196205</v>
      </c>
      <c r="I46" s="312">
        <f>'K) Plafonnement aide'!J45</f>
        <v>0</v>
      </c>
      <c r="J46" s="315">
        <f>'J) Plafonnement effort'!J45</f>
        <v>0</v>
      </c>
      <c r="K46" s="315">
        <f>'L) Plafonnement taux'!Q46</f>
        <v>0</v>
      </c>
      <c r="L46" s="310">
        <f t="shared" si="0"/>
        <v>2587558.4401781671</v>
      </c>
      <c r="M46" s="234">
        <f>'M) Police'!O46</f>
        <v>454839.62167872291</v>
      </c>
      <c r="N46" s="234">
        <f t="shared" si="1"/>
        <v>3042398.0618568901</v>
      </c>
      <c r="P46" s="317"/>
    </row>
    <row r="47" spans="1:16" s="154" customFormat="1" x14ac:dyDescent="0.25">
      <c r="A47" s="151">
        <f>'B) D RI'!A48</f>
        <v>5478</v>
      </c>
      <c r="B47" s="152" t="str">
        <f>'B) D RI'!B48</f>
        <v>Cottens</v>
      </c>
      <c r="C47" s="313">
        <f>'B) D RI'!S48</f>
        <v>74</v>
      </c>
      <c r="D47" s="153">
        <f>'B) D RI'!AA48</f>
        <v>487</v>
      </c>
      <c r="E47" s="311">
        <f>'D) Ecrêtage'!C46</f>
        <v>17520.338093666011</v>
      </c>
      <c r="F47" s="315">
        <f>'E) Part. coh. soc.'!G52</f>
        <v>321180.49514346675</v>
      </c>
      <c r="G47" s="312">
        <f>'H) Péréquation directe'!I57</f>
        <v>177518.32283516979</v>
      </c>
      <c r="H47" s="315">
        <f>+'I) Dépenses thématiques'!O46</f>
        <v>-530657.45438901219</v>
      </c>
      <c r="I47" s="312">
        <f>'K) Plafonnement aide'!J46</f>
        <v>0</v>
      </c>
      <c r="J47" s="315">
        <f>'J) Plafonnement effort'!J46</f>
        <v>0</v>
      </c>
      <c r="K47" s="315">
        <f>'L) Plafonnement taux'!Q47</f>
        <v>0</v>
      </c>
      <c r="L47" s="310">
        <f t="shared" si="0"/>
        <v>-31958.63641037565</v>
      </c>
      <c r="M47" s="234">
        <f>'M) Police'!O47</f>
        <v>55385.492004865024</v>
      </c>
      <c r="N47" s="234">
        <f t="shared" si="1"/>
        <v>23426.855594489374</v>
      </c>
      <c r="P47" s="317"/>
    </row>
    <row r="48" spans="1:16" s="154" customFormat="1" x14ac:dyDescent="0.25">
      <c r="A48" s="151">
        <f>'B) D RI'!A49</f>
        <v>5479</v>
      </c>
      <c r="B48" s="152" t="str">
        <f>'B) D RI'!B49</f>
        <v>Cuarnens</v>
      </c>
      <c r="C48" s="313">
        <f>'B) D RI'!S49</f>
        <v>77</v>
      </c>
      <c r="D48" s="153">
        <f>'B) D RI'!AA49</f>
        <v>486</v>
      </c>
      <c r="E48" s="311">
        <f>'D) Ecrêtage'!C47</f>
        <v>17273.482190037128</v>
      </c>
      <c r="F48" s="315">
        <f>'E) Part. coh. soc.'!G53</f>
        <v>289782.71623758494</v>
      </c>
      <c r="G48" s="312">
        <f>'H) Péréquation directe'!I58</f>
        <v>159359.79028581182</v>
      </c>
      <c r="H48" s="315">
        <f>+'I) Dépenses thématiques'!O47</f>
        <v>-293159.22396307049</v>
      </c>
      <c r="I48" s="312">
        <f>'K) Plafonnement aide'!J47</f>
        <v>0</v>
      </c>
      <c r="J48" s="315">
        <f>'J) Plafonnement effort'!J47</f>
        <v>0</v>
      </c>
      <c r="K48" s="315">
        <f>'L) Plafonnement taux'!Q48</f>
        <v>0</v>
      </c>
      <c r="L48" s="310">
        <f t="shared" si="0"/>
        <v>155983.28256032628</v>
      </c>
      <c r="M48" s="234">
        <f>'M) Police'!O48</f>
        <v>54569.465357491295</v>
      </c>
      <c r="N48" s="234">
        <f t="shared" si="1"/>
        <v>210552.74791781756</v>
      </c>
      <c r="P48" s="317"/>
    </row>
    <row r="49" spans="1:16" s="154" customFormat="1" x14ac:dyDescent="0.25">
      <c r="A49" s="151">
        <f>'B) D RI'!A50</f>
        <v>5480</v>
      </c>
      <c r="B49" s="152" t="str">
        <f>'B) D RI'!B50</f>
        <v>Daillens</v>
      </c>
      <c r="C49" s="313">
        <f>'B) D RI'!S50</f>
        <v>66</v>
      </c>
      <c r="D49" s="153">
        <f>'B) D RI'!AA50</f>
        <v>1034</v>
      </c>
      <c r="E49" s="311">
        <f>'D) Ecrêtage'!C48</f>
        <v>40220.975555555553</v>
      </c>
      <c r="F49" s="315">
        <f>'E) Part. coh. soc.'!G54</f>
        <v>721488.66973476729</v>
      </c>
      <c r="G49" s="312">
        <f>'H) Péréquation directe'!I59</f>
        <v>526399.77397155901</v>
      </c>
      <c r="H49" s="315">
        <f>+'I) Dépenses thématiques'!O48</f>
        <v>-411535.49300851393</v>
      </c>
      <c r="I49" s="312">
        <f>'K) Plafonnement aide'!J48</f>
        <v>0</v>
      </c>
      <c r="J49" s="315">
        <f>'J) Plafonnement effort'!J48</f>
        <v>0</v>
      </c>
      <c r="K49" s="315">
        <f>'L) Plafonnement taux'!Q49</f>
        <v>0</v>
      </c>
      <c r="L49" s="310">
        <f t="shared" si="0"/>
        <v>836352.95069781225</v>
      </c>
      <c r="M49" s="234">
        <f>'M) Police'!O49</f>
        <v>123719.02120496256</v>
      </c>
      <c r="N49" s="234">
        <f t="shared" si="1"/>
        <v>960071.97190277476</v>
      </c>
      <c r="P49" s="317"/>
    </row>
    <row r="50" spans="1:16" s="154" customFormat="1" x14ac:dyDescent="0.25">
      <c r="A50" s="151">
        <f>'B) D RI'!A51</f>
        <v>5481</v>
      </c>
      <c r="B50" s="152" t="str">
        <f>'B) D RI'!B51</f>
        <v>Dizy</v>
      </c>
      <c r="C50" s="313">
        <f>'B) D RI'!S51</f>
        <v>79</v>
      </c>
      <c r="D50" s="153">
        <f>'B) D RI'!AA51</f>
        <v>234</v>
      </c>
      <c r="E50" s="311">
        <f>'D) Ecrêtage'!C49</f>
        <v>9702.0464562011348</v>
      </c>
      <c r="F50" s="315">
        <f>'E) Part. coh. soc.'!G55</f>
        <v>148828.80556839472</v>
      </c>
      <c r="G50" s="312">
        <f>'H) Péréquation directe'!I60</f>
        <v>135064.1864721454</v>
      </c>
      <c r="H50" s="315">
        <f>+'I) Dépenses thématiques'!O49</f>
        <v>-13569.696410236767</v>
      </c>
      <c r="I50" s="312">
        <f>'K) Plafonnement aide'!J49</f>
        <v>0</v>
      </c>
      <c r="J50" s="315">
        <f>'J) Plafonnement effort'!J49</f>
        <v>0</v>
      </c>
      <c r="K50" s="315">
        <f>'L) Plafonnement taux'!Q50</f>
        <v>0</v>
      </c>
      <c r="L50" s="310">
        <f t="shared" si="0"/>
        <v>270323.29563030333</v>
      </c>
      <c r="M50" s="234">
        <f>'M) Police'!O50</f>
        <v>30951.920602022663</v>
      </c>
      <c r="N50" s="234">
        <f t="shared" si="1"/>
        <v>301275.216232326</v>
      </c>
      <c r="P50" s="317"/>
    </row>
    <row r="51" spans="1:16" s="154" customFormat="1" x14ac:dyDescent="0.25">
      <c r="A51" s="151">
        <f>'B) D RI'!A52</f>
        <v>5482</v>
      </c>
      <c r="B51" s="152" t="str">
        <f>'B) D RI'!B52</f>
        <v>Eclépens</v>
      </c>
      <c r="C51" s="313">
        <f>'B) D RI'!S52</f>
        <v>46</v>
      </c>
      <c r="D51" s="153">
        <f>'B) D RI'!AA52</f>
        <v>1222</v>
      </c>
      <c r="E51" s="311">
        <f>'D) Ecrêtage'!C50</f>
        <v>60387.408967257215</v>
      </c>
      <c r="F51" s="315">
        <f>'E) Part. coh. soc.'!G56</f>
        <v>1119297.4117954555</v>
      </c>
      <c r="G51" s="312">
        <f>'H) Péréquation directe'!I61</f>
        <v>982815.88174829306</v>
      </c>
      <c r="H51" s="315">
        <f>+'I) Dépenses thématiques'!O50</f>
        <v>-57138.815521500714</v>
      </c>
      <c r="I51" s="312">
        <f>'K) Plafonnement aide'!J50</f>
        <v>0</v>
      </c>
      <c r="J51" s="315">
        <f>'J) Plafonnement effort'!J50</f>
        <v>0</v>
      </c>
      <c r="K51" s="315">
        <f>'L) Plafonnement taux'!Q51</f>
        <v>0</v>
      </c>
      <c r="L51" s="310">
        <f t="shared" si="0"/>
        <v>2044974.4780222478</v>
      </c>
      <c r="M51" s="234">
        <f>'M) Police'!O51</f>
        <v>177959.72741005069</v>
      </c>
      <c r="N51" s="234">
        <f t="shared" si="1"/>
        <v>2222934.2054322986</v>
      </c>
      <c r="P51" s="317"/>
    </row>
    <row r="52" spans="1:16" s="154" customFormat="1" x14ac:dyDescent="0.25">
      <c r="A52" s="151">
        <f>'B) D RI'!A53</f>
        <v>5483</v>
      </c>
      <c r="B52" s="152" t="str">
        <f>'B) D RI'!B53</f>
        <v>Ferreyres</v>
      </c>
      <c r="C52" s="313">
        <f>'B) D RI'!S53</f>
        <v>76</v>
      </c>
      <c r="D52" s="153">
        <f>'B) D RI'!AA53</f>
        <v>320</v>
      </c>
      <c r="E52" s="311">
        <f>'D) Ecrêtage'!C51</f>
        <v>11155.704681224479</v>
      </c>
      <c r="F52" s="315">
        <f>'E) Part. coh. soc.'!G57</f>
        <v>200973.49755558258</v>
      </c>
      <c r="G52" s="312">
        <f>'H) Péréquation directe'!I62</f>
        <v>97704.225945765647</v>
      </c>
      <c r="H52" s="315">
        <f>+'I) Dépenses thématiques'!O51</f>
        <v>-1933.6839061054679</v>
      </c>
      <c r="I52" s="312">
        <f>'K) Plafonnement aide'!J51</f>
        <v>0</v>
      </c>
      <c r="J52" s="315">
        <f>'J) Plafonnement effort'!J51</f>
        <v>0</v>
      </c>
      <c r="K52" s="315">
        <f>'L) Plafonnement taux'!Q52</f>
        <v>0</v>
      </c>
      <c r="L52" s="310">
        <f t="shared" si="0"/>
        <v>296744.03959524276</v>
      </c>
      <c r="M52" s="234">
        <f>'M) Police'!O52</f>
        <v>35228.122043680443</v>
      </c>
      <c r="N52" s="234">
        <f t="shared" si="1"/>
        <v>331972.16163892322</v>
      </c>
      <c r="P52" s="317"/>
    </row>
    <row r="53" spans="1:16" s="154" customFormat="1" x14ac:dyDescent="0.25">
      <c r="A53" s="151">
        <f>'B) D RI'!A54</f>
        <v>5484</v>
      </c>
      <c r="B53" s="152" t="str">
        <f>'B) D RI'!B54</f>
        <v>Gollion</v>
      </c>
      <c r="C53" s="313">
        <f>'B) D RI'!S54</f>
        <v>74</v>
      </c>
      <c r="D53" s="153">
        <f>'B) D RI'!AA54</f>
        <v>939</v>
      </c>
      <c r="E53" s="311">
        <f>'D) Ecrêtage'!C52</f>
        <v>33762.861845883657</v>
      </c>
      <c r="F53" s="315">
        <f>'E) Part. coh. soc.'!G58</f>
        <v>658142.69854527398</v>
      </c>
      <c r="G53" s="312">
        <f>'H) Péréquation directe'!I63</f>
        <v>341508.87257615069</v>
      </c>
      <c r="H53" s="315">
        <f>+'I) Dépenses thématiques'!O52</f>
        <v>-116047.31046467737</v>
      </c>
      <c r="I53" s="312">
        <f>'K) Plafonnement aide'!J52</f>
        <v>0</v>
      </c>
      <c r="J53" s="315">
        <f>'J) Plafonnement effort'!J52</f>
        <v>0</v>
      </c>
      <c r="K53" s="315">
        <f>'L) Plafonnement taux'!Q53</f>
        <v>0</v>
      </c>
      <c r="L53" s="310">
        <f t="shared" si="0"/>
        <v>883604.26065674727</v>
      </c>
      <c r="M53" s="234">
        <f>'M) Police'!O53</f>
        <v>105966.21411653073</v>
      </c>
      <c r="N53" s="234">
        <f t="shared" si="1"/>
        <v>989570.47477327799</v>
      </c>
      <c r="P53" s="317"/>
    </row>
    <row r="54" spans="1:16" s="154" customFormat="1" x14ac:dyDescent="0.25">
      <c r="A54" s="151">
        <f>'B) D RI'!A55</f>
        <v>5485</v>
      </c>
      <c r="B54" s="152" t="str">
        <f>'B) D RI'!B55</f>
        <v>Grancy</v>
      </c>
      <c r="C54" s="313">
        <f>'B) D RI'!S55</f>
        <v>70</v>
      </c>
      <c r="D54" s="153">
        <f>'B) D RI'!AA55</f>
        <v>397</v>
      </c>
      <c r="E54" s="311">
        <f>'D) Ecrêtage'!C53</f>
        <v>16914.094370194773</v>
      </c>
      <c r="F54" s="315">
        <f>'E) Part. coh. soc.'!G59</f>
        <v>303903.901233632</v>
      </c>
      <c r="G54" s="312">
        <f>'H) Péréquation directe'!I64</f>
        <v>256383.58413480385</v>
      </c>
      <c r="H54" s="315">
        <f>+'I) Dépenses thématiques'!O53</f>
        <v>-28008.280194431485</v>
      </c>
      <c r="I54" s="312">
        <f>'K) Plafonnement aide'!J53</f>
        <v>0</v>
      </c>
      <c r="J54" s="315">
        <f>'J) Plafonnement effort'!J53</f>
        <v>0</v>
      </c>
      <c r="K54" s="315">
        <f>'L) Plafonnement taux'!Q54</f>
        <v>0</v>
      </c>
      <c r="L54" s="310">
        <f t="shared" si="0"/>
        <v>532279.20517400443</v>
      </c>
      <c r="M54" s="234">
        <f>'M) Police'!O54</f>
        <v>53465.504191560787</v>
      </c>
      <c r="N54" s="234">
        <f t="shared" si="1"/>
        <v>585744.70936556521</v>
      </c>
      <c r="P54" s="317"/>
    </row>
    <row r="55" spans="1:16" s="154" customFormat="1" x14ac:dyDescent="0.25">
      <c r="A55" s="151">
        <f>'B) D RI'!A56</f>
        <v>5486</v>
      </c>
      <c r="B55" s="152" t="str">
        <f>'B) D RI'!B56</f>
        <v>L'Isle</v>
      </c>
      <c r="C55" s="313">
        <f>'B) D RI'!S56</f>
        <v>76</v>
      </c>
      <c r="D55" s="153">
        <f>'B) D RI'!AA56</f>
        <v>1011</v>
      </c>
      <c r="E55" s="311">
        <f>'D) Ecrêtage'!C54</f>
        <v>35759.534807519231</v>
      </c>
      <c r="F55" s="315">
        <f>'E) Part. coh. soc.'!G60</f>
        <v>868029.67263062694</v>
      </c>
      <c r="G55" s="312">
        <f>'H) Péréquation directe'!I65</f>
        <v>328038.71824604383</v>
      </c>
      <c r="H55" s="315">
        <f>+'I) Dépenses thématiques'!O54</f>
        <v>-277534.52215076168</v>
      </c>
      <c r="I55" s="312">
        <f>'K) Plafonnement aide'!J54</f>
        <v>0</v>
      </c>
      <c r="J55" s="315">
        <f>'J) Plafonnement effort'!J54</f>
        <v>0</v>
      </c>
      <c r="K55" s="315">
        <f>'L) Plafonnement taux'!Q55</f>
        <v>0</v>
      </c>
      <c r="L55" s="310">
        <f t="shared" si="0"/>
        <v>918533.86872590915</v>
      </c>
      <c r="M55" s="234">
        <f>'M) Police'!O55</f>
        <v>112461.45151463448</v>
      </c>
      <c r="N55" s="234">
        <f t="shared" si="1"/>
        <v>1030995.3202405437</v>
      </c>
      <c r="P55" s="317"/>
    </row>
    <row r="56" spans="1:16" s="154" customFormat="1" x14ac:dyDescent="0.25">
      <c r="A56" s="151">
        <f>'B) D RI'!A57</f>
        <v>5487</v>
      </c>
      <c r="B56" s="152" t="str">
        <f>'B) D RI'!B57</f>
        <v>Lussery-Villars</v>
      </c>
      <c r="C56" s="313">
        <f>'B) D RI'!S57</f>
        <v>75</v>
      </c>
      <c r="D56" s="153">
        <f>'B) D RI'!AA57</f>
        <v>459</v>
      </c>
      <c r="E56" s="311">
        <f>'D) Ecrêtage'!C55</f>
        <v>15494.848822945682</v>
      </c>
      <c r="F56" s="315">
        <f>'E) Part. coh. soc.'!G61</f>
        <v>272688.54706928151</v>
      </c>
      <c r="G56" s="312">
        <f>'H) Péréquation directe'!I66</f>
        <v>121986.81605632129</v>
      </c>
      <c r="H56" s="315">
        <f>+'I) Dépenses thématiques'!O55</f>
        <v>-39466.459552346045</v>
      </c>
      <c r="I56" s="312">
        <f>'K) Plafonnement aide'!J55</f>
        <v>0</v>
      </c>
      <c r="J56" s="315">
        <f>'J) Plafonnement effort'!J55</f>
        <v>0</v>
      </c>
      <c r="K56" s="315">
        <f>'L) Plafonnement taux'!Q56</f>
        <v>0</v>
      </c>
      <c r="L56" s="310">
        <f t="shared" si="0"/>
        <v>355208.9035732568</v>
      </c>
      <c r="M56" s="234">
        <f>'M) Police'!O56</f>
        <v>48837.275298109453</v>
      </c>
      <c r="N56" s="234">
        <f t="shared" si="1"/>
        <v>404046.17887136625</v>
      </c>
      <c r="P56" s="317"/>
    </row>
    <row r="57" spans="1:16" s="154" customFormat="1" x14ac:dyDescent="0.25">
      <c r="A57" s="151">
        <f>'B) D RI'!A58</f>
        <v>5488</v>
      </c>
      <c r="B57" s="152" t="str">
        <f>'B) D RI'!B58</f>
        <v>Mauraz</v>
      </c>
      <c r="C57" s="313">
        <f>'B) D RI'!S58</f>
        <v>78</v>
      </c>
      <c r="D57" s="153">
        <f>'B) D RI'!AA58</f>
        <v>57</v>
      </c>
      <c r="E57" s="311">
        <f>'D) Ecrêtage'!C56</f>
        <v>1750.6115384615387</v>
      </c>
      <c r="F57" s="315">
        <f>'E) Part. coh. soc.'!G62</f>
        <v>26842.036907526184</v>
      </c>
      <c r="G57" s="312">
        <f>'H) Péréquation directe'!I67</f>
        <v>6303.4811302019989</v>
      </c>
      <c r="H57" s="315">
        <f>+'I) Dépenses thématiques'!O56</f>
        <v>0</v>
      </c>
      <c r="I57" s="312">
        <f>'K) Plafonnement aide'!J56</f>
        <v>0</v>
      </c>
      <c r="J57" s="315">
        <f>'J) Plafonnement effort'!J56</f>
        <v>0</v>
      </c>
      <c r="K57" s="315">
        <f>'L) Plafonnement taux'!Q57</f>
        <v>0</v>
      </c>
      <c r="L57" s="310">
        <f t="shared" si="0"/>
        <v>33145.518037728179</v>
      </c>
      <c r="M57" s="234">
        <f>'M) Police'!O57</f>
        <v>5534.8776474031174</v>
      </c>
      <c r="N57" s="234">
        <f t="shared" si="1"/>
        <v>38680.395685131298</v>
      </c>
      <c r="P57" s="317"/>
    </row>
    <row r="58" spans="1:16" s="154" customFormat="1" x14ac:dyDescent="0.25">
      <c r="A58" s="151">
        <f>'B) D RI'!A59</f>
        <v>5489</v>
      </c>
      <c r="B58" s="152" t="str">
        <f>'B) D RI'!B59</f>
        <v>Mex</v>
      </c>
      <c r="C58" s="313">
        <f>'B) D RI'!S59</f>
        <v>61</v>
      </c>
      <c r="D58" s="153">
        <f>'B) D RI'!AA59</f>
        <v>718</v>
      </c>
      <c r="E58" s="311">
        <f>'D) Ecrêtage'!C57</f>
        <v>63473.912067537727</v>
      </c>
      <c r="F58" s="315">
        <f>'E) Part. coh. soc.'!G63</f>
        <v>1654590.8007153366</v>
      </c>
      <c r="G58" s="312">
        <f>'H) Péréquation directe'!I68</f>
        <v>1156979.8865876205</v>
      </c>
      <c r="H58" s="315">
        <f>+'I) Dépenses thématiques'!O57</f>
        <v>0</v>
      </c>
      <c r="I58" s="312">
        <f>'K) Plafonnement aide'!J57</f>
        <v>0</v>
      </c>
      <c r="J58" s="315">
        <f>'J) Plafonnement effort'!J57</f>
        <v>0</v>
      </c>
      <c r="K58" s="315">
        <f>'L) Plafonnement taux'!Q58</f>
        <v>0</v>
      </c>
      <c r="L58" s="310">
        <f t="shared" si="0"/>
        <v>2811570.6873029573</v>
      </c>
      <c r="M58" s="234">
        <f>'M) Police'!O58</f>
        <v>142698.04315865794</v>
      </c>
      <c r="N58" s="234">
        <f t="shared" si="1"/>
        <v>2954268.7304616151</v>
      </c>
      <c r="P58" s="317"/>
    </row>
    <row r="59" spans="1:16" s="154" customFormat="1" x14ac:dyDescent="0.25">
      <c r="A59" s="151">
        <f>'B) D RI'!A60</f>
        <v>5490</v>
      </c>
      <c r="B59" s="152" t="str">
        <f>'B) D RI'!B60</f>
        <v>Moiry</v>
      </c>
      <c r="C59" s="313">
        <f>'B) D RI'!S60</f>
        <v>78.5</v>
      </c>
      <c r="D59" s="153">
        <f>'B) D RI'!AA60</f>
        <v>310</v>
      </c>
      <c r="E59" s="311">
        <f>'D) Ecrêtage'!C58</f>
        <v>8338.3158944329061</v>
      </c>
      <c r="F59" s="315">
        <f>'E) Part. coh. soc.'!G64</f>
        <v>137112.14482833442</v>
      </c>
      <c r="G59" s="312">
        <f>'H) Péréquation directe'!I69</f>
        <v>-19190.037712000514</v>
      </c>
      <c r="H59" s="315">
        <f>+'I) Dépenses thématiques'!O58</f>
        <v>-61432.060902539211</v>
      </c>
      <c r="I59" s="312">
        <f>'K) Plafonnement aide'!J58</f>
        <v>0</v>
      </c>
      <c r="J59" s="315">
        <f>'J) Plafonnement effort'!J58</f>
        <v>0</v>
      </c>
      <c r="K59" s="315">
        <f>'L) Plafonnement taux'!Q59</f>
        <v>0</v>
      </c>
      <c r="L59" s="310">
        <f t="shared" si="0"/>
        <v>56490.046213794696</v>
      </c>
      <c r="M59" s="234">
        <f>'M) Police'!O59</f>
        <v>26243.967368974547</v>
      </c>
      <c r="N59" s="234">
        <f t="shared" si="1"/>
        <v>82734.013582769243</v>
      </c>
      <c r="P59" s="317"/>
    </row>
    <row r="60" spans="1:16" s="154" customFormat="1" x14ac:dyDescent="0.25">
      <c r="A60" s="151">
        <f>'B) D RI'!A61</f>
        <v>5491</v>
      </c>
      <c r="B60" s="152" t="str">
        <f>'B) D RI'!B61</f>
        <v>Mont-la-Ville</v>
      </c>
      <c r="C60" s="313">
        <f>'B) D RI'!S61</f>
        <v>76</v>
      </c>
      <c r="D60" s="153">
        <f>'B) D RI'!AA61</f>
        <v>478</v>
      </c>
      <c r="E60" s="311">
        <f>'D) Ecrêtage'!C59</f>
        <v>14141.684131434778</v>
      </c>
      <c r="F60" s="315">
        <f>'E) Part. coh. soc.'!G65</f>
        <v>230157.84227581552</v>
      </c>
      <c r="G60" s="312">
        <f>'H) Péréquation directe'!I70</f>
        <v>38869.699642287655</v>
      </c>
      <c r="H60" s="315">
        <f>+'I) Dépenses thématiques'!O59</f>
        <v>-93531.466953269992</v>
      </c>
      <c r="I60" s="312">
        <f>'K) Plafonnement aide'!J59</f>
        <v>0</v>
      </c>
      <c r="J60" s="315">
        <f>'J) Plafonnement effort'!J59</f>
        <v>0</v>
      </c>
      <c r="K60" s="315">
        <f>'L) Plafonnement taux'!Q60</f>
        <v>0</v>
      </c>
      <c r="L60" s="310">
        <f t="shared" si="0"/>
        <v>175496.07496483318</v>
      </c>
      <c r="M60" s="234">
        <f>'M) Police'!O60</f>
        <v>44288.526914968395</v>
      </c>
      <c r="N60" s="234">
        <f t="shared" si="1"/>
        <v>219784.60187980157</v>
      </c>
      <c r="P60" s="317"/>
    </row>
    <row r="61" spans="1:16" s="154" customFormat="1" x14ac:dyDescent="0.25">
      <c r="A61" s="151">
        <f>'B) D RI'!A62</f>
        <v>5492</v>
      </c>
      <c r="B61" s="152" t="str">
        <f>'B) D RI'!B62</f>
        <v>Montricher</v>
      </c>
      <c r="C61" s="313">
        <f>'B) D RI'!S62</f>
        <v>64</v>
      </c>
      <c r="D61" s="153">
        <f>'B) D RI'!AA62</f>
        <v>964</v>
      </c>
      <c r="E61" s="311">
        <f>'D) Ecrêtage'!C60</f>
        <v>189730.40192708332</v>
      </c>
      <c r="F61" s="315">
        <f>'E) Part. coh. soc.'!G66</f>
        <v>7509835.1834885944</v>
      </c>
      <c r="G61" s="312">
        <f>'H) Péréquation directe'!I71</f>
        <v>3606854.0631989897</v>
      </c>
      <c r="H61" s="315">
        <f>+'I) Dépenses thématiques'!O60</f>
        <v>-138714.33836454802</v>
      </c>
      <c r="I61" s="312">
        <f>'K) Plafonnement aide'!J60</f>
        <v>0</v>
      </c>
      <c r="J61" s="315">
        <f>'J) Plafonnement effort'!J60</f>
        <v>-1802943.8158230381</v>
      </c>
      <c r="K61" s="315">
        <f>'L) Plafonnement taux'!Q61</f>
        <v>0</v>
      </c>
      <c r="L61" s="310">
        <f t="shared" ref="L61:L115" si="2">F61+G61+H61+I61+J61+K61</f>
        <v>9175031.0924999975</v>
      </c>
      <c r="M61" s="234">
        <f>'M) Police'!O61</f>
        <v>325893.43790574686</v>
      </c>
      <c r="N61" s="234">
        <f t="shared" si="1"/>
        <v>9500924.5304057449</v>
      </c>
      <c r="P61" s="317"/>
    </row>
    <row r="62" spans="1:16" s="154" customFormat="1" x14ac:dyDescent="0.25">
      <c r="A62" s="151">
        <f>'B) D RI'!A63</f>
        <v>5493</v>
      </c>
      <c r="B62" s="152" t="str">
        <f>'B) D RI'!B63</f>
        <v>Orny</v>
      </c>
      <c r="C62" s="313">
        <f>'B) D RI'!S63</f>
        <v>73</v>
      </c>
      <c r="D62" s="153">
        <f>'B) D RI'!AA63</f>
        <v>416</v>
      </c>
      <c r="E62" s="311">
        <f>'D) Ecrêtage'!C61</f>
        <v>10671.007215907817</v>
      </c>
      <c r="F62" s="315">
        <f>'E) Part. coh. soc.'!G67</f>
        <v>249008.94118633866</v>
      </c>
      <c r="G62" s="312">
        <f>'H) Péréquation directe'!I72</f>
        <v>-20703.804496386962</v>
      </c>
      <c r="H62" s="315">
        <f>+'I) Dépenses thématiques'!O61</f>
        <v>0</v>
      </c>
      <c r="I62" s="312">
        <f>'K) Plafonnement aide'!J61</f>
        <v>0</v>
      </c>
      <c r="J62" s="315">
        <f>'J) Plafonnement effort'!J61</f>
        <v>0</v>
      </c>
      <c r="K62" s="315">
        <f>'L) Plafonnement taux'!Q62</f>
        <v>0</v>
      </c>
      <c r="L62" s="310">
        <f t="shared" si="2"/>
        <v>228305.1366899517</v>
      </c>
      <c r="M62" s="234">
        <f>'M) Police'!O62</f>
        <v>33552.167502357479</v>
      </c>
      <c r="N62" s="234">
        <f t="shared" si="1"/>
        <v>261857.30419230918</v>
      </c>
      <c r="P62" s="317"/>
    </row>
    <row r="63" spans="1:16" s="154" customFormat="1" x14ac:dyDescent="0.25">
      <c r="A63" s="151">
        <f>'B) D RI'!A64</f>
        <v>5494</v>
      </c>
      <c r="B63" s="152" t="str">
        <f>'B) D RI'!B64</f>
        <v>Pampigny</v>
      </c>
      <c r="C63" s="313">
        <f>'B) D RI'!S64</f>
        <v>75</v>
      </c>
      <c r="D63" s="153">
        <f>'B) D RI'!AA64</f>
        <v>1103</v>
      </c>
      <c r="E63" s="311">
        <f>'D) Ecrêtage'!C62</f>
        <v>36967.725840132596</v>
      </c>
      <c r="F63" s="315">
        <f>'E) Part. coh. soc.'!G68</f>
        <v>665664.7737498075</v>
      </c>
      <c r="G63" s="312">
        <f>'H) Péréquation directe'!I73</f>
        <v>258665.5431281192</v>
      </c>
      <c r="H63" s="315">
        <f>+'I) Dépenses thématiques'!O62</f>
        <v>-227442.87086274795</v>
      </c>
      <c r="I63" s="312">
        <f>'K) Plafonnement aide'!J62</f>
        <v>0</v>
      </c>
      <c r="J63" s="315">
        <f>'J) Plafonnement effort'!J62</f>
        <v>0</v>
      </c>
      <c r="K63" s="315">
        <f>'L) Plafonnement taux'!Q63</f>
        <v>0</v>
      </c>
      <c r="L63" s="310">
        <f t="shared" si="2"/>
        <v>696887.44601517869</v>
      </c>
      <c r="M63" s="234">
        <f>'M) Police'!O63</f>
        <v>115722.01928194231</v>
      </c>
      <c r="N63" s="234">
        <f t="shared" si="1"/>
        <v>812609.46529712097</v>
      </c>
      <c r="P63" s="317"/>
    </row>
    <row r="64" spans="1:16" s="154" customFormat="1" x14ac:dyDescent="0.25">
      <c r="A64" s="151">
        <f>'B) D RI'!A65</f>
        <v>5495</v>
      </c>
      <c r="B64" s="152" t="str">
        <f>'B) D RI'!B65</f>
        <v>Penthalaz</v>
      </c>
      <c r="C64" s="313">
        <f>'B) D RI'!S65</f>
        <v>74</v>
      </c>
      <c r="D64" s="153">
        <f>'B) D RI'!AA65</f>
        <v>3257</v>
      </c>
      <c r="E64" s="311">
        <f>'D) Ecrêtage'!C63</f>
        <v>95087.015809528908</v>
      </c>
      <c r="F64" s="315">
        <f>'E) Part. coh. soc.'!G69</f>
        <v>1676158.0051539443</v>
      </c>
      <c r="G64" s="312">
        <f>'H) Péréquation directe'!I74</f>
        <v>-273425.97624401678</v>
      </c>
      <c r="H64" s="315">
        <f>+'I) Dépenses thématiques'!O63</f>
        <v>-557994.38150869706</v>
      </c>
      <c r="I64" s="312">
        <f>'K) Plafonnement aide'!J63</f>
        <v>0</v>
      </c>
      <c r="J64" s="315">
        <f>'J) Plafonnement effort'!J63</f>
        <v>0</v>
      </c>
      <c r="K64" s="315">
        <f>'L) Plafonnement taux'!Q64</f>
        <v>0</v>
      </c>
      <c r="L64" s="310">
        <f t="shared" si="2"/>
        <v>844737.64740123041</v>
      </c>
      <c r="M64" s="234">
        <f>'M) Police'!O64</f>
        <v>297379.65239315911</v>
      </c>
      <c r="N64" s="234">
        <f t="shared" si="1"/>
        <v>1142117.2997943894</v>
      </c>
      <c r="P64" s="317"/>
    </row>
    <row r="65" spans="1:16" s="154" customFormat="1" x14ac:dyDescent="0.25">
      <c r="A65" s="151">
        <f>'B) D RI'!A66</f>
        <v>5496</v>
      </c>
      <c r="B65" s="152" t="str">
        <f>'B) D RI'!B66</f>
        <v>Penthaz</v>
      </c>
      <c r="C65" s="313">
        <f>'B) D RI'!S66</f>
        <v>71</v>
      </c>
      <c r="D65" s="153">
        <f>'B) D RI'!AA66</f>
        <v>1760</v>
      </c>
      <c r="E65" s="311">
        <f>'D) Ecrêtage'!C64</f>
        <v>59337.456966456659</v>
      </c>
      <c r="F65" s="315">
        <f>'E) Part. coh. soc.'!G70</f>
        <v>1127193.7234743854</v>
      </c>
      <c r="G65" s="312">
        <f>'H) Péréquation directe'!I75</f>
        <v>342553.42574857245</v>
      </c>
      <c r="H65" s="315">
        <f>+'I) Dépenses thématiques'!O64</f>
        <v>-251248.39690971226</v>
      </c>
      <c r="I65" s="312">
        <f>'K) Plafonnement aide'!J64</f>
        <v>0</v>
      </c>
      <c r="J65" s="315">
        <f>'J) Plafonnement effort'!J64</f>
        <v>0</v>
      </c>
      <c r="K65" s="315">
        <f>'L) Plafonnement taux'!Q65</f>
        <v>0</v>
      </c>
      <c r="L65" s="310">
        <f t="shared" si="2"/>
        <v>1218498.7523132456</v>
      </c>
      <c r="M65" s="234">
        <f>'M) Police'!O65</f>
        <v>185432.87257959286</v>
      </c>
      <c r="N65" s="234">
        <f t="shared" si="1"/>
        <v>1403931.6248928383</v>
      </c>
      <c r="P65" s="317"/>
    </row>
    <row r="66" spans="1:16" s="154" customFormat="1" x14ac:dyDescent="0.25">
      <c r="A66" s="151">
        <f>'B) D RI'!A67</f>
        <v>5497</v>
      </c>
      <c r="B66" s="152" t="str">
        <f>'B) D RI'!B67</f>
        <v>Pompaples</v>
      </c>
      <c r="C66" s="313">
        <f>'B) D RI'!S67</f>
        <v>66</v>
      </c>
      <c r="D66" s="153">
        <f>'B) D RI'!AA67</f>
        <v>851</v>
      </c>
      <c r="E66" s="311">
        <f>'D) Ecrêtage'!C65</f>
        <v>22672.594290282061</v>
      </c>
      <c r="F66" s="315">
        <f>'E) Part. coh. soc.'!G71</f>
        <v>467955.86007974314</v>
      </c>
      <c r="G66" s="312">
        <f>'H) Péréquation directe'!I76</f>
        <v>55244.281618828478</v>
      </c>
      <c r="H66" s="315">
        <f>+'I) Dépenses thématiques'!O65</f>
        <v>-167123.51898744149</v>
      </c>
      <c r="I66" s="312">
        <f>'K) Plafonnement aide'!J65</f>
        <v>0</v>
      </c>
      <c r="J66" s="315">
        <f>'J) Plafonnement effort'!J65</f>
        <v>0</v>
      </c>
      <c r="K66" s="315">
        <f>'L) Plafonnement taux'!Q66</f>
        <v>0</v>
      </c>
      <c r="L66" s="310">
        <f t="shared" si="2"/>
        <v>356076.62271113013</v>
      </c>
      <c r="M66" s="234">
        <f>'M) Police'!O66</f>
        <v>71189.171256131143</v>
      </c>
      <c r="N66" s="234">
        <f t="shared" si="1"/>
        <v>427265.79396726127</v>
      </c>
      <c r="P66" s="317"/>
    </row>
    <row r="67" spans="1:16" s="154" customFormat="1" x14ac:dyDescent="0.25">
      <c r="A67" s="151">
        <f>'B) D RI'!A68</f>
        <v>5498</v>
      </c>
      <c r="B67" s="152" t="str">
        <f>'B) D RI'!B68</f>
        <v>La Sarraz</v>
      </c>
      <c r="C67" s="313">
        <f>'B) D RI'!S68</f>
        <v>66</v>
      </c>
      <c r="D67" s="153">
        <f>'B) D RI'!AA68</f>
        <v>2651</v>
      </c>
      <c r="E67" s="311">
        <f>'D) Ecrêtage'!C66</f>
        <v>77413.833852725787</v>
      </c>
      <c r="F67" s="315">
        <f>'E) Part. coh. soc.'!G72</f>
        <v>1469048.992898352</v>
      </c>
      <c r="G67" s="312">
        <f>'H) Péréquation directe'!I77</f>
        <v>48766.200075967237</v>
      </c>
      <c r="H67" s="315">
        <f>+'I) Dépenses thématiques'!O66</f>
        <v>-549824.64796363947</v>
      </c>
      <c r="I67" s="312">
        <f>'K) Plafonnement aide'!J66</f>
        <v>0</v>
      </c>
      <c r="J67" s="315">
        <f>'J) Plafonnement effort'!J66</f>
        <v>0</v>
      </c>
      <c r="K67" s="315">
        <f>'L) Plafonnement taux'!Q67</f>
        <v>0</v>
      </c>
      <c r="L67" s="310">
        <f t="shared" si="2"/>
        <v>967990.54501067975</v>
      </c>
      <c r="M67" s="234">
        <f>'M) Police'!O67</f>
        <v>241955.06897321553</v>
      </c>
      <c r="N67" s="234">
        <f t="shared" si="1"/>
        <v>1209945.6139838952</v>
      </c>
      <c r="P67" s="317"/>
    </row>
    <row r="68" spans="1:16" s="154" customFormat="1" x14ac:dyDescent="0.25">
      <c r="A68" s="151">
        <f>'B) D RI'!A69</f>
        <v>5499</v>
      </c>
      <c r="B68" s="152" t="str">
        <f>'B) D RI'!B69</f>
        <v>Senarclens</v>
      </c>
      <c r="C68" s="313">
        <f>'B) D RI'!S69</f>
        <v>68.5</v>
      </c>
      <c r="D68" s="153">
        <f>'B) D RI'!AA69</f>
        <v>477</v>
      </c>
      <c r="E68" s="311">
        <f>'D) Ecrêtage'!C67</f>
        <v>19511.48949637344</v>
      </c>
      <c r="F68" s="315">
        <f>'E) Part. coh. soc.'!G73</f>
        <v>359295.45244904741</v>
      </c>
      <c r="G68" s="312">
        <f>'H) Péréquation directe'!I78</f>
        <v>278416.82803762727</v>
      </c>
      <c r="H68" s="315">
        <f>+'I) Dépenses thématiques'!O67</f>
        <v>0</v>
      </c>
      <c r="I68" s="312">
        <f>'K) Plafonnement aide'!J67</f>
        <v>0</v>
      </c>
      <c r="J68" s="315">
        <f>'J) Plafonnement effort'!J67</f>
        <v>0</v>
      </c>
      <c r="K68" s="315">
        <f>'L) Plafonnement taux'!Q68</f>
        <v>0</v>
      </c>
      <c r="L68" s="310">
        <f t="shared" si="2"/>
        <v>637712.28048667475</v>
      </c>
      <c r="M68" s="234">
        <f>'M) Police'!O68</f>
        <v>61337.616852839899</v>
      </c>
      <c r="N68" s="234">
        <f t="shared" si="1"/>
        <v>699049.89733951469</v>
      </c>
      <c r="P68" s="317"/>
    </row>
    <row r="69" spans="1:16" s="154" customFormat="1" x14ac:dyDescent="0.25">
      <c r="A69" s="151">
        <f>'B) D RI'!A70</f>
        <v>5500</v>
      </c>
      <c r="B69" s="152" t="str">
        <f>'B) D RI'!B70</f>
        <v>Sévery</v>
      </c>
      <c r="C69" s="313">
        <f>'B) D RI'!S70</f>
        <v>75</v>
      </c>
      <c r="D69" s="153">
        <f>'B) D RI'!AA70</f>
        <v>227</v>
      </c>
      <c r="E69" s="311">
        <f>'D) Ecrêtage'!C68</f>
        <v>6989.4068888888896</v>
      </c>
      <c r="F69" s="315">
        <f>'E) Part. coh. soc.'!G74</f>
        <v>123065.842249469</v>
      </c>
      <c r="G69" s="312">
        <f>'H) Péréquation directe'!I79</f>
        <v>32132.444724522007</v>
      </c>
      <c r="H69" s="315">
        <f>+'I) Dépenses thématiques'!O68</f>
        <v>-17292.316414722627</v>
      </c>
      <c r="I69" s="312">
        <f>'K) Plafonnement aide'!J68</f>
        <v>0</v>
      </c>
      <c r="J69" s="315">
        <f>'J) Plafonnement effort'!J68</f>
        <v>0</v>
      </c>
      <c r="K69" s="315">
        <f>'L) Plafonnement taux'!Q69</f>
        <v>0</v>
      </c>
      <c r="L69" s="310">
        <f t="shared" si="2"/>
        <v>137905.9705592684</v>
      </c>
      <c r="M69" s="234">
        <f>'M) Police'!O69</f>
        <v>21829.884021568829</v>
      </c>
      <c r="N69" s="234">
        <f t="shared" si="1"/>
        <v>159735.85458083724</v>
      </c>
      <c r="P69" s="317"/>
    </row>
    <row r="70" spans="1:16" s="154" customFormat="1" x14ac:dyDescent="0.25">
      <c r="A70" s="151">
        <f>'B) D RI'!A71</f>
        <v>5501</v>
      </c>
      <c r="B70" s="152" t="str">
        <f>'B) D RI'!B71</f>
        <v>Sullens</v>
      </c>
      <c r="C70" s="313">
        <f>'B) D RI'!S71</f>
        <v>70</v>
      </c>
      <c r="D70" s="153">
        <f>'B) D RI'!AA71</f>
        <v>1035</v>
      </c>
      <c r="E70" s="311">
        <f>'D) Ecrêtage'!C69</f>
        <v>40420.112388899281</v>
      </c>
      <c r="F70" s="315">
        <f>'E) Part. coh. soc.'!G75</f>
        <v>710146.67958410049</v>
      </c>
      <c r="G70" s="312">
        <f>'H) Péréquation directe'!I80</f>
        <v>517150.18897925341</v>
      </c>
      <c r="H70" s="315">
        <f>+'I) Dépenses thématiques'!O69</f>
        <v>-6090.3810370003184</v>
      </c>
      <c r="I70" s="312">
        <f>'K) Plafonnement aide'!J69</f>
        <v>0</v>
      </c>
      <c r="J70" s="315">
        <f>'J) Plafonnement effort'!J69</f>
        <v>0</v>
      </c>
      <c r="K70" s="315">
        <f>'L) Plafonnement taux'!Q70</f>
        <v>0</v>
      </c>
      <c r="L70" s="310">
        <f t="shared" si="2"/>
        <v>1221206.4875263537</v>
      </c>
      <c r="M70" s="234">
        <f>'M) Police'!O70</f>
        <v>126446.91637093431</v>
      </c>
      <c r="N70" s="234">
        <f t="shared" ref="N70:N133" si="3">L70+M70</f>
        <v>1347653.403897288</v>
      </c>
      <c r="P70" s="317"/>
    </row>
    <row r="71" spans="1:16" s="154" customFormat="1" x14ac:dyDescent="0.25">
      <c r="A71" s="151">
        <f>'B) D RI'!A72</f>
        <v>5503</v>
      </c>
      <c r="B71" s="152" t="str">
        <f>'B) D RI'!B72</f>
        <v>Vufflens-la-Ville</v>
      </c>
      <c r="C71" s="313">
        <f>'B) D RI'!S72</f>
        <v>67</v>
      </c>
      <c r="D71" s="153">
        <f>'B) D RI'!AA72</f>
        <v>1295</v>
      </c>
      <c r="E71" s="311">
        <f>'D) Ecrêtage'!C70</f>
        <v>89557.096460669622</v>
      </c>
      <c r="F71" s="315">
        <f>'E) Part. coh. soc.'!G76</f>
        <v>2104165.4022526066</v>
      </c>
      <c r="G71" s="312">
        <f>'H) Péréquation directe'!I81</f>
        <v>1530284.4836864597</v>
      </c>
      <c r="H71" s="315">
        <f>+'I) Dépenses thématiques'!O70</f>
        <v>0</v>
      </c>
      <c r="I71" s="312">
        <f>'K) Plafonnement aide'!J70</f>
        <v>0</v>
      </c>
      <c r="J71" s="315">
        <f>'J) Plafonnement effort'!J70</f>
        <v>0</v>
      </c>
      <c r="K71" s="315">
        <f>'L) Plafonnement taux'!Q71</f>
        <v>0</v>
      </c>
      <c r="L71" s="310">
        <f t="shared" si="2"/>
        <v>3634449.8859390663</v>
      </c>
      <c r="M71" s="234">
        <f>'M) Police'!O71</f>
        <v>225341.14398482989</v>
      </c>
      <c r="N71" s="234">
        <f t="shared" si="3"/>
        <v>3859791.0299238963</v>
      </c>
      <c r="P71" s="317"/>
    </row>
    <row r="72" spans="1:16" s="154" customFormat="1" x14ac:dyDescent="0.25">
      <c r="A72" s="151">
        <f>'B) D RI'!A73</f>
        <v>5511</v>
      </c>
      <c r="B72" s="152" t="str">
        <f>'B) D RI'!B73</f>
        <v>Assens</v>
      </c>
      <c r="C72" s="313">
        <f>'B) D RI'!S73</f>
        <v>70</v>
      </c>
      <c r="D72" s="153">
        <f>'B) D RI'!AA73</f>
        <v>1074</v>
      </c>
      <c r="E72" s="311">
        <f>'D) Ecrêtage'!C71</f>
        <v>50056.955709388079</v>
      </c>
      <c r="F72" s="315">
        <f>'E) Part. coh. soc.'!G77</f>
        <v>900004.34760993172</v>
      </c>
      <c r="G72" s="312">
        <f>'H) Péréquation directe'!I82</f>
        <v>831896.22581557895</v>
      </c>
      <c r="H72" s="315">
        <f>+'I) Dépenses thématiques'!O71</f>
        <v>-206607.90805239984</v>
      </c>
      <c r="I72" s="312">
        <f>'K) Plafonnement aide'!J71</f>
        <v>0</v>
      </c>
      <c r="J72" s="315">
        <f>'J) Plafonnement effort'!J71</f>
        <v>0</v>
      </c>
      <c r="K72" s="315">
        <f>'L) Plafonnement taux'!Q72</f>
        <v>0</v>
      </c>
      <c r="L72" s="310">
        <f t="shared" si="2"/>
        <v>1525292.6653731109</v>
      </c>
      <c r="M72" s="234">
        <f>'M) Police'!O72</f>
        <v>155764.49274755461</v>
      </c>
      <c r="N72" s="234">
        <f t="shared" si="3"/>
        <v>1681057.1581206655</v>
      </c>
      <c r="P72" s="317"/>
    </row>
    <row r="73" spans="1:16" s="154" customFormat="1" x14ac:dyDescent="0.25">
      <c r="A73" s="151">
        <f>'B) D RI'!A74</f>
        <v>5512</v>
      </c>
      <c r="B73" s="152" t="str">
        <f>'B) D RI'!B74</f>
        <v>Bercher</v>
      </c>
      <c r="C73" s="313">
        <f>'B) D RI'!S74</f>
        <v>79</v>
      </c>
      <c r="D73" s="153">
        <f>'B) D RI'!AA74</f>
        <v>1280</v>
      </c>
      <c r="E73" s="311">
        <f>'D) Ecrêtage'!C72</f>
        <v>40014.173696623147</v>
      </c>
      <c r="F73" s="315">
        <f>'E) Part. coh. soc.'!G78</f>
        <v>701390.54744132201</v>
      </c>
      <c r="G73" s="312">
        <f>'H) Péréquation directe'!I83</f>
        <v>97204.913264964707</v>
      </c>
      <c r="H73" s="315">
        <f>+'I) Dépenses thématiques'!O72</f>
        <v>-228011.83939167304</v>
      </c>
      <c r="I73" s="312">
        <f>'K) Plafonnement aide'!J72</f>
        <v>0</v>
      </c>
      <c r="J73" s="315">
        <f>'J) Plafonnement effort'!J72</f>
        <v>0</v>
      </c>
      <c r="K73" s="315">
        <f>'L) Plafonnement taux'!Q73</f>
        <v>0</v>
      </c>
      <c r="L73" s="310">
        <f t="shared" si="2"/>
        <v>570583.62131461361</v>
      </c>
      <c r="M73" s="234">
        <f>'M) Police'!O73</f>
        <v>124928.4798234211</v>
      </c>
      <c r="N73" s="234">
        <f t="shared" si="3"/>
        <v>695512.10113803472</v>
      </c>
      <c r="P73" s="317"/>
    </row>
    <row r="74" spans="1:16" s="154" customFormat="1" x14ac:dyDescent="0.25">
      <c r="A74" s="151">
        <f>'B) D RI'!A75</f>
        <v>5513</v>
      </c>
      <c r="B74" s="152" t="str">
        <f>'B) D RI'!B75</f>
        <v>Bioley-Orjulaz</v>
      </c>
      <c r="C74" s="313">
        <f>'B) D RI'!S75</f>
        <v>68</v>
      </c>
      <c r="D74" s="153">
        <f>'B) D RI'!AA75</f>
        <v>521</v>
      </c>
      <c r="E74" s="311">
        <f>'D) Ecrêtage'!C73</f>
        <v>21084.156158347432</v>
      </c>
      <c r="F74" s="315">
        <f>'E) Part. coh. soc.'!G79</f>
        <v>386750.71469450428</v>
      </c>
      <c r="G74" s="312">
        <f>'H) Péréquation directe'!I84</f>
        <v>296204.59701711463</v>
      </c>
      <c r="H74" s="315">
        <f>+'I) Dépenses thématiques'!O73</f>
        <v>0</v>
      </c>
      <c r="I74" s="312">
        <f>'K) Plafonnement aide'!J73</f>
        <v>0</v>
      </c>
      <c r="J74" s="315">
        <f>'J) Plafonnement effort'!J73</f>
        <v>0</v>
      </c>
      <c r="K74" s="315">
        <f>'L) Plafonnement taux'!Q74</f>
        <v>0</v>
      </c>
      <c r="L74" s="310">
        <f t="shared" si="2"/>
        <v>682955.31171161891</v>
      </c>
      <c r="M74" s="234">
        <f>'M) Police'!O74</f>
        <v>65580.019865924769</v>
      </c>
      <c r="N74" s="234">
        <f t="shared" si="3"/>
        <v>748535.33157754363</v>
      </c>
      <c r="P74" s="317"/>
    </row>
    <row r="75" spans="1:16" s="154" customFormat="1" x14ac:dyDescent="0.25">
      <c r="A75" s="151">
        <f>'B) D RI'!A76</f>
        <v>5514</v>
      </c>
      <c r="B75" s="152" t="str">
        <f>'B) D RI'!B76</f>
        <v>Bottens</v>
      </c>
      <c r="C75" s="313">
        <f>'B) D RI'!S76</f>
        <v>74</v>
      </c>
      <c r="D75" s="153">
        <f>'B) D RI'!AA76</f>
        <v>1299</v>
      </c>
      <c r="E75" s="311">
        <f>'D) Ecrêtage'!C74</f>
        <v>40808.475827283124</v>
      </c>
      <c r="F75" s="315">
        <f>'E) Part. coh. soc.'!G80</f>
        <v>689001.93126061256</v>
      </c>
      <c r="G75" s="312">
        <f>'H) Péréquation directe'!I85</f>
        <v>161391.01097154082</v>
      </c>
      <c r="H75" s="315">
        <f>+'I) Dépenses thématiques'!O74</f>
        <v>0</v>
      </c>
      <c r="I75" s="312">
        <f>'K) Plafonnement aide'!J74</f>
        <v>0</v>
      </c>
      <c r="J75" s="315">
        <f>'J) Plafonnement effort'!J74</f>
        <v>0</v>
      </c>
      <c r="K75" s="315">
        <f>'L) Plafonnement taux'!Q75</f>
        <v>0</v>
      </c>
      <c r="L75" s="310">
        <f t="shared" si="2"/>
        <v>850392.94223215338</v>
      </c>
      <c r="M75" s="234">
        <f>'M) Police'!O75</f>
        <v>127566.9606107439</v>
      </c>
      <c r="N75" s="234">
        <f t="shared" si="3"/>
        <v>977959.90284289722</v>
      </c>
      <c r="P75" s="317"/>
    </row>
    <row r="76" spans="1:16" s="154" customFormat="1" x14ac:dyDescent="0.25">
      <c r="A76" s="151">
        <f>'B) D RI'!A77</f>
        <v>5515</v>
      </c>
      <c r="B76" s="152" t="str">
        <f>'B) D RI'!B77</f>
        <v>Bretigny-sur-Morrens</v>
      </c>
      <c r="C76" s="313">
        <f>'B) D RI'!S77</f>
        <v>81</v>
      </c>
      <c r="D76" s="153">
        <f>'B) D RI'!AA77</f>
        <v>861</v>
      </c>
      <c r="E76" s="311">
        <f>'D) Ecrêtage'!C75</f>
        <v>28817.325490208266</v>
      </c>
      <c r="F76" s="315">
        <f>'E) Part. coh. soc.'!G81</f>
        <v>538037.52332478319</v>
      </c>
      <c r="G76" s="312">
        <f>'H) Péréquation directe'!I86</f>
        <v>178563.96146322566</v>
      </c>
      <c r="H76" s="315">
        <f>+'I) Dépenses thématiques'!O75</f>
        <v>-57189.04224174218</v>
      </c>
      <c r="I76" s="312">
        <f>'K) Plafonnement aide'!J75</f>
        <v>0</v>
      </c>
      <c r="J76" s="315">
        <f>'J) Plafonnement effort'!J75</f>
        <v>0</v>
      </c>
      <c r="K76" s="315">
        <f>'L) Plafonnement taux'!Q76</f>
        <v>0</v>
      </c>
      <c r="L76" s="310">
        <f t="shared" si="2"/>
        <v>659412.44254626671</v>
      </c>
      <c r="M76" s="234">
        <f>'M) Police'!O76</f>
        <v>90552.404434327749</v>
      </c>
      <c r="N76" s="234">
        <f t="shared" si="3"/>
        <v>749964.84698059445</v>
      </c>
      <c r="P76" s="317"/>
    </row>
    <row r="77" spans="1:16" s="154" customFormat="1" x14ac:dyDescent="0.25">
      <c r="A77" s="151">
        <f>'B) D RI'!A78</f>
        <v>5516</v>
      </c>
      <c r="B77" s="152" t="str">
        <f>'B) D RI'!B78</f>
        <v>Cugy</v>
      </c>
      <c r="C77" s="313">
        <f>'B) D RI'!S78</f>
        <v>78</v>
      </c>
      <c r="D77" s="153">
        <f>'B) D RI'!AA78</f>
        <v>2768</v>
      </c>
      <c r="E77" s="311">
        <f>'D) Ecrêtage'!C76</f>
        <v>110914.83940385764</v>
      </c>
      <c r="F77" s="315">
        <f>'E) Part. coh. soc.'!G82</f>
        <v>1848301.0423102221</v>
      </c>
      <c r="G77" s="312">
        <f>'H) Péréquation directe'!I87</f>
        <v>1037483.9768979009</v>
      </c>
      <c r="H77" s="315">
        <f>+'I) Dépenses thématiques'!O76</f>
        <v>-195167.17935201831</v>
      </c>
      <c r="I77" s="312">
        <f>'K) Plafonnement aide'!J76</f>
        <v>0</v>
      </c>
      <c r="J77" s="315">
        <f>'J) Plafonnement effort'!J76</f>
        <v>0</v>
      </c>
      <c r="K77" s="315">
        <f>'L) Plafonnement taux'!Q77</f>
        <v>0</v>
      </c>
      <c r="L77" s="310">
        <f t="shared" si="2"/>
        <v>2690617.8398561045</v>
      </c>
      <c r="M77" s="234">
        <f>'M) Police'!O77</f>
        <v>348908.79146588023</v>
      </c>
      <c r="N77" s="234">
        <f t="shared" si="3"/>
        <v>3039526.6313219848</v>
      </c>
      <c r="P77" s="317"/>
    </row>
    <row r="78" spans="1:16" s="154" customFormat="1" x14ac:dyDescent="0.25">
      <c r="A78" s="151">
        <f>'B) D RI'!A79</f>
        <v>5518</v>
      </c>
      <c r="B78" s="152" t="str">
        <f>'B) D RI'!B79</f>
        <v>Echallens</v>
      </c>
      <c r="C78" s="313">
        <f>'B) D RI'!S79</f>
        <v>74</v>
      </c>
      <c r="D78" s="153">
        <f>'B) D RI'!AA79</f>
        <v>5725</v>
      </c>
      <c r="E78" s="311">
        <f>'D) Ecrêtage'!C77</f>
        <v>185740.88420378894</v>
      </c>
      <c r="F78" s="315">
        <f>'E) Part. coh. soc.'!G83</f>
        <v>3612461.9584235372</v>
      </c>
      <c r="G78" s="312">
        <f>'H) Péréquation directe'!I88</f>
        <v>-299858.73758981656</v>
      </c>
      <c r="H78" s="315">
        <f>+'I) Dépenses thématiques'!O77</f>
        <v>-988248.32919293584</v>
      </c>
      <c r="I78" s="312">
        <f>'K) Plafonnement aide'!J77</f>
        <v>0</v>
      </c>
      <c r="J78" s="315">
        <f>'J) Plafonnement effort'!J77</f>
        <v>0</v>
      </c>
      <c r="K78" s="315">
        <f>'L) Plafonnement taux'!Q78</f>
        <v>0</v>
      </c>
      <c r="L78" s="310">
        <f t="shared" si="2"/>
        <v>2324354.8916407847</v>
      </c>
      <c r="M78" s="234">
        <f>'M) Police'!O78</f>
        <v>580356.89172089973</v>
      </c>
      <c r="N78" s="234">
        <f t="shared" si="3"/>
        <v>2904711.7833616845</v>
      </c>
      <c r="P78" s="317"/>
    </row>
    <row r="79" spans="1:16" s="154" customFormat="1" x14ac:dyDescent="0.25">
      <c r="A79" s="151">
        <f>'B) D RI'!A80</f>
        <v>5520</v>
      </c>
      <c r="B79" s="152" t="str">
        <f>'B) D RI'!B80</f>
        <v>Essertines-sur-Yverdon</v>
      </c>
      <c r="C79" s="313">
        <f>'B) D RI'!S80</f>
        <v>73</v>
      </c>
      <c r="D79" s="153">
        <f>'B) D RI'!AA80</f>
        <v>1030</v>
      </c>
      <c r="E79" s="311">
        <f>'D) Ecrêtage'!C78</f>
        <v>29832.653259959214</v>
      </c>
      <c r="F79" s="315">
        <f>'E) Part. coh. soc.'!G84</f>
        <v>520414.34192896698</v>
      </c>
      <c r="G79" s="312">
        <f>'H) Péréquation directe'!I89</f>
        <v>80772.046922844776</v>
      </c>
      <c r="H79" s="315">
        <f>+'I) Dépenses thématiques'!O78</f>
        <v>-74165.754973050614</v>
      </c>
      <c r="I79" s="312">
        <f>'K) Plafonnement aide'!J78</f>
        <v>0</v>
      </c>
      <c r="J79" s="315">
        <f>'J) Plafonnement effort'!J78</f>
        <v>0</v>
      </c>
      <c r="K79" s="315">
        <f>'L) Plafonnement taux'!Q79</f>
        <v>0</v>
      </c>
      <c r="L79" s="310">
        <f t="shared" si="2"/>
        <v>527020.6338787612</v>
      </c>
      <c r="M79" s="234">
        <f>'M) Police'!O79</f>
        <v>92925.56341217288</v>
      </c>
      <c r="N79" s="234">
        <f t="shared" si="3"/>
        <v>619946.19729093404</v>
      </c>
      <c r="P79" s="317"/>
    </row>
    <row r="80" spans="1:16" s="154" customFormat="1" x14ac:dyDescent="0.25">
      <c r="A80" s="151">
        <f>'B) D RI'!A81</f>
        <v>5521</v>
      </c>
      <c r="B80" s="152" t="str">
        <f>'B) D RI'!B81</f>
        <v>Etagnières</v>
      </c>
      <c r="C80" s="313">
        <f>'B) D RI'!S81</f>
        <v>73</v>
      </c>
      <c r="D80" s="153">
        <f>'B) D RI'!AA81</f>
        <v>1143</v>
      </c>
      <c r="E80" s="311">
        <f>'D) Ecrêtage'!C79</f>
        <v>48092.453261297029</v>
      </c>
      <c r="F80" s="315">
        <f>'E) Part. coh. soc.'!G85</f>
        <v>869264.90856611717</v>
      </c>
      <c r="G80" s="312">
        <f>'H) Péréquation directe'!I90</f>
        <v>674631.9686010544</v>
      </c>
      <c r="H80" s="315">
        <f>+'I) Dépenses thématiques'!O79</f>
        <v>-7739.7212693917936</v>
      </c>
      <c r="I80" s="312">
        <f>'K) Plafonnement aide'!J79</f>
        <v>0</v>
      </c>
      <c r="J80" s="315">
        <f>'J) Plafonnement effort'!J79</f>
        <v>0</v>
      </c>
      <c r="K80" s="315">
        <f>'L) Plafonnement taux'!Q80</f>
        <v>0</v>
      </c>
      <c r="L80" s="310">
        <f t="shared" si="2"/>
        <v>1536157.1558977799</v>
      </c>
      <c r="M80" s="234">
        <f>'M) Police'!O80</f>
        <v>150743.31274988834</v>
      </c>
      <c r="N80" s="234">
        <f t="shared" si="3"/>
        <v>1686900.4686476681</v>
      </c>
      <c r="P80" s="317"/>
    </row>
    <row r="81" spans="1:16" s="154" customFormat="1" x14ac:dyDescent="0.25">
      <c r="A81" s="151">
        <f>'B) D RI'!A82</f>
        <v>5522</v>
      </c>
      <c r="B81" s="152" t="str">
        <f>'B) D RI'!B82</f>
        <v>Fey</v>
      </c>
      <c r="C81" s="313">
        <f>'B) D RI'!S82</f>
        <v>75</v>
      </c>
      <c r="D81" s="153">
        <f>'B) D RI'!AA82</f>
        <v>751</v>
      </c>
      <c r="E81" s="311">
        <f>'D) Ecrêtage'!C80</f>
        <v>22665.113066666665</v>
      </c>
      <c r="F81" s="315">
        <f>'E) Part. coh. soc.'!G86</f>
        <v>399663.23086185777</v>
      </c>
      <c r="G81" s="312">
        <f>'H) Péréquation directe'!I91</f>
        <v>87116.973338754789</v>
      </c>
      <c r="H81" s="315">
        <f>+'I) Dépenses thématiques'!O80</f>
        <v>-15653.232875420004</v>
      </c>
      <c r="I81" s="312">
        <f>'K) Plafonnement aide'!J80</f>
        <v>0</v>
      </c>
      <c r="J81" s="315">
        <f>'J) Plafonnement effort'!J80</f>
        <v>0</v>
      </c>
      <c r="K81" s="315">
        <f>'L) Plafonnement taux'!Q81</f>
        <v>0</v>
      </c>
      <c r="L81" s="310">
        <f t="shared" si="2"/>
        <v>471126.97132519254</v>
      </c>
      <c r="M81" s="234">
        <f>'M) Police'!O81</f>
        <v>70860.736406921264</v>
      </c>
      <c r="N81" s="234">
        <f t="shared" si="3"/>
        <v>541987.70773211378</v>
      </c>
      <c r="P81" s="317"/>
    </row>
    <row r="82" spans="1:16" s="154" customFormat="1" x14ac:dyDescent="0.25">
      <c r="A82" s="151">
        <f>'B) D RI'!A83</f>
        <v>5523</v>
      </c>
      <c r="B82" s="152" t="str">
        <f>'B) D RI'!B83</f>
        <v>Froideville</v>
      </c>
      <c r="C82" s="313">
        <f>'B) D RI'!S83</f>
        <v>76</v>
      </c>
      <c r="D82" s="153">
        <f>'B) D RI'!AA83</f>
        <v>2638</v>
      </c>
      <c r="E82" s="311">
        <f>'D) Ecrêtage'!C81</f>
        <v>89135.106646646644</v>
      </c>
      <c r="F82" s="315">
        <f>'E) Part. coh. soc.'!G87</f>
        <v>1491572.8523105411</v>
      </c>
      <c r="G82" s="312">
        <f>'H) Péréquation directe'!I92</f>
        <v>314911.0984631069</v>
      </c>
      <c r="H82" s="315">
        <f>+'I) Dépenses thématiques'!O81</f>
        <v>-53517.393951669575</v>
      </c>
      <c r="I82" s="312">
        <f>'K) Plafonnement aide'!J81</f>
        <v>0</v>
      </c>
      <c r="J82" s="315">
        <f>'J) Plafonnement effort'!J81</f>
        <v>0</v>
      </c>
      <c r="K82" s="315">
        <f>'L) Plafonnement taux'!Q82</f>
        <v>0</v>
      </c>
      <c r="L82" s="310">
        <f t="shared" si="2"/>
        <v>1752966.5568219784</v>
      </c>
      <c r="M82" s="234">
        <f>'M) Police'!O82</f>
        <v>278752.44297858595</v>
      </c>
      <c r="N82" s="234">
        <f t="shared" si="3"/>
        <v>2031718.9998005643</v>
      </c>
      <c r="P82" s="317"/>
    </row>
    <row r="83" spans="1:16" s="154" customFormat="1" x14ac:dyDescent="0.25">
      <c r="A83" s="151">
        <f>'B) D RI'!A84</f>
        <v>5527</v>
      </c>
      <c r="B83" s="152" t="str">
        <f>'B) D RI'!B84</f>
        <v>Morrens</v>
      </c>
      <c r="C83" s="313">
        <f>'B) D RI'!S84</f>
        <v>74</v>
      </c>
      <c r="D83" s="153">
        <f>'B) D RI'!AA84</f>
        <v>1126</v>
      </c>
      <c r="E83" s="311">
        <f>'D) Ecrêtage'!C82</f>
        <v>40159.939986831349</v>
      </c>
      <c r="F83" s="315">
        <f>'E) Part. coh. soc.'!G88</f>
        <v>734481.18449082971</v>
      </c>
      <c r="G83" s="312">
        <f>'H) Péréquation directe'!I93</f>
        <v>367543.04819354322</v>
      </c>
      <c r="H83" s="315">
        <f>+'I) Dépenses thématiques'!O82</f>
        <v>0</v>
      </c>
      <c r="I83" s="312">
        <f>'K) Plafonnement aide'!J82</f>
        <v>0</v>
      </c>
      <c r="J83" s="315">
        <f>'J) Plafonnement effort'!J82</f>
        <v>0</v>
      </c>
      <c r="K83" s="315">
        <f>'L) Plafonnement taux'!Q83</f>
        <v>0</v>
      </c>
      <c r="L83" s="310">
        <f t="shared" si="2"/>
        <v>1102024.2326843729</v>
      </c>
      <c r="M83" s="234">
        <f>'M) Police'!O83</f>
        <v>125678.53171108066</v>
      </c>
      <c r="N83" s="234">
        <f t="shared" si="3"/>
        <v>1227702.7643954535</v>
      </c>
      <c r="P83" s="317"/>
    </row>
    <row r="84" spans="1:16" s="154" customFormat="1" x14ac:dyDescent="0.25">
      <c r="A84" s="151">
        <f>'B) D RI'!A85</f>
        <v>5529</v>
      </c>
      <c r="B84" s="152" t="str">
        <f>'B) D RI'!B85</f>
        <v>Oulens-sous-Echallens</v>
      </c>
      <c r="C84" s="313">
        <f>'B) D RI'!S85</f>
        <v>71</v>
      </c>
      <c r="D84" s="153">
        <f>'B) D RI'!AA85</f>
        <v>615</v>
      </c>
      <c r="E84" s="311">
        <f>'D) Ecrêtage'!C83</f>
        <v>21598.779787193034</v>
      </c>
      <c r="F84" s="315">
        <f>'E) Part. coh. soc.'!G89</f>
        <v>370589.39739383408</v>
      </c>
      <c r="G84" s="312">
        <f>'H) Péréquation directe'!I94</f>
        <v>213940.80660672428</v>
      </c>
      <c r="H84" s="315">
        <f>+'I) Dépenses thématiques'!O83</f>
        <v>-52240.409481150848</v>
      </c>
      <c r="I84" s="312">
        <f>'K) Plafonnement aide'!J83</f>
        <v>0</v>
      </c>
      <c r="J84" s="315">
        <f>'J) Plafonnement effort'!J83</f>
        <v>0</v>
      </c>
      <c r="K84" s="315">
        <f>'L) Plafonnement taux'!Q84</f>
        <v>0</v>
      </c>
      <c r="L84" s="310">
        <f t="shared" si="2"/>
        <v>532289.79451940756</v>
      </c>
      <c r="M84" s="234">
        <f>'M) Police'!O84</f>
        <v>67496.741463785613</v>
      </c>
      <c r="N84" s="234">
        <f t="shared" si="3"/>
        <v>599786.5359831932</v>
      </c>
      <c r="P84" s="317"/>
    </row>
    <row r="85" spans="1:16" s="154" customFormat="1" x14ac:dyDescent="0.25">
      <c r="A85" s="151">
        <f>'B) D RI'!A86</f>
        <v>5530</v>
      </c>
      <c r="B85" s="152" t="str">
        <f>'B) D RI'!B86</f>
        <v>Pailly</v>
      </c>
      <c r="C85" s="313">
        <f>'B) D RI'!S86</f>
        <v>77.5</v>
      </c>
      <c r="D85" s="153">
        <f>'B) D RI'!AA86</f>
        <v>563</v>
      </c>
      <c r="E85" s="311">
        <f>'D) Ecrêtage'!C84</f>
        <v>17606.249882733009</v>
      </c>
      <c r="F85" s="315">
        <f>'E) Part. coh. soc.'!G90</f>
        <v>322844.82619769458</v>
      </c>
      <c r="G85" s="312">
        <f>'H) Péréquation directe'!I95</f>
        <v>78567.701209835417</v>
      </c>
      <c r="H85" s="315">
        <f>+'I) Dépenses thématiques'!O84</f>
        <v>-358348.40280175779</v>
      </c>
      <c r="I85" s="312">
        <f>'K) Plafonnement aide'!J84</f>
        <v>0</v>
      </c>
      <c r="J85" s="315">
        <f>'J) Plafonnement effort'!J84</f>
        <v>0</v>
      </c>
      <c r="K85" s="315">
        <f>'L) Plafonnement taux'!Q85</f>
        <v>0</v>
      </c>
      <c r="L85" s="310">
        <f t="shared" si="2"/>
        <v>43064.124605772202</v>
      </c>
      <c r="M85" s="234">
        <f>'M) Police'!O85</f>
        <v>55187.90428713859</v>
      </c>
      <c r="N85" s="234">
        <f t="shared" si="3"/>
        <v>98252.028892910792</v>
      </c>
      <c r="P85" s="317"/>
    </row>
    <row r="86" spans="1:16" s="154" customFormat="1" x14ac:dyDescent="0.25">
      <c r="A86" s="151">
        <f>'B) D RI'!A87</f>
        <v>5531</v>
      </c>
      <c r="B86" s="152" t="str">
        <f>'B) D RI'!B87</f>
        <v>Penthéréaz</v>
      </c>
      <c r="C86" s="313">
        <f>'B) D RI'!S87</f>
        <v>78</v>
      </c>
      <c r="D86" s="153">
        <f>'B) D RI'!AA87</f>
        <v>421</v>
      </c>
      <c r="E86" s="311">
        <f>'D) Ecrêtage'!C85</f>
        <v>14646.364779076894</v>
      </c>
      <c r="F86" s="315">
        <f>'E) Part. coh. soc.'!G91</f>
        <v>231695.31975445751</v>
      </c>
      <c r="G86" s="312">
        <f>'H) Péréquation directe'!I96</f>
        <v>121513.47060345442</v>
      </c>
      <c r="H86" s="315">
        <f>+'I) Dépenses thématiques'!O85</f>
        <v>-63255.486848048102</v>
      </c>
      <c r="I86" s="312">
        <f>'K) Plafonnement aide'!J85</f>
        <v>0</v>
      </c>
      <c r="J86" s="315">
        <f>'J) Plafonnement effort'!J85</f>
        <v>0</v>
      </c>
      <c r="K86" s="315">
        <f>'L) Plafonnement taux'!Q86</f>
        <v>0</v>
      </c>
      <c r="L86" s="310">
        <f t="shared" si="2"/>
        <v>289953.30350986385</v>
      </c>
      <c r="M86" s="234">
        <f>'M) Police'!O86</f>
        <v>46125.948754935511</v>
      </c>
      <c r="N86" s="234">
        <f t="shared" si="3"/>
        <v>336079.25226479938</v>
      </c>
      <c r="P86" s="317"/>
    </row>
    <row r="87" spans="1:16" s="154" customFormat="1" x14ac:dyDescent="0.25">
      <c r="A87" s="151">
        <f>'B) D RI'!A88</f>
        <v>5533</v>
      </c>
      <c r="B87" s="152" t="str">
        <f>'B) D RI'!B88</f>
        <v>Poliez-Pittet</v>
      </c>
      <c r="C87" s="313">
        <f>'B) D RI'!S88</f>
        <v>73</v>
      </c>
      <c r="D87" s="153">
        <f>'B) D RI'!AA88</f>
        <v>829</v>
      </c>
      <c r="E87" s="311">
        <f>'D) Ecrêtage'!C86</f>
        <v>22519.70890410959</v>
      </c>
      <c r="F87" s="315">
        <f>'E) Part. coh. soc.'!G92</f>
        <v>416696.47629704664</v>
      </c>
      <c r="G87" s="312">
        <f>'H) Péréquation directe'!I97</f>
        <v>9792.5475000956212</v>
      </c>
      <c r="H87" s="315">
        <f>+'I) Dépenses thématiques'!O86</f>
        <v>-76859.944922305003</v>
      </c>
      <c r="I87" s="312">
        <f>'K) Plafonnement aide'!J86</f>
        <v>0</v>
      </c>
      <c r="J87" s="315">
        <f>'J) Plafonnement effort'!J86</f>
        <v>0</v>
      </c>
      <c r="K87" s="315">
        <f>'L) Plafonnement taux'!Q87</f>
        <v>0</v>
      </c>
      <c r="L87" s="310">
        <f t="shared" si="2"/>
        <v>349629.07887483726</v>
      </c>
      <c r="M87" s="234">
        <f>'M) Police'!O87</f>
        <v>70165.596697510729</v>
      </c>
      <c r="N87" s="234">
        <f t="shared" si="3"/>
        <v>419794.675572348</v>
      </c>
      <c r="P87" s="317"/>
    </row>
    <row r="88" spans="1:16" s="154" customFormat="1" x14ac:dyDescent="0.25">
      <c r="A88" s="151">
        <f>'B) D RI'!A89</f>
        <v>5534</v>
      </c>
      <c r="B88" s="152" t="str">
        <f>'B) D RI'!B89</f>
        <v>Rueyres</v>
      </c>
      <c r="C88" s="313">
        <f>'B) D RI'!S89</f>
        <v>73</v>
      </c>
      <c r="D88" s="153">
        <f>'B) D RI'!AA89</f>
        <v>265</v>
      </c>
      <c r="E88" s="311">
        <f>'D) Ecrêtage'!C87</f>
        <v>10356.386166784428</v>
      </c>
      <c r="F88" s="315">
        <f>'E) Part. coh. soc.'!G93</f>
        <v>183941.48778114794</v>
      </c>
      <c r="G88" s="312">
        <f>'H) Péréquation directe'!I98</f>
        <v>131614.48787286889</v>
      </c>
      <c r="H88" s="315">
        <f>+'I) Dépenses thématiques'!O87</f>
        <v>-2039.7170509003422</v>
      </c>
      <c r="I88" s="312">
        <f>'K) Plafonnement aide'!J87</f>
        <v>0</v>
      </c>
      <c r="J88" s="315">
        <f>'J) Plafonnement effort'!J87</f>
        <v>0</v>
      </c>
      <c r="K88" s="315">
        <f>'L) Plafonnement taux'!Q88</f>
        <v>0</v>
      </c>
      <c r="L88" s="310">
        <f t="shared" si="2"/>
        <v>313516.2586031165</v>
      </c>
      <c r="M88" s="234">
        <f>'M) Police'!O88</f>
        <v>31839.252215101391</v>
      </c>
      <c r="N88" s="234">
        <f t="shared" si="3"/>
        <v>345355.51081821788</v>
      </c>
      <c r="P88" s="317"/>
    </row>
    <row r="89" spans="1:16" s="154" customFormat="1" x14ac:dyDescent="0.25">
      <c r="A89" s="151">
        <f>'B) D RI'!A90</f>
        <v>5535</v>
      </c>
      <c r="B89" s="152" t="str">
        <f>'B) D RI'!B90</f>
        <v>Saint-Barthélemy</v>
      </c>
      <c r="C89" s="313">
        <f>'B) D RI'!S90</f>
        <v>77</v>
      </c>
      <c r="D89" s="153">
        <f>'B) D RI'!AA90</f>
        <v>791</v>
      </c>
      <c r="E89" s="311">
        <f>'D) Ecrêtage'!C88</f>
        <v>22444.916025525185</v>
      </c>
      <c r="F89" s="315">
        <f>'E) Part. coh. soc.'!G94</f>
        <v>392521.81592681445</v>
      </c>
      <c r="G89" s="312">
        <f>'H) Péréquation directe'!I99</f>
        <v>15275.191226543859</v>
      </c>
      <c r="H89" s="315">
        <f>+'I) Dépenses thématiques'!O88</f>
        <v>-18166.737530559316</v>
      </c>
      <c r="I89" s="312">
        <f>'K) Plafonnement aide'!J88</f>
        <v>0</v>
      </c>
      <c r="J89" s="315">
        <f>'J) Plafonnement effort'!J88</f>
        <v>0</v>
      </c>
      <c r="K89" s="315">
        <f>'L) Plafonnement taux'!Q89</f>
        <v>0</v>
      </c>
      <c r="L89" s="310">
        <f t="shared" si="2"/>
        <v>389630.26962279901</v>
      </c>
      <c r="M89" s="234">
        <f>'M) Police'!O89</f>
        <v>69882.497904955206</v>
      </c>
      <c r="N89" s="234">
        <f t="shared" si="3"/>
        <v>459512.76752775419</v>
      </c>
      <c r="P89" s="317"/>
    </row>
    <row r="90" spans="1:16" s="154" customFormat="1" x14ac:dyDescent="0.25">
      <c r="A90" s="151">
        <f>'B) D RI'!A91</f>
        <v>5537</v>
      </c>
      <c r="B90" s="152" t="str">
        <f>'B) D RI'!B91</f>
        <v>Villars-le-Terroir</v>
      </c>
      <c r="C90" s="313">
        <f>'B) D RI'!S91</f>
        <v>73</v>
      </c>
      <c r="D90" s="153">
        <f>'B) D RI'!AA91</f>
        <v>1228</v>
      </c>
      <c r="E90" s="311">
        <f>'D) Ecrêtage'!C89</f>
        <v>36279.342540673366</v>
      </c>
      <c r="F90" s="315">
        <f>'E) Part. coh. soc.'!G95</f>
        <v>603358.52293535927</v>
      </c>
      <c r="G90" s="312">
        <f>'H) Péréquation directe'!I100</f>
        <v>81794.577000609017</v>
      </c>
      <c r="H90" s="315">
        <f>+'I) Dépenses thématiques'!O89</f>
        <v>-31471.414255976022</v>
      </c>
      <c r="I90" s="312">
        <f>'K) Plafonnement aide'!J89</f>
        <v>0</v>
      </c>
      <c r="J90" s="315">
        <f>'J) Plafonnement effort'!J89</f>
        <v>0</v>
      </c>
      <c r="K90" s="315">
        <f>'L) Plafonnement taux'!Q90</f>
        <v>0</v>
      </c>
      <c r="L90" s="310">
        <f t="shared" si="2"/>
        <v>653681.68567999231</v>
      </c>
      <c r="M90" s="234">
        <f>'M) Police'!O90</f>
        <v>112805.84704384916</v>
      </c>
      <c r="N90" s="234">
        <f t="shared" si="3"/>
        <v>766487.53272384149</v>
      </c>
      <c r="P90" s="317"/>
    </row>
    <row r="91" spans="1:16" s="154" customFormat="1" x14ac:dyDescent="0.25">
      <c r="A91" s="151">
        <f>'B) D RI'!A92</f>
        <v>5539</v>
      </c>
      <c r="B91" s="152" t="str">
        <f>'B) D RI'!B92</f>
        <v>Vuarrens</v>
      </c>
      <c r="C91" s="313">
        <f>'B) D RI'!S92</f>
        <v>75</v>
      </c>
      <c r="D91" s="153">
        <f>'B) D RI'!AA92</f>
        <v>1054</v>
      </c>
      <c r="E91" s="311">
        <f>'D) Ecrêtage'!C90</f>
        <v>30001.761907299908</v>
      </c>
      <c r="F91" s="315">
        <f>'E) Part. coh. soc.'!G96</f>
        <v>563357.84614285314</v>
      </c>
      <c r="G91" s="312">
        <f>'H) Péréquation directe'!I101</f>
        <v>34380.567279013107</v>
      </c>
      <c r="H91" s="315">
        <f>+'I) Dépenses thématiques'!O90</f>
        <v>-21726.515552471912</v>
      </c>
      <c r="I91" s="312">
        <f>'K) Plafonnement aide'!J90</f>
        <v>0</v>
      </c>
      <c r="J91" s="315">
        <f>'J) Plafonnement effort'!J90</f>
        <v>0</v>
      </c>
      <c r="K91" s="315">
        <f>'L) Plafonnement taux'!Q91</f>
        <v>0</v>
      </c>
      <c r="L91" s="310">
        <f t="shared" si="2"/>
        <v>576011.89786939439</v>
      </c>
      <c r="M91" s="234">
        <f>'M) Police'!O91</f>
        <v>93669.607743119326</v>
      </c>
      <c r="N91" s="234">
        <f t="shared" si="3"/>
        <v>669681.50561251375</v>
      </c>
      <c r="P91" s="317"/>
    </row>
    <row r="92" spans="1:16" s="154" customFormat="1" x14ac:dyDescent="0.25">
      <c r="A92" s="151">
        <f>'B) D RI'!A93</f>
        <v>5540</v>
      </c>
      <c r="B92" s="152" t="str">
        <f>'B) D RI'!B93</f>
        <v>Montilliez</v>
      </c>
      <c r="C92" s="313">
        <f>'B) D RI'!S93</f>
        <v>74</v>
      </c>
      <c r="D92" s="153">
        <f>'B) D RI'!AA93</f>
        <v>1819</v>
      </c>
      <c r="E92" s="311">
        <f>'D) Ecrêtage'!C91</f>
        <v>64637.646238645939</v>
      </c>
      <c r="F92" s="315">
        <f>'E) Part. coh. soc.'!G97</f>
        <v>1070001.9036690088</v>
      </c>
      <c r="G92" s="312">
        <f>'H) Péréquation directe'!I102</f>
        <v>444717.88353684626</v>
      </c>
      <c r="H92" s="315">
        <f>+'I) Dépenses thématiques'!O91</f>
        <v>-284369.54785933002</v>
      </c>
      <c r="I92" s="312">
        <f>'K) Plafonnement aide'!J91</f>
        <v>0</v>
      </c>
      <c r="J92" s="315">
        <f>'J) Plafonnement effort'!J91</f>
        <v>0</v>
      </c>
      <c r="K92" s="315">
        <f>'L) Plafonnement taux'!Q92</f>
        <v>0</v>
      </c>
      <c r="L92" s="310">
        <f>F92+G92+H92+I92+J92+K92</f>
        <v>1230350.2393465249</v>
      </c>
      <c r="M92" s="234">
        <f>'M) Police'!O92</f>
        <v>203096.10519111314</v>
      </c>
      <c r="N92" s="234">
        <f t="shared" si="3"/>
        <v>1433446.3445376381</v>
      </c>
      <c r="P92" s="317"/>
    </row>
    <row r="93" spans="1:16" s="154" customFormat="1" x14ac:dyDescent="0.25">
      <c r="A93" s="151">
        <f>'B) D RI'!A94</f>
        <v>5541</v>
      </c>
      <c r="B93" s="152" t="str">
        <f>'B) D RI'!B94</f>
        <v>Goumoëns</v>
      </c>
      <c r="C93" s="313">
        <f>'B) D RI'!S94</f>
        <v>77</v>
      </c>
      <c r="D93" s="153">
        <f>'B) D RI'!AA94</f>
        <v>1140</v>
      </c>
      <c r="E93" s="311">
        <f>'D) Ecrêtage'!C92</f>
        <v>37288.389369533332</v>
      </c>
      <c r="F93" s="315">
        <f>'E) Part. coh. soc.'!G98</f>
        <v>680314.53119509318</v>
      </c>
      <c r="G93" s="312">
        <f>'H) Péréquation directe'!I103</f>
        <v>203084.84143920476</v>
      </c>
      <c r="H93" s="315">
        <f>+'I) Dépenses thématiques'!O92</f>
        <v>-2889.6102783322649</v>
      </c>
      <c r="I93" s="312">
        <f>'K) Plafonnement aide'!J92</f>
        <v>0</v>
      </c>
      <c r="J93" s="315">
        <f>'J) Plafonnement effort'!J92</f>
        <v>0</v>
      </c>
      <c r="K93" s="315">
        <f>'L) Plafonnement taux'!Q93</f>
        <v>0</v>
      </c>
      <c r="L93" s="310">
        <f>F93+G93+H93+I93+J93+K93</f>
        <v>880509.76235596568</v>
      </c>
      <c r="M93" s="234">
        <f>'M) Police'!O93</f>
        <v>117070.82481553093</v>
      </c>
      <c r="N93" s="234">
        <f t="shared" si="3"/>
        <v>997580.58717149659</v>
      </c>
      <c r="P93" s="317"/>
    </row>
    <row r="94" spans="1:16" s="154" customFormat="1" x14ac:dyDescent="0.25">
      <c r="A94" s="151">
        <f>'B) D RI'!A95</f>
        <v>5551</v>
      </c>
      <c r="B94" s="152" t="str">
        <f>'B) D RI'!B95</f>
        <v>Bonvillars</v>
      </c>
      <c r="C94" s="313">
        <f>'B) D RI'!S95</f>
        <v>55</v>
      </c>
      <c r="D94" s="153">
        <f>'B) D RI'!AA95</f>
        <v>490</v>
      </c>
      <c r="E94" s="311">
        <f>'D) Ecrêtage'!C93</f>
        <v>18267.607293736826</v>
      </c>
      <c r="F94" s="315">
        <f>'E) Part. coh. soc.'!G99</f>
        <v>292351.03545096633</v>
      </c>
      <c r="G94" s="312">
        <f>'H) Péréquation directe'!I104</f>
        <v>246345.51918955817</v>
      </c>
      <c r="H94" s="315">
        <f>+'I) Dépenses thématiques'!O93</f>
        <v>-89989.156586672965</v>
      </c>
      <c r="I94" s="312">
        <f>'K) Plafonnement aide'!J93</f>
        <v>0</v>
      </c>
      <c r="J94" s="315">
        <f>'J) Plafonnement effort'!J93</f>
        <v>0</v>
      </c>
      <c r="K94" s="315">
        <f>'L) Plafonnement taux'!Q94</f>
        <v>0</v>
      </c>
      <c r="L94" s="310">
        <f t="shared" si="2"/>
        <v>448707.39805385156</v>
      </c>
      <c r="M94" s="234">
        <f>'M) Police'!O94</f>
        <v>55658.064174805855</v>
      </c>
      <c r="N94" s="234">
        <f t="shared" si="3"/>
        <v>504365.46222865744</v>
      </c>
      <c r="P94" s="317"/>
    </row>
    <row r="95" spans="1:16" s="154" customFormat="1" x14ac:dyDescent="0.25">
      <c r="A95" s="151">
        <f>'B) D RI'!A96</f>
        <v>5552</v>
      </c>
      <c r="B95" s="152" t="str">
        <f>'B) D RI'!B96</f>
        <v>Bullet</v>
      </c>
      <c r="C95" s="313">
        <f>'B) D RI'!S96</f>
        <v>73</v>
      </c>
      <c r="D95" s="153">
        <f>'B) D RI'!AA96</f>
        <v>657</v>
      </c>
      <c r="E95" s="311">
        <f>'D) Ecrêtage'!C94</f>
        <v>18370.265732879256</v>
      </c>
      <c r="F95" s="315">
        <f>'E) Part. coh. soc.'!G100</f>
        <v>348241.21703164652</v>
      </c>
      <c r="G95" s="312">
        <f>'H) Péréquation directe'!I105</f>
        <v>29038.119507240714</v>
      </c>
      <c r="H95" s="315">
        <f>+'I) Dépenses thématiques'!O94</f>
        <v>-204606.9803691656</v>
      </c>
      <c r="I95" s="312">
        <f>'K) Plafonnement aide'!J94</f>
        <v>0</v>
      </c>
      <c r="J95" s="315">
        <f>'J) Plafonnement effort'!J94</f>
        <v>0</v>
      </c>
      <c r="K95" s="315">
        <f>'L) Plafonnement taux'!Q95</f>
        <v>0</v>
      </c>
      <c r="L95" s="310">
        <f t="shared" si="2"/>
        <v>172672.35616972164</v>
      </c>
      <c r="M95" s="234">
        <f>'M) Police'!O95</f>
        <v>57045.879720680561</v>
      </c>
      <c r="N95" s="234">
        <f t="shared" si="3"/>
        <v>229718.2358904022</v>
      </c>
      <c r="P95" s="317"/>
    </row>
    <row r="96" spans="1:16" s="154" customFormat="1" x14ac:dyDescent="0.25">
      <c r="A96" s="151">
        <f>'B) D RI'!A97</f>
        <v>5553</v>
      </c>
      <c r="B96" s="152" t="str">
        <f>'B) D RI'!B97</f>
        <v>Champagne</v>
      </c>
      <c r="C96" s="313">
        <f>'B) D RI'!S97</f>
        <v>65</v>
      </c>
      <c r="D96" s="153">
        <f>'B) D RI'!AA97</f>
        <v>1059</v>
      </c>
      <c r="E96" s="311">
        <f>'D) Ecrêtage'!C95</f>
        <v>37727.892502871691</v>
      </c>
      <c r="F96" s="315">
        <f>'E) Part. coh. soc.'!G101</f>
        <v>687942.51519072067</v>
      </c>
      <c r="G96" s="312">
        <f>'H) Péréquation directe'!I106</f>
        <v>411645.22984411742</v>
      </c>
      <c r="H96" s="315">
        <f>+'I) Dépenses thématiques'!O95</f>
        <v>-173172.6584865709</v>
      </c>
      <c r="I96" s="312">
        <f>'K) Plafonnement aide'!J95</f>
        <v>0</v>
      </c>
      <c r="J96" s="315">
        <f>'J) Plafonnement effort'!J95</f>
        <v>0</v>
      </c>
      <c r="K96" s="315">
        <f>'L) Plafonnement taux'!Q96</f>
        <v>0</v>
      </c>
      <c r="L96" s="310">
        <f t="shared" si="2"/>
        <v>926415.08654826717</v>
      </c>
      <c r="M96" s="234">
        <f>'M) Police'!O96</f>
        <v>116043.16806188499</v>
      </c>
      <c r="N96" s="234">
        <f t="shared" si="3"/>
        <v>1042458.2546101522</v>
      </c>
      <c r="P96" s="317"/>
    </row>
    <row r="97" spans="1:16" s="154" customFormat="1" x14ac:dyDescent="0.25">
      <c r="A97" s="151">
        <f>'B) D RI'!A98</f>
        <v>5554</v>
      </c>
      <c r="B97" s="152" t="str">
        <f>'B) D RI'!B98</f>
        <v>Concise</v>
      </c>
      <c r="C97" s="313">
        <f>'B) D RI'!S98</f>
        <v>75</v>
      </c>
      <c r="D97" s="153">
        <f>'B) D RI'!AA98</f>
        <v>1025</v>
      </c>
      <c r="E97" s="311">
        <f>'D) Ecrêtage'!C96</f>
        <v>33273.512128706279</v>
      </c>
      <c r="F97" s="315">
        <f>'E) Part. coh. soc.'!G102</f>
        <v>695451.36943692435</v>
      </c>
      <c r="G97" s="312">
        <f>'H) Péréquation directe'!I107</f>
        <v>211158.36219888285</v>
      </c>
      <c r="H97" s="315">
        <f>+'I) Dépenses thématiques'!O96</f>
        <v>-147166.17202086144</v>
      </c>
      <c r="I97" s="312">
        <f>'K) Plafonnement aide'!J96</f>
        <v>0</v>
      </c>
      <c r="J97" s="315">
        <f>'J) Plafonnement effort'!J96</f>
        <v>0</v>
      </c>
      <c r="K97" s="315">
        <f>'L) Plafonnement taux'!Q97</f>
        <v>0</v>
      </c>
      <c r="L97" s="310">
        <f t="shared" si="2"/>
        <v>759443.55961494579</v>
      </c>
      <c r="M97" s="234">
        <f>'M) Police'!O97</f>
        <v>104630.11765110394</v>
      </c>
      <c r="N97" s="234">
        <f t="shared" si="3"/>
        <v>864073.67726604966</v>
      </c>
      <c r="P97" s="317"/>
    </row>
    <row r="98" spans="1:16" s="154" customFormat="1" x14ac:dyDescent="0.25">
      <c r="A98" s="151">
        <f>'B) D RI'!A99</f>
        <v>5555</v>
      </c>
      <c r="B98" s="152" t="str">
        <f>'B) D RI'!B99</f>
        <v>Corcelles-près-Concise</v>
      </c>
      <c r="C98" s="313">
        <f>'B) D RI'!S99</f>
        <v>71</v>
      </c>
      <c r="D98" s="153">
        <f>'B) D RI'!AA99</f>
        <v>401</v>
      </c>
      <c r="E98" s="311">
        <f>'D) Ecrêtage'!C97</f>
        <v>13532.861505055624</v>
      </c>
      <c r="F98" s="315">
        <f>'E) Part. coh. soc.'!G103</f>
        <v>253602.35617999925</v>
      </c>
      <c r="G98" s="312">
        <f>'H) Péréquation directe'!I108</f>
        <v>117732.93116379963</v>
      </c>
      <c r="H98" s="315">
        <f>+'I) Dépenses thématiques'!O97</f>
        <v>-108003.16581559685</v>
      </c>
      <c r="I98" s="312">
        <f>'K) Plafonnement aide'!J97</f>
        <v>0</v>
      </c>
      <c r="J98" s="315">
        <f>'J) Plafonnement effort'!J97</f>
        <v>0</v>
      </c>
      <c r="K98" s="315">
        <f>'L) Plafonnement taux'!Q98</f>
        <v>0</v>
      </c>
      <c r="L98" s="310">
        <f t="shared" si="2"/>
        <v>263332.12152820209</v>
      </c>
      <c r="M98" s="234">
        <f>'M) Police'!O98</f>
        <v>41844.658769863352</v>
      </c>
      <c r="N98" s="234">
        <f t="shared" si="3"/>
        <v>305176.78029806545</v>
      </c>
      <c r="P98" s="317"/>
    </row>
    <row r="99" spans="1:16" s="154" customFormat="1" x14ac:dyDescent="0.25">
      <c r="A99" s="151">
        <f>'B) D RI'!A100</f>
        <v>5556</v>
      </c>
      <c r="B99" s="152" t="str">
        <f>'B) D RI'!B100</f>
        <v>Fiez</v>
      </c>
      <c r="C99" s="313">
        <f>'B) D RI'!S100</f>
        <v>69</v>
      </c>
      <c r="D99" s="153">
        <f>'B) D RI'!AA100</f>
        <v>445</v>
      </c>
      <c r="E99" s="311">
        <f>'D) Ecrêtage'!C98</f>
        <v>13065.326581020432</v>
      </c>
      <c r="F99" s="315">
        <f>'E) Part. coh. soc.'!G104</f>
        <v>214904.53217573345</v>
      </c>
      <c r="G99" s="312">
        <f>'H) Péréquation directe'!I109</f>
        <v>61614.379476375354</v>
      </c>
      <c r="H99" s="315">
        <f>+'I) Dépenses thématiques'!O98</f>
        <v>-129498.32930056492</v>
      </c>
      <c r="I99" s="312">
        <f>'K) Plafonnement aide'!J98</f>
        <v>0</v>
      </c>
      <c r="J99" s="315">
        <f>'J) Plafonnement effort'!J98</f>
        <v>0</v>
      </c>
      <c r="K99" s="315">
        <f>'L) Plafonnement taux'!Q99</f>
        <v>0</v>
      </c>
      <c r="L99" s="310">
        <f t="shared" si="2"/>
        <v>147020.58235154385</v>
      </c>
      <c r="M99" s="234">
        <f>'M) Police'!O99</f>
        <v>40795.565803375153</v>
      </c>
      <c r="N99" s="234">
        <f t="shared" si="3"/>
        <v>187816.14815491901</v>
      </c>
      <c r="P99" s="317"/>
    </row>
    <row r="100" spans="1:16" s="154" customFormat="1" x14ac:dyDescent="0.25">
      <c r="A100" s="151">
        <f>'B) D RI'!A101</f>
        <v>5557</v>
      </c>
      <c r="B100" s="152" t="str">
        <f>'B) D RI'!B101</f>
        <v>Fontaines-sur-Grandson</v>
      </c>
      <c r="C100" s="313">
        <f>'B) D RI'!S101</f>
        <v>69</v>
      </c>
      <c r="D100" s="153">
        <f>'B) D RI'!AA101</f>
        <v>215</v>
      </c>
      <c r="E100" s="311">
        <f>'D) Ecrêtage'!C99</f>
        <v>6528.2227757093106</v>
      </c>
      <c r="F100" s="315">
        <f>'E) Part. coh. soc.'!G105</f>
        <v>102280.70490223638</v>
      </c>
      <c r="G100" s="312">
        <f>'H) Péréquation directe'!I110</f>
        <v>38064.068214267783</v>
      </c>
      <c r="H100" s="315">
        <f>+'I) Dépenses thématiques'!O99</f>
        <v>-34794.406700685766</v>
      </c>
      <c r="I100" s="312">
        <f>'K) Plafonnement aide'!J99</f>
        <v>0</v>
      </c>
      <c r="J100" s="315">
        <f>'J) Plafonnement effort'!J99</f>
        <v>0</v>
      </c>
      <c r="K100" s="315">
        <f>'L) Plafonnement taux'!Q100</f>
        <v>0</v>
      </c>
      <c r="L100" s="310">
        <f t="shared" si="2"/>
        <v>105550.3664158184</v>
      </c>
      <c r="M100" s="234">
        <f>'M) Police'!O100</f>
        <v>20338.832818901566</v>
      </c>
      <c r="N100" s="234">
        <f t="shared" si="3"/>
        <v>125889.19923471997</v>
      </c>
      <c r="P100" s="317"/>
    </row>
    <row r="101" spans="1:16" s="154" customFormat="1" x14ac:dyDescent="0.25">
      <c r="A101" s="151">
        <f>'B) D RI'!A102</f>
        <v>5559</v>
      </c>
      <c r="B101" s="152" t="str">
        <f>'B) D RI'!B102</f>
        <v>Giez</v>
      </c>
      <c r="C101" s="313">
        <f>'B) D RI'!S102</f>
        <v>66</v>
      </c>
      <c r="D101" s="153">
        <f>'B) D RI'!AA102</f>
        <v>414</v>
      </c>
      <c r="E101" s="311">
        <f>'D) Ecrêtage'!C100</f>
        <v>20929.407833065721</v>
      </c>
      <c r="F101" s="315">
        <f>'E) Part. coh. soc.'!G106</f>
        <v>386852.95938721136</v>
      </c>
      <c r="G101" s="312">
        <f>'H) Péréquation directe'!I111</f>
        <v>359225.83488842606</v>
      </c>
      <c r="H101" s="315">
        <f>+'I) Dépenses thématiques'!O100</f>
        <v>0</v>
      </c>
      <c r="I101" s="312">
        <f>'K) Plafonnement aide'!J100</f>
        <v>0</v>
      </c>
      <c r="J101" s="315">
        <f>'J) Plafonnement effort'!J100</f>
        <v>0</v>
      </c>
      <c r="K101" s="315">
        <f>'L) Plafonnement taux'!Q101</f>
        <v>0</v>
      </c>
      <c r="L101" s="310">
        <f t="shared" si="2"/>
        <v>746078.79427563748</v>
      </c>
      <c r="M101" s="234">
        <f>'M) Police'!O101</f>
        <v>62142.771880251501</v>
      </c>
      <c r="N101" s="234">
        <f t="shared" si="3"/>
        <v>808221.56615588896</v>
      </c>
      <c r="P101" s="317"/>
    </row>
    <row r="102" spans="1:16" s="154" customFormat="1" x14ac:dyDescent="0.25">
      <c r="A102" s="151">
        <f>'B) D RI'!A103</f>
        <v>5560</v>
      </c>
      <c r="B102" s="152" t="str">
        <f>'B) D RI'!B103</f>
        <v>Grandevent</v>
      </c>
      <c r="C102" s="313">
        <f>'B) D RI'!S103</f>
        <v>68</v>
      </c>
      <c r="D102" s="153">
        <f>'B) D RI'!AA103</f>
        <v>222</v>
      </c>
      <c r="E102" s="311">
        <f>'D) Ecrêtage'!C101</f>
        <v>7416.8272615804444</v>
      </c>
      <c r="F102" s="315">
        <f>'E) Part. coh. soc.'!G107</f>
        <v>127894.05689598151</v>
      </c>
      <c r="G102" s="312">
        <f>'H) Péréquation directe'!I112</f>
        <v>66807.590671441649</v>
      </c>
      <c r="H102" s="315">
        <f>+'I) Dépenses thématiques'!O101</f>
        <v>-9830.2523470617998</v>
      </c>
      <c r="I102" s="312">
        <f>'K) Plafonnement aide'!J101</f>
        <v>0</v>
      </c>
      <c r="J102" s="315">
        <f>'J) Plafonnement effort'!J101</f>
        <v>0</v>
      </c>
      <c r="K102" s="315">
        <f>'L) Plafonnement taux'!Q102</f>
        <v>0</v>
      </c>
      <c r="L102" s="310">
        <f t="shared" si="2"/>
        <v>184871.39522036139</v>
      </c>
      <c r="M102" s="234">
        <f>'M) Police'!O102</f>
        <v>23121.896432300968</v>
      </c>
      <c r="N102" s="234">
        <f t="shared" si="3"/>
        <v>207993.29165266236</v>
      </c>
      <c r="P102" s="317"/>
    </row>
    <row r="103" spans="1:16" s="154" customFormat="1" x14ac:dyDescent="0.25">
      <c r="A103" s="151">
        <f>'B) D RI'!A104</f>
        <v>5561</v>
      </c>
      <c r="B103" s="152" t="str">
        <f>'B) D RI'!B104</f>
        <v>Grandson</v>
      </c>
      <c r="C103" s="313">
        <f>'B) D RI'!S104</f>
        <v>69</v>
      </c>
      <c r="D103" s="153">
        <f>'B) D RI'!AA104</f>
        <v>3340</v>
      </c>
      <c r="E103" s="311">
        <f>'D) Ecrêtage'!C102</f>
        <v>113273.1793379919</v>
      </c>
      <c r="F103" s="315">
        <f>'E) Part. coh. soc.'!G108</f>
        <v>3055056.4575302796</v>
      </c>
      <c r="G103" s="312">
        <f>'H) Péréquation directe'!I113</f>
        <v>466816.86776663223</v>
      </c>
      <c r="H103" s="315">
        <f>+'I) Dépenses thématiques'!O102</f>
        <v>-1030787.6921650404</v>
      </c>
      <c r="I103" s="312">
        <f>'K) Plafonnement aide'!J102</f>
        <v>0</v>
      </c>
      <c r="J103" s="315">
        <f>'J) Plafonnement effort'!J102</f>
        <v>0</v>
      </c>
      <c r="K103" s="315">
        <f>'L) Plafonnement taux'!Q103</f>
        <v>0</v>
      </c>
      <c r="L103" s="310">
        <f t="shared" si="2"/>
        <v>2491085.6331318715</v>
      </c>
      <c r="M103" s="234">
        <f>'M) Police'!O103</f>
        <v>354100.98692301032</v>
      </c>
      <c r="N103" s="234">
        <f t="shared" si="3"/>
        <v>2845186.620054882</v>
      </c>
      <c r="P103" s="317"/>
    </row>
    <row r="104" spans="1:16" s="154" customFormat="1" x14ac:dyDescent="0.25">
      <c r="A104" s="151">
        <f>'B) D RI'!A105</f>
        <v>5562</v>
      </c>
      <c r="B104" s="152" t="str">
        <f>'B) D RI'!B105</f>
        <v>Mauborget</v>
      </c>
      <c r="C104" s="313">
        <f>'B) D RI'!S105</f>
        <v>70</v>
      </c>
      <c r="D104" s="153">
        <f>'B) D RI'!AA105</f>
        <v>120</v>
      </c>
      <c r="E104" s="311">
        <f>'D) Ecrêtage'!C103</f>
        <v>5481.8555000000006</v>
      </c>
      <c r="F104" s="315">
        <f>'E) Part. coh. soc.'!G109</f>
        <v>125660.23414561417</v>
      </c>
      <c r="G104" s="312">
        <f>'H) Péréquation directe'!I114</f>
        <v>91896.676437504226</v>
      </c>
      <c r="H104" s="315">
        <f>+'I) Dépenses thématiques'!O103</f>
        <v>-860.61151121276635</v>
      </c>
      <c r="I104" s="312">
        <f>'K) Plafonnement aide'!J103</f>
        <v>0</v>
      </c>
      <c r="J104" s="315">
        <f>'J) Plafonnement effort'!J103</f>
        <v>0</v>
      </c>
      <c r="K104" s="315">
        <f>'L) Plafonnement taux'!Q104</f>
        <v>0</v>
      </c>
      <c r="L104" s="310">
        <f t="shared" si="2"/>
        <v>216696.29907190561</v>
      </c>
      <c r="M104" s="234">
        <f>'M) Police'!O104</f>
        <v>17093.831306198321</v>
      </c>
      <c r="N104" s="234">
        <f t="shared" si="3"/>
        <v>233790.13037810393</v>
      </c>
      <c r="P104" s="317"/>
    </row>
    <row r="105" spans="1:16" s="154" customFormat="1" x14ac:dyDescent="0.25">
      <c r="A105" s="151">
        <f>'B) D RI'!A106</f>
        <v>5563</v>
      </c>
      <c r="B105" s="152" t="str">
        <f>'B) D RI'!B106</f>
        <v>Mutrux</v>
      </c>
      <c r="C105" s="313">
        <f>'B) D RI'!S106</f>
        <v>80</v>
      </c>
      <c r="D105" s="153">
        <f>'B) D RI'!AA106</f>
        <v>153</v>
      </c>
      <c r="E105" s="311">
        <f>'D) Ecrêtage'!C104</f>
        <v>4024.138375587273</v>
      </c>
      <c r="F105" s="315">
        <f>'E) Part. coh. soc.'!G110</f>
        <v>64074.882262322768</v>
      </c>
      <c r="G105" s="312">
        <f>'H) Péréquation directe'!I115</f>
        <v>-16312.418601900965</v>
      </c>
      <c r="H105" s="315">
        <f>+'I) Dépenses thématiques'!O104</f>
        <v>-28418.618761421003</v>
      </c>
      <c r="I105" s="312">
        <f>'K) Plafonnement aide'!J104</f>
        <v>0</v>
      </c>
      <c r="J105" s="315">
        <f>'J) Plafonnement effort'!J104</f>
        <v>0</v>
      </c>
      <c r="K105" s="315">
        <f>'L) Plafonnement taux'!Q105</f>
        <v>0</v>
      </c>
      <c r="L105" s="310">
        <f t="shared" si="2"/>
        <v>19343.8448990008</v>
      </c>
      <c r="M105" s="234">
        <f>'M) Police'!O105</f>
        <v>12661.526652411125</v>
      </c>
      <c r="N105" s="234">
        <f t="shared" si="3"/>
        <v>32005.371551411925</v>
      </c>
      <c r="P105" s="317"/>
    </row>
    <row r="106" spans="1:16" s="154" customFormat="1" x14ac:dyDescent="0.25">
      <c r="A106" s="151">
        <f>'B) D RI'!A107</f>
        <v>5564</v>
      </c>
      <c r="B106" s="152" t="str">
        <f>'B) D RI'!B107</f>
        <v>Novalles</v>
      </c>
      <c r="C106" s="313">
        <f>'B) D RI'!S107</f>
        <v>76</v>
      </c>
      <c r="D106" s="153">
        <f>'B) D RI'!AA107</f>
        <v>100</v>
      </c>
      <c r="E106" s="311">
        <f>'D) Ecrêtage'!C105</f>
        <v>2262.9000968180799</v>
      </c>
      <c r="F106" s="315">
        <f>'E) Part. coh. soc.'!G111</f>
        <v>34706.831090843472</v>
      </c>
      <c r="G106" s="312">
        <f>'H) Péréquation directe'!I116</f>
        <v>-21399.920066652034</v>
      </c>
      <c r="H106" s="315">
        <f>+'I) Dépenses thématiques'!O105</f>
        <v>-9880.1861299232114</v>
      </c>
      <c r="I106" s="312">
        <f>'K) Plafonnement aide'!J105</f>
        <v>0</v>
      </c>
      <c r="J106" s="315">
        <f>'J) Plafonnement effort'!J105</f>
        <v>0</v>
      </c>
      <c r="K106" s="315">
        <f>'L) Plafonnement taux'!Q106</f>
        <v>0</v>
      </c>
      <c r="L106" s="310">
        <f t="shared" si="2"/>
        <v>3426.7248942682272</v>
      </c>
      <c r="M106" s="234">
        <f>'M) Police'!O106</f>
        <v>7075.3367305182783</v>
      </c>
      <c r="N106" s="234">
        <f t="shared" si="3"/>
        <v>10502.061624786505</v>
      </c>
      <c r="P106" s="317"/>
    </row>
    <row r="107" spans="1:16" s="154" customFormat="1" x14ac:dyDescent="0.25">
      <c r="A107" s="151">
        <f>'B) D RI'!A108</f>
        <v>5565</v>
      </c>
      <c r="B107" s="152" t="str">
        <f>'B) D RI'!B108</f>
        <v>Onnens</v>
      </c>
      <c r="C107" s="313">
        <f>'B) D RI'!S108</f>
        <v>65</v>
      </c>
      <c r="D107" s="153">
        <f>'B) D RI'!AA108</f>
        <v>497</v>
      </c>
      <c r="E107" s="311">
        <f>'D) Ecrêtage'!C106</f>
        <v>18662.496602351366</v>
      </c>
      <c r="F107" s="315">
        <f>'E) Part. coh. soc.'!G112</f>
        <v>376069.61296092864</v>
      </c>
      <c r="G107" s="312">
        <f>'H) Péréquation directe'!I117</f>
        <v>234197.11698914127</v>
      </c>
      <c r="H107" s="315">
        <f>+'I) Dépenses thématiques'!O106</f>
        <v>-60582.404542677337</v>
      </c>
      <c r="I107" s="312">
        <f>'K) Plafonnement aide'!J106</f>
        <v>0</v>
      </c>
      <c r="J107" s="315">
        <f>'J) Plafonnement effort'!J106</f>
        <v>0</v>
      </c>
      <c r="K107" s="315">
        <f>'L) Plafonnement taux'!Q107</f>
        <v>0</v>
      </c>
      <c r="L107" s="310">
        <f t="shared" si="2"/>
        <v>549684.32540739258</v>
      </c>
      <c r="M107" s="234">
        <f>'M) Police'!O107</f>
        <v>56645.496983579418</v>
      </c>
      <c r="N107" s="234">
        <f t="shared" si="3"/>
        <v>606329.82239097194</v>
      </c>
      <c r="P107" s="317"/>
    </row>
    <row r="108" spans="1:16" s="154" customFormat="1" x14ac:dyDescent="0.25">
      <c r="A108" s="151">
        <f>'B) D RI'!A109</f>
        <v>5566</v>
      </c>
      <c r="B108" s="152" t="str">
        <f>'B) D RI'!B109</f>
        <v>Provence</v>
      </c>
      <c r="C108" s="313">
        <f>'B) D RI'!S109</f>
        <v>81</v>
      </c>
      <c r="D108" s="153">
        <f>'B) D RI'!AA109</f>
        <v>379</v>
      </c>
      <c r="E108" s="311">
        <f>'D) Ecrêtage'!C107</f>
        <v>8507.523402669327</v>
      </c>
      <c r="F108" s="315">
        <f>'E) Part. coh. soc.'!G113</f>
        <v>174244.16487126285</v>
      </c>
      <c r="G108" s="312">
        <f>'H) Péréquation directe'!I118</f>
        <v>-111697.16585129147</v>
      </c>
      <c r="H108" s="315">
        <f>+'I) Dépenses thématiques'!O107</f>
        <v>-211569.23311495935</v>
      </c>
      <c r="I108" s="312">
        <f>'K) Plafonnement aide'!J107</f>
        <v>0</v>
      </c>
      <c r="J108" s="315">
        <f>'J) Plafonnement effort'!J107</f>
        <v>0</v>
      </c>
      <c r="K108" s="315">
        <f>'L) Plafonnement taux'!Q108</f>
        <v>0</v>
      </c>
      <c r="L108" s="310">
        <f t="shared" si="2"/>
        <v>-149022.23409498797</v>
      </c>
      <c r="M108" s="234">
        <f>'M) Police'!O108</f>
        <v>26550.24065864797</v>
      </c>
      <c r="N108" s="234">
        <f t="shared" si="3"/>
        <v>-122471.99343634001</v>
      </c>
      <c r="P108" s="317"/>
    </row>
    <row r="109" spans="1:16" s="154" customFormat="1" x14ac:dyDescent="0.25">
      <c r="A109" s="151">
        <f>'B) D RI'!A110</f>
        <v>5568</v>
      </c>
      <c r="B109" s="152" t="str">
        <f>'B) D RI'!B110</f>
        <v>Sainte-Croix</v>
      </c>
      <c r="C109" s="313">
        <f>'B) D RI'!S110</f>
        <v>70</v>
      </c>
      <c r="D109" s="153">
        <f>'B) D RI'!AA110</f>
        <v>4888</v>
      </c>
      <c r="E109" s="311">
        <f>'D) Ecrêtage'!C108</f>
        <v>109442.50057575936</v>
      </c>
      <c r="F109" s="315">
        <f>'E) Part. coh. soc.'!G114</f>
        <v>2737880.3515944583</v>
      </c>
      <c r="G109" s="312">
        <f>'H) Péréquation directe'!I119</f>
        <v>-1860275.210625235</v>
      </c>
      <c r="H109" s="315">
        <f>+'I) Dépenses thématiques'!O108</f>
        <v>-1307680.075528211</v>
      </c>
      <c r="I109" s="312">
        <f>'K) Plafonnement aide'!J108</f>
        <v>0</v>
      </c>
      <c r="J109" s="315">
        <f>'J) Plafonnement effort'!J108</f>
        <v>0</v>
      </c>
      <c r="K109" s="315">
        <f>'L) Plafonnement taux'!Q109</f>
        <v>0</v>
      </c>
      <c r="L109" s="310">
        <f t="shared" si="2"/>
        <v>-430074.93455898762</v>
      </c>
      <c r="M109" s="234">
        <f>'M) Police'!O109</f>
        <v>340914.08669274906</v>
      </c>
      <c r="N109" s="234">
        <f t="shared" si="3"/>
        <v>-89160.847866238561</v>
      </c>
      <c r="P109" s="317"/>
    </row>
    <row r="110" spans="1:16" s="154" customFormat="1" x14ac:dyDescent="0.25">
      <c r="A110" s="151">
        <f>'B) D RI'!A111</f>
        <v>5571</v>
      </c>
      <c r="B110" s="152" t="str">
        <f>'B) D RI'!B111</f>
        <v>Tévenon</v>
      </c>
      <c r="C110" s="313">
        <f>'B) D RI'!S111</f>
        <v>73</v>
      </c>
      <c r="D110" s="153">
        <f>'B) D RI'!AA111</f>
        <v>896</v>
      </c>
      <c r="E110" s="311">
        <f>'D) Ecrêtage'!C109</f>
        <v>24814.739648311806</v>
      </c>
      <c r="F110" s="315">
        <f>'E) Part. coh. soc.'!G115</f>
        <v>450118.74495583097</v>
      </c>
      <c r="G110" s="312">
        <f>'H) Péréquation directe'!I120</f>
        <v>29910.689833029639</v>
      </c>
      <c r="H110" s="315">
        <f>+'I) Dépenses thématiques'!O109</f>
        <v>-118213.39196027258</v>
      </c>
      <c r="I110" s="312">
        <f>'K) Plafonnement aide'!J109</f>
        <v>0</v>
      </c>
      <c r="J110" s="315">
        <f>'J) Plafonnement effort'!J109</f>
        <v>0</v>
      </c>
      <c r="K110" s="315">
        <f>'L) Plafonnement taux'!Q110</f>
        <v>0</v>
      </c>
      <c r="L110" s="310">
        <f t="shared" si="2"/>
        <v>361816.04282858805</v>
      </c>
      <c r="M110" s="234">
        <f>'M) Police'!O110</f>
        <v>76803.428242151334</v>
      </c>
      <c r="N110" s="234">
        <f t="shared" si="3"/>
        <v>438619.47107073938</v>
      </c>
      <c r="P110" s="317"/>
    </row>
    <row r="111" spans="1:16" s="154" customFormat="1" x14ac:dyDescent="0.25">
      <c r="A111" s="151">
        <f>'B) D RI'!A112</f>
        <v>5581</v>
      </c>
      <c r="B111" s="152" t="str">
        <f>'B) D RI'!B112</f>
        <v>Belmont-sur-Lausanne</v>
      </c>
      <c r="C111" s="313">
        <f>'B) D RI'!S112</f>
        <v>72</v>
      </c>
      <c r="D111" s="153">
        <f>'B) D RI'!AA112</f>
        <v>3773</v>
      </c>
      <c r="E111" s="311">
        <f>'D) Ecrêtage'!C110</f>
        <v>187390.297037037</v>
      </c>
      <c r="F111" s="315">
        <f>'E) Part. coh. soc.'!G116</f>
        <v>3442571.2929367595</v>
      </c>
      <c r="G111" s="312">
        <f>'H) Péréquation directe'!I121</f>
        <v>2464386.0617742827</v>
      </c>
      <c r="H111" s="315">
        <f>+'I) Dépenses thématiques'!O110</f>
        <v>-993344.13859942544</v>
      </c>
      <c r="I111" s="312">
        <f>'K) Plafonnement aide'!J110</f>
        <v>0</v>
      </c>
      <c r="J111" s="315">
        <f>'J) Plafonnement effort'!J110</f>
        <v>0</v>
      </c>
      <c r="K111" s="315">
        <f>'L) Plafonnement taux'!Q111</f>
        <v>0</v>
      </c>
      <c r="L111" s="310">
        <f t="shared" si="2"/>
        <v>4913613.2161116172</v>
      </c>
      <c r="M111" s="234">
        <f>'M) Police'!O111</f>
        <v>240814.73170357899</v>
      </c>
      <c r="N111" s="234">
        <f t="shared" si="3"/>
        <v>5154427.9478151966</v>
      </c>
      <c r="P111" s="317"/>
    </row>
    <row r="112" spans="1:16" s="154" customFormat="1" x14ac:dyDescent="0.25">
      <c r="A112" s="151">
        <f>'B) D RI'!A113</f>
        <v>5582</v>
      </c>
      <c r="B112" s="152" t="str">
        <f>'B) D RI'!B113</f>
        <v>Cheseaux-sur-Lausanne</v>
      </c>
      <c r="C112" s="313">
        <f>'B) D RI'!S113</f>
        <v>74.5</v>
      </c>
      <c r="D112" s="153">
        <f>'B) D RI'!AA113</f>
        <v>4339</v>
      </c>
      <c r="E112" s="311">
        <f>'D) Ecrêtage'!C111</f>
        <v>165596.20409124478</v>
      </c>
      <c r="F112" s="315">
        <f>'E) Part. coh. soc.'!G117</f>
        <v>3145727.1267413516</v>
      </c>
      <c r="G112" s="312">
        <f>'H) Péréquation directe'!I122</f>
        <v>1006646.3341861521</v>
      </c>
      <c r="H112" s="315">
        <f>+'I) Dépenses thématiques'!O111</f>
        <v>-354181.72623905243</v>
      </c>
      <c r="I112" s="312">
        <f>'K) Plafonnement aide'!J111</f>
        <v>0</v>
      </c>
      <c r="J112" s="315">
        <f>'J) Plafonnement effort'!J111</f>
        <v>0</v>
      </c>
      <c r="K112" s="315">
        <f>'L) Plafonnement taux'!Q112</f>
        <v>0</v>
      </c>
      <c r="L112" s="310">
        <f t="shared" si="2"/>
        <v>3798191.734688451</v>
      </c>
      <c r="M112" s="234">
        <f>'M) Police'!O112</f>
        <v>518846.92782499746</v>
      </c>
      <c r="N112" s="234">
        <f t="shared" si="3"/>
        <v>4317038.6625134489</v>
      </c>
      <c r="P112" s="317"/>
    </row>
    <row r="113" spans="1:16" s="154" customFormat="1" x14ac:dyDescent="0.25">
      <c r="A113" s="151">
        <f>'B) D RI'!A114</f>
        <v>5583</v>
      </c>
      <c r="B113" s="152" t="str">
        <f>'B) D RI'!B114</f>
        <v>Crissier</v>
      </c>
      <c r="C113" s="313">
        <f>'B) D RI'!S114</f>
        <v>65</v>
      </c>
      <c r="D113" s="153">
        <f>'B) D RI'!AA114</f>
        <v>7944</v>
      </c>
      <c r="E113" s="311">
        <f>'D) Ecrêtage'!C112</f>
        <v>307386.12106978399</v>
      </c>
      <c r="F113" s="315">
        <f>'E) Part. coh. soc.'!G118</f>
        <v>6153930.8445186354</v>
      </c>
      <c r="G113" s="312">
        <f>'H) Péréquation directe'!I123</f>
        <v>1462032.6932333922</v>
      </c>
      <c r="H113" s="315">
        <f>+'I) Dépenses thématiques'!O112</f>
        <v>-2350500.6935094045</v>
      </c>
      <c r="I113" s="312">
        <f>'K) Plafonnement aide'!J112</f>
        <v>0</v>
      </c>
      <c r="J113" s="315">
        <f>'J) Plafonnement effort'!J112</f>
        <v>0</v>
      </c>
      <c r="K113" s="315">
        <f>'L) Plafonnement taux'!Q113</f>
        <v>0</v>
      </c>
      <c r="L113" s="310">
        <f t="shared" si="2"/>
        <v>5265462.8442426231</v>
      </c>
      <c r="M113" s="234">
        <f>'M) Police'!O113</f>
        <v>395021.02000613982</v>
      </c>
      <c r="N113" s="234">
        <f t="shared" si="3"/>
        <v>5660483.8642487628</v>
      </c>
      <c r="P113" s="317"/>
    </row>
    <row r="114" spans="1:16" s="154" customFormat="1" x14ac:dyDescent="0.25">
      <c r="A114" s="151">
        <f>'B) D RI'!A115</f>
        <v>5584</v>
      </c>
      <c r="B114" s="152" t="str">
        <f>'B) D RI'!B115</f>
        <v>Epalinges</v>
      </c>
      <c r="C114" s="313">
        <f>'B) D RI'!S115</f>
        <v>66</v>
      </c>
      <c r="D114" s="153">
        <f>'B) D RI'!AA115</f>
        <v>9701</v>
      </c>
      <c r="E114" s="311">
        <f>'D) Ecrêtage'!C113</f>
        <v>474209.93693948264</v>
      </c>
      <c r="F114" s="315">
        <f>'E) Part. coh. soc.'!G119</f>
        <v>8858440.4903187305</v>
      </c>
      <c r="G114" s="312">
        <f>'H) Péréquation directe'!I124</f>
        <v>4472520.1659166291</v>
      </c>
      <c r="H114" s="315">
        <f>+'I) Dépenses thématiques'!O113</f>
        <v>-3513823.9148549209</v>
      </c>
      <c r="I114" s="312">
        <f>'K) Plafonnement aide'!J113</f>
        <v>0</v>
      </c>
      <c r="J114" s="315">
        <f>'J) Plafonnement effort'!J113</f>
        <v>0</v>
      </c>
      <c r="K114" s="315">
        <f>'L) Plafonnement taux'!Q114</f>
        <v>0</v>
      </c>
      <c r="L114" s="310">
        <f t="shared" si="2"/>
        <v>9817136.7413804382</v>
      </c>
      <c r="M114" s="234">
        <f>'M) Police'!O114</f>
        <v>1435313.5848349724</v>
      </c>
      <c r="N114" s="234">
        <f t="shared" si="3"/>
        <v>11252450.326215411</v>
      </c>
      <c r="P114" s="317"/>
    </row>
    <row r="115" spans="1:16" s="154" customFormat="1" x14ac:dyDescent="0.25">
      <c r="A115" s="151">
        <f>'B) D RI'!A116</f>
        <v>5585</v>
      </c>
      <c r="B115" s="152" t="str">
        <f>'B) D RI'!B116</f>
        <v>Jouxtens-Mézery</v>
      </c>
      <c r="C115" s="313">
        <f>'B) D RI'!S116</f>
        <v>59</v>
      </c>
      <c r="D115" s="153">
        <f>'B) D RI'!AA116</f>
        <v>1423</v>
      </c>
      <c r="E115" s="311">
        <f>'D) Ecrêtage'!C114</f>
        <v>229667.26461667338</v>
      </c>
      <c r="F115" s="315">
        <f>'E) Part. coh. soc.'!G120</f>
        <v>8125139.7971763806</v>
      </c>
      <c r="G115" s="312">
        <f>'H) Péréquation directe'!I125</f>
        <v>4238245.0800482836</v>
      </c>
      <c r="H115" s="315">
        <f>+'I) Dépenses thématiques'!O114</f>
        <v>0</v>
      </c>
      <c r="I115" s="312">
        <f>'K) Plafonnement aide'!J114</f>
        <v>0</v>
      </c>
      <c r="J115" s="315">
        <f>'J) Plafonnement effort'!J114</f>
        <v>-1119704.8956243426</v>
      </c>
      <c r="K115" s="315">
        <f>'L) Plafonnement taux'!Q115</f>
        <v>0</v>
      </c>
      <c r="L115" s="310">
        <f t="shared" si="2"/>
        <v>11243679.981600322</v>
      </c>
      <c r="M115" s="234">
        <f>'M) Police'!O115</f>
        <v>416293.77122600016</v>
      </c>
      <c r="N115" s="234">
        <f t="shared" si="3"/>
        <v>11659973.752826322</v>
      </c>
      <c r="P115" s="317"/>
    </row>
    <row r="116" spans="1:16" s="154" customFormat="1" x14ac:dyDescent="0.25">
      <c r="A116" s="151">
        <f>'B) D RI'!A117</f>
        <v>5586</v>
      </c>
      <c r="B116" s="152" t="str">
        <f>'B) D RI'!B117</f>
        <v>Lausanne</v>
      </c>
      <c r="C116" s="313">
        <f>'B) D RI'!S117</f>
        <v>79</v>
      </c>
      <c r="D116" s="153">
        <f>'B) D RI'!AA117</f>
        <v>139726</v>
      </c>
      <c r="E116" s="311">
        <f>'D) Ecrêtage'!C115</f>
        <v>5921149.2978412546</v>
      </c>
      <c r="F116" s="315">
        <f>'E) Part. coh. soc.'!G121</f>
        <v>110999482.16580413</v>
      </c>
      <c r="G116" s="312">
        <f>'H) Péréquation directe'!I126</f>
        <v>-37578905.142111495</v>
      </c>
      <c r="H116" s="315">
        <f>+'I) Dépenses thématiques'!O115</f>
        <v>-56644979.235838428</v>
      </c>
      <c r="I116" s="312">
        <f>'K) Plafonnement aide'!J115</f>
        <v>0</v>
      </c>
      <c r="J116" s="315">
        <f>'J) Plafonnement effort'!J115</f>
        <v>0</v>
      </c>
      <c r="K116" s="315">
        <f>'L) Plafonnement taux'!Q116</f>
        <v>0</v>
      </c>
      <c r="L116" s="310">
        <f t="shared" ref="L116:L166" si="4">F116+G116+H116+I116+J116+K116</f>
        <v>16775597.78785421</v>
      </c>
      <c r="M116" s="234">
        <f>'M) Police'!O116</f>
        <v>7609251.9307691418</v>
      </c>
      <c r="N116" s="234">
        <f t="shared" si="3"/>
        <v>24384849.718623351</v>
      </c>
      <c r="P116" s="317"/>
    </row>
    <row r="117" spans="1:16" s="154" customFormat="1" x14ac:dyDescent="0.25">
      <c r="A117" s="151">
        <f>'B) D RI'!A118</f>
        <v>5587</v>
      </c>
      <c r="B117" s="152" t="str">
        <f>'B) D RI'!B118</f>
        <v>Le Mont-sur-Lausanne</v>
      </c>
      <c r="C117" s="313">
        <f>'B) D RI'!S118</f>
        <v>75</v>
      </c>
      <c r="D117" s="153">
        <f>'B) D RI'!AA118</f>
        <v>8991</v>
      </c>
      <c r="E117" s="311">
        <f>'D) Ecrêtage'!C116</f>
        <v>435325.60080081096</v>
      </c>
      <c r="F117" s="315">
        <f>'E) Part. coh. soc.'!G122</f>
        <v>7924595.189131137</v>
      </c>
      <c r="G117" s="312">
        <f>'H) Péréquation directe'!I127</f>
        <v>4312766.9944574879</v>
      </c>
      <c r="H117" s="315">
        <f>+'I) Dépenses thématiques'!O116</f>
        <v>-2502434.0015851026</v>
      </c>
      <c r="I117" s="312">
        <f>'K) Plafonnement aide'!J116</f>
        <v>0</v>
      </c>
      <c r="J117" s="315">
        <f>'J) Plafonnement effort'!J116</f>
        <v>0</v>
      </c>
      <c r="K117" s="315">
        <f>'L) Plafonnement taux'!Q117</f>
        <v>0</v>
      </c>
      <c r="L117" s="310">
        <f t="shared" si="4"/>
        <v>9734928.1820035204</v>
      </c>
      <c r="M117" s="234">
        <f>'M) Police'!O117</f>
        <v>1324896.6257945597</v>
      </c>
      <c r="N117" s="234">
        <f t="shared" si="3"/>
        <v>11059824.80779808</v>
      </c>
      <c r="P117" s="317"/>
    </row>
    <row r="118" spans="1:16" s="154" customFormat="1" x14ac:dyDescent="0.25">
      <c r="A118" s="151">
        <f>'B) D RI'!A119</f>
        <v>5588</v>
      </c>
      <c r="B118" s="152" t="str">
        <f>'B) D RI'!B119</f>
        <v>Paudex</v>
      </c>
      <c r="C118" s="313">
        <f>'B) D RI'!S119</f>
        <v>68</v>
      </c>
      <c r="D118" s="153">
        <f>'B) D RI'!AA119</f>
        <v>1532</v>
      </c>
      <c r="E118" s="311">
        <f>'D) Ecrêtage'!C117</f>
        <v>133190.693055262</v>
      </c>
      <c r="F118" s="315">
        <f>'E) Part. coh. soc.'!G123</f>
        <v>3497221.8336182917</v>
      </c>
      <c r="G118" s="312">
        <f>'H) Péréquation directe'!I128</f>
        <v>2304261.7033556635</v>
      </c>
      <c r="H118" s="315">
        <f>+'I) Dépenses thématiques'!O117</f>
        <v>0</v>
      </c>
      <c r="I118" s="312">
        <f>'K) Plafonnement aide'!J117</f>
        <v>0</v>
      </c>
      <c r="J118" s="315">
        <f>'J) Plafonnement effort'!J117</f>
        <v>0</v>
      </c>
      <c r="K118" s="315">
        <f>'L) Plafonnement taux'!Q118</f>
        <v>0</v>
      </c>
      <c r="L118" s="310">
        <f t="shared" si="4"/>
        <v>5801483.5369739551</v>
      </c>
      <c r="M118" s="234">
        <f>'M) Police'!O118</f>
        <v>171162.97652902111</v>
      </c>
      <c r="N118" s="234">
        <f t="shared" si="3"/>
        <v>5972646.5135029759</v>
      </c>
      <c r="P118" s="317"/>
    </row>
    <row r="119" spans="1:16" s="154" customFormat="1" x14ac:dyDescent="0.25">
      <c r="A119" s="151">
        <f>'B) D RI'!A120</f>
        <v>5589</v>
      </c>
      <c r="B119" s="152" t="str">
        <f>'B) D RI'!B120</f>
        <v>Prilly</v>
      </c>
      <c r="C119" s="313">
        <f>'B) D RI'!S120</f>
        <v>73.5</v>
      </c>
      <c r="D119" s="153">
        <f>'B) D RI'!AA120</f>
        <v>12423</v>
      </c>
      <c r="E119" s="311">
        <f>'D) Ecrêtage'!C118</f>
        <v>406505.26778654603</v>
      </c>
      <c r="F119" s="315">
        <f>'E) Part. coh. soc.'!G124</f>
        <v>7323931.4910125881</v>
      </c>
      <c r="G119" s="312">
        <f>'H) Péréquation directe'!I129</f>
        <v>-2765468.9846022306</v>
      </c>
      <c r="H119" s="315">
        <f>+'I) Dépenses thématiques'!O118</f>
        <v>-2804058.5239838469</v>
      </c>
      <c r="I119" s="312">
        <f>'K) Plafonnement aide'!J118</f>
        <v>0</v>
      </c>
      <c r="J119" s="315">
        <f>'J) Plafonnement effort'!J118</f>
        <v>0</v>
      </c>
      <c r="K119" s="315">
        <f>'L) Plafonnement taux'!Q119</f>
        <v>0</v>
      </c>
      <c r="L119" s="310">
        <f t="shared" si="4"/>
        <v>1754403.9824265107</v>
      </c>
      <c r="M119" s="234">
        <f>'M) Police'!O119</f>
        <v>522398.75034063542</v>
      </c>
      <c r="N119" s="234">
        <f t="shared" si="3"/>
        <v>2276802.7327671461</v>
      </c>
      <c r="P119" s="317"/>
    </row>
    <row r="120" spans="1:16" s="154" customFormat="1" x14ac:dyDescent="0.25">
      <c r="A120" s="151">
        <f>'B) D RI'!A121</f>
        <v>5590</v>
      </c>
      <c r="B120" s="152" t="str">
        <f>'B) D RI'!B121</f>
        <v>Pully</v>
      </c>
      <c r="C120" s="313">
        <f>'B) D RI'!S121</f>
        <v>61</v>
      </c>
      <c r="D120" s="153">
        <f>'B) D RI'!AA121</f>
        <v>18495</v>
      </c>
      <c r="E120" s="311">
        <f>'D) Ecrêtage'!C119</f>
        <v>1525137.1517209217</v>
      </c>
      <c r="F120" s="315">
        <f>'E) Part. coh. soc.'!G125</f>
        <v>41210205.702481292</v>
      </c>
      <c r="G120" s="312">
        <f>'H) Péréquation directe'!I130</f>
        <v>16454618.610396573</v>
      </c>
      <c r="H120" s="315">
        <f>+'I) Dépenses thématiques'!O119</f>
        <v>-2063692.9004490846</v>
      </c>
      <c r="I120" s="312">
        <f>'K) Plafonnement aide'!J119</f>
        <v>0</v>
      </c>
      <c r="J120" s="315">
        <f>'J) Plafonnement effort'!J119</f>
        <v>0</v>
      </c>
      <c r="K120" s="315">
        <f>'L) Plafonnement taux'!Q120</f>
        <v>0</v>
      </c>
      <c r="L120" s="310">
        <f t="shared" si="4"/>
        <v>55601131.412428781</v>
      </c>
      <c r="M120" s="234">
        <f>'M) Police'!O120</f>
        <v>1959949.3666966318</v>
      </c>
      <c r="N120" s="234">
        <f t="shared" si="3"/>
        <v>57561080.779125415</v>
      </c>
      <c r="P120" s="317"/>
    </row>
    <row r="121" spans="1:16" s="154" customFormat="1" x14ac:dyDescent="0.25">
      <c r="A121" s="151">
        <f>'B) D RI'!A122</f>
        <v>5591</v>
      </c>
      <c r="B121" s="152" t="str">
        <f>'B) D RI'!B122</f>
        <v>Renens</v>
      </c>
      <c r="C121" s="313">
        <f>'B) D RI'!S122</f>
        <v>78.5</v>
      </c>
      <c r="D121" s="153">
        <f>'B) D RI'!AA122</f>
        <v>20928</v>
      </c>
      <c r="E121" s="311">
        <f>'D) Ecrêtage'!C120</f>
        <v>560894.98850347521</v>
      </c>
      <c r="F121" s="315">
        <f>'E) Part. coh. soc.'!G126</f>
        <v>10572092.008102294</v>
      </c>
      <c r="G121" s="312">
        <f>'H) Péréquation directe'!I131</f>
        <v>-14835161.537862575</v>
      </c>
      <c r="H121" s="315">
        <f>+'I) Dépenses thématiques'!O120</f>
        <v>-6025141.8639782639</v>
      </c>
      <c r="I121" s="312">
        <f>'K) Plafonnement aide'!J120</f>
        <v>0</v>
      </c>
      <c r="J121" s="315">
        <f>'J) Plafonnement effort'!J120</f>
        <v>0</v>
      </c>
      <c r="K121" s="315">
        <f>'L) Plafonnement taux'!Q121</f>
        <v>0</v>
      </c>
      <c r="L121" s="310">
        <f t="shared" si="4"/>
        <v>-10288211.393738545</v>
      </c>
      <c r="M121" s="234">
        <f>'M) Police'!O121</f>
        <v>720804.53633973352</v>
      </c>
      <c r="N121" s="234">
        <f t="shared" si="3"/>
        <v>-9567406.8573988117</v>
      </c>
      <c r="P121" s="317"/>
    </row>
    <row r="122" spans="1:16" s="154" customFormat="1" x14ac:dyDescent="0.25">
      <c r="A122" s="151">
        <f>'B) D RI'!A123</f>
        <v>5592</v>
      </c>
      <c r="B122" s="152" t="str">
        <f>'B) D RI'!B123</f>
        <v>Romanel-sur-Lausanne</v>
      </c>
      <c r="C122" s="313">
        <f>'B) D RI'!S123</f>
        <v>72</v>
      </c>
      <c r="D122" s="153">
        <f>'B) D RI'!AA123</f>
        <v>3294</v>
      </c>
      <c r="E122" s="311">
        <f>'D) Ecrêtage'!C121</f>
        <v>112590.71279371857</v>
      </c>
      <c r="F122" s="315">
        <f>'E) Part. coh. soc.'!G127</f>
        <v>2085067.0730195497</v>
      </c>
      <c r="G122" s="312">
        <f>'H) Péréquation directe'!I132</f>
        <v>438443.66827654</v>
      </c>
      <c r="H122" s="315">
        <f>+'I) Dépenses thématiques'!O121</f>
        <v>-272489.70056235482</v>
      </c>
      <c r="I122" s="312">
        <f>'K) Plafonnement aide'!J121</f>
        <v>0</v>
      </c>
      <c r="J122" s="315">
        <f>'J) Plafonnement effort'!J121</f>
        <v>0</v>
      </c>
      <c r="K122" s="315">
        <f>'L) Plafonnement taux'!Q122</f>
        <v>0</v>
      </c>
      <c r="L122" s="310">
        <f t="shared" si="4"/>
        <v>2251021.0407337351</v>
      </c>
      <c r="M122" s="234">
        <f>'M) Police'!O122</f>
        <v>343290.58868159517</v>
      </c>
      <c r="N122" s="234">
        <f t="shared" si="3"/>
        <v>2594311.6294153305</v>
      </c>
      <c r="P122" s="317"/>
    </row>
    <row r="123" spans="1:16" s="154" customFormat="1" x14ac:dyDescent="0.25">
      <c r="A123" s="151">
        <f>'B) D RI'!A124</f>
        <v>5601</v>
      </c>
      <c r="B123" s="152" t="str">
        <f>'B) D RI'!B124</f>
        <v>Chexbres</v>
      </c>
      <c r="C123" s="313">
        <f>'B) D RI'!S124</f>
        <v>69</v>
      </c>
      <c r="D123" s="153">
        <f>'B) D RI'!AA124</f>
        <v>2235</v>
      </c>
      <c r="E123" s="311">
        <f>'D) Ecrêtage'!C122</f>
        <v>103283.91611303072</v>
      </c>
      <c r="F123" s="315">
        <f>'E) Part. coh. soc.'!G128</f>
        <v>2015414.1155110963</v>
      </c>
      <c r="G123" s="312">
        <f>'H) Péréquation directe'!I133</f>
        <v>1469344.0374869411</v>
      </c>
      <c r="H123" s="315">
        <f>+'I) Dépenses thématiques'!O122</f>
        <v>-294117.66220985027</v>
      </c>
      <c r="I123" s="312">
        <f>'K) Plafonnement aide'!J122</f>
        <v>0</v>
      </c>
      <c r="J123" s="315">
        <f>'J) Plafonnement effort'!J122</f>
        <v>0</v>
      </c>
      <c r="K123" s="315">
        <f>'L) Plafonnement taux'!Q123</f>
        <v>0</v>
      </c>
      <c r="L123" s="310">
        <f t="shared" si="4"/>
        <v>3190640.4907881874</v>
      </c>
      <c r="M123" s="234">
        <f>'M) Police'!O123</f>
        <v>132729.86350589184</v>
      </c>
      <c r="N123" s="234">
        <f t="shared" si="3"/>
        <v>3323370.3542940794</v>
      </c>
      <c r="P123" s="317"/>
    </row>
    <row r="124" spans="1:16" s="154" customFormat="1" x14ac:dyDescent="0.25">
      <c r="A124" s="151">
        <f>'B) D RI'!A125</f>
        <v>5604</v>
      </c>
      <c r="B124" s="152" t="str">
        <f>'B) D RI'!B125</f>
        <v>Forel (Lavaux)</v>
      </c>
      <c r="C124" s="313">
        <f>'B) D RI'!S125</f>
        <v>70</v>
      </c>
      <c r="D124" s="153">
        <f>'B) D RI'!AA125</f>
        <v>2064</v>
      </c>
      <c r="E124" s="311">
        <f>'D) Ecrêtage'!C123</f>
        <v>73662.582961552936</v>
      </c>
      <c r="F124" s="315">
        <f>'E) Part. coh. soc.'!G129</f>
        <v>1327659.0954345963</v>
      </c>
      <c r="G124" s="312">
        <f>'H) Péréquation directe'!I134</f>
        <v>535723.05060750188</v>
      </c>
      <c r="H124" s="315">
        <f>+'I) Dépenses thématiques'!O123</f>
        <v>-339777.88380723348</v>
      </c>
      <c r="I124" s="312">
        <f>'K) Plafonnement aide'!J123</f>
        <v>0</v>
      </c>
      <c r="J124" s="315">
        <f>'J) Plafonnement effort'!J123</f>
        <v>0</v>
      </c>
      <c r="K124" s="315">
        <f>'L) Plafonnement taux'!Q124</f>
        <v>0</v>
      </c>
      <c r="L124" s="310">
        <f t="shared" si="4"/>
        <v>1523604.2622348648</v>
      </c>
      <c r="M124" s="234">
        <f>'M) Police'!O124</f>
        <v>229677.19082887255</v>
      </c>
      <c r="N124" s="234">
        <f t="shared" si="3"/>
        <v>1753281.4530637374</v>
      </c>
      <c r="P124" s="317"/>
    </row>
    <row r="125" spans="1:16" s="154" customFormat="1" x14ac:dyDescent="0.25">
      <c r="A125" s="151">
        <f>'B) D RI'!A126</f>
        <v>5606</v>
      </c>
      <c r="B125" s="152" t="str">
        <f>'B) D RI'!B126</f>
        <v>Lutry</v>
      </c>
      <c r="C125" s="313">
        <f>'B) D RI'!S126</f>
        <v>55.5</v>
      </c>
      <c r="D125" s="153">
        <f>'B) D RI'!AA126</f>
        <v>10357</v>
      </c>
      <c r="E125" s="311">
        <f>'D) Ecrêtage'!C124</f>
        <v>807933.92151435383</v>
      </c>
      <c r="F125" s="315">
        <f>'E) Part. coh. soc.'!G130</f>
        <v>21578348.835654393</v>
      </c>
      <c r="G125" s="312">
        <f>'H) Péréquation directe'!I135</f>
        <v>10469365.622879105</v>
      </c>
      <c r="H125" s="315">
        <f>+'I) Dépenses thématiques'!O124</f>
        <v>-2477186.7643627292</v>
      </c>
      <c r="I125" s="312">
        <f>'K) Plafonnement aide'!J124</f>
        <v>0</v>
      </c>
      <c r="J125" s="315">
        <f>'J) Plafonnement effort'!J124</f>
        <v>0</v>
      </c>
      <c r="K125" s="315">
        <f>'L) Plafonnement taux'!Q125</f>
        <v>0</v>
      </c>
      <c r="L125" s="310">
        <f t="shared" si="4"/>
        <v>29570527.694170766</v>
      </c>
      <c r="M125" s="234">
        <f>'M) Police'!O125</f>
        <v>1038273.5585570101</v>
      </c>
      <c r="N125" s="234">
        <f t="shared" si="3"/>
        <v>30608801.252727777</v>
      </c>
      <c r="P125" s="317"/>
    </row>
    <row r="126" spans="1:16" s="154" customFormat="1" x14ac:dyDescent="0.25">
      <c r="A126" s="151">
        <f>'B) D RI'!A127</f>
        <v>5607</v>
      </c>
      <c r="B126" s="152" t="str">
        <f>'B) D RI'!B127</f>
        <v>Puidoux</v>
      </c>
      <c r="C126" s="313">
        <f>'B) D RI'!S127</f>
        <v>70</v>
      </c>
      <c r="D126" s="153">
        <f>'B) D RI'!AA127</f>
        <v>2881</v>
      </c>
      <c r="E126" s="311">
        <f>'D) Ecrêtage'!C125</f>
        <v>99930.249355206179</v>
      </c>
      <c r="F126" s="315">
        <f>'E) Part. coh. soc.'!G131</f>
        <v>1715461.6966371797</v>
      </c>
      <c r="G126" s="312">
        <f>'H) Péréquation directe'!I136</f>
        <v>545555.40132885496</v>
      </c>
      <c r="H126" s="315">
        <f>+'I) Dépenses thématiques'!O125</f>
        <v>-792166.18614687014</v>
      </c>
      <c r="I126" s="312">
        <f>'K) Plafonnement aide'!J125</f>
        <v>0</v>
      </c>
      <c r="J126" s="315">
        <f>'J) Plafonnement effort'!J125</f>
        <v>0</v>
      </c>
      <c r="K126" s="315">
        <f>'L) Plafonnement taux'!Q126</f>
        <v>0</v>
      </c>
      <c r="L126" s="310">
        <f t="shared" si="4"/>
        <v>1468850.9118191646</v>
      </c>
      <c r="M126" s="234">
        <f>'M) Police'!O126</f>
        <v>128420.07600206444</v>
      </c>
      <c r="N126" s="234">
        <f t="shared" si="3"/>
        <v>1597270.987821229</v>
      </c>
      <c r="P126" s="317"/>
    </row>
    <row r="127" spans="1:16" s="154" customFormat="1" x14ac:dyDescent="0.25">
      <c r="A127" s="151">
        <f>'B) D RI'!A128</f>
        <v>5609</v>
      </c>
      <c r="B127" s="152" t="str">
        <f>'B) D RI'!B128</f>
        <v>Rivaz</v>
      </c>
      <c r="C127" s="313">
        <f>'B) D RI'!S128</f>
        <v>63.5</v>
      </c>
      <c r="D127" s="153">
        <f>'B) D RI'!AA128</f>
        <v>342</v>
      </c>
      <c r="E127" s="311">
        <f>'D) Ecrêtage'!C126</f>
        <v>13671.143301269074</v>
      </c>
      <c r="F127" s="315">
        <f>'E) Part. coh. soc.'!G132</f>
        <v>228236.43886706271</v>
      </c>
      <c r="G127" s="312">
        <f>'H) Péréquation directe'!I137</f>
        <v>192842.13184785296</v>
      </c>
      <c r="H127" s="315">
        <f>+'I) Dépenses thématiques'!O126</f>
        <v>-49500.45666533491</v>
      </c>
      <c r="I127" s="312">
        <f>'K) Plafonnement aide'!J126</f>
        <v>0</v>
      </c>
      <c r="J127" s="315">
        <f>'J) Plafonnement effort'!J126</f>
        <v>0</v>
      </c>
      <c r="K127" s="315">
        <f>'L) Plafonnement taux'!Q127</f>
        <v>0</v>
      </c>
      <c r="L127" s="310">
        <f t="shared" si="4"/>
        <v>371578.1140495807</v>
      </c>
      <c r="M127" s="234">
        <f>'M) Police'!O127</f>
        <v>17568.746932108224</v>
      </c>
      <c r="N127" s="234">
        <f t="shared" si="3"/>
        <v>389146.86098168895</v>
      </c>
      <c r="P127" s="317"/>
    </row>
    <row r="128" spans="1:16" s="154" customFormat="1" x14ac:dyDescent="0.25">
      <c r="A128" s="151">
        <f>'B) D RI'!A129</f>
        <v>5610</v>
      </c>
      <c r="B128" s="152" t="str">
        <f>'B) D RI'!B129</f>
        <v>St-Saphorin (Lavaux)</v>
      </c>
      <c r="C128" s="313">
        <f>'B) D RI'!S129</f>
        <v>70</v>
      </c>
      <c r="D128" s="153">
        <f>'B) D RI'!AA129</f>
        <v>384</v>
      </c>
      <c r="E128" s="311">
        <f>'D) Ecrêtage'!C127</f>
        <v>22273.105318410097</v>
      </c>
      <c r="F128" s="315">
        <f>'E) Part. coh. soc.'!G133</f>
        <v>430470.1301536432</v>
      </c>
      <c r="G128" s="312">
        <f>'H) Péréquation directe'!I138</f>
        <v>389396.63837517879</v>
      </c>
      <c r="H128" s="315">
        <f>+'I) Dépenses thématiques'!O127</f>
        <v>-21683.252505331155</v>
      </c>
      <c r="I128" s="312">
        <f>'K) Plafonnement aide'!J127</f>
        <v>0</v>
      </c>
      <c r="J128" s="315">
        <f>'J) Plafonnement effort'!J127</f>
        <v>0</v>
      </c>
      <c r="K128" s="315">
        <f>'L) Plafonnement taux'!Q128</f>
        <v>0</v>
      </c>
      <c r="L128" s="310">
        <f t="shared" si="4"/>
        <v>798183.51602349081</v>
      </c>
      <c r="M128" s="234">
        <f>'M) Police'!O128</f>
        <v>28623.103577227223</v>
      </c>
      <c r="N128" s="234">
        <f t="shared" si="3"/>
        <v>826806.61960071803</v>
      </c>
      <c r="P128" s="317"/>
    </row>
    <row r="129" spans="1:16" s="154" customFormat="1" x14ac:dyDescent="0.25">
      <c r="A129" s="151">
        <f>'B) D RI'!A130</f>
        <v>5611</v>
      </c>
      <c r="B129" s="152" t="str">
        <f>'B) D RI'!B130</f>
        <v>Savigny</v>
      </c>
      <c r="C129" s="313">
        <f>'B) D RI'!S130</f>
        <v>69</v>
      </c>
      <c r="D129" s="153">
        <f>'B) D RI'!AA130</f>
        <v>3359</v>
      </c>
      <c r="E129" s="311">
        <f>'D) Ecrêtage'!C128</f>
        <v>134511.88344270343</v>
      </c>
      <c r="F129" s="315">
        <f>'E) Part. coh. soc.'!G134</f>
        <v>2717636.662957605</v>
      </c>
      <c r="G129" s="312">
        <f>'H) Péréquation directe'!I139</f>
        <v>1257397.6059556829</v>
      </c>
      <c r="H129" s="315">
        <f>+'I) Dépenses thématiques'!O128</f>
        <v>-479453.53158517182</v>
      </c>
      <c r="I129" s="312">
        <f>'K) Plafonnement aide'!J128</f>
        <v>0</v>
      </c>
      <c r="J129" s="315">
        <f>'J) Plafonnement effort'!J128</f>
        <v>0</v>
      </c>
      <c r="K129" s="315">
        <f>'L) Plafonnement taux'!Q129</f>
        <v>0</v>
      </c>
      <c r="L129" s="310">
        <f t="shared" si="4"/>
        <v>3495580.7373281159</v>
      </c>
      <c r="M129" s="234">
        <f>'M) Police'!O129</f>
        <v>172860.83449558471</v>
      </c>
      <c r="N129" s="234">
        <f t="shared" si="3"/>
        <v>3668441.5718237003</v>
      </c>
      <c r="P129" s="317"/>
    </row>
    <row r="130" spans="1:16" s="154" customFormat="1" x14ac:dyDescent="0.25">
      <c r="A130" s="151">
        <f>'B) D RI'!A131</f>
        <v>5613</v>
      </c>
      <c r="B130" s="152" t="str">
        <f>'B) D RI'!B131</f>
        <v>Bourg-en-Lavaux</v>
      </c>
      <c r="C130" s="313">
        <f>'B) D RI'!S131</f>
        <v>64</v>
      </c>
      <c r="D130" s="153">
        <f>'B) D RI'!AA131</f>
        <v>5345</v>
      </c>
      <c r="E130" s="311">
        <f>'D) Ecrêtage'!C129</f>
        <v>332932.37553055235</v>
      </c>
      <c r="F130" s="315">
        <f>'E) Part. coh. soc.'!G135</f>
        <v>7455119.7229963113</v>
      </c>
      <c r="G130" s="312">
        <f>'H) Péréquation directe'!I140</f>
        <v>4499474.8507657526</v>
      </c>
      <c r="H130" s="315">
        <f>+'I) Dépenses thématiques'!O129</f>
        <v>0</v>
      </c>
      <c r="I130" s="312">
        <f>'K) Plafonnement aide'!J129</f>
        <v>0</v>
      </c>
      <c r="J130" s="315">
        <f>'J) Plafonnement effort'!J129</f>
        <v>0</v>
      </c>
      <c r="K130" s="315">
        <f>'L) Plafonnement taux'!Q130</f>
        <v>0</v>
      </c>
      <c r="L130" s="310">
        <f t="shared" si="4"/>
        <v>11954594.573762063</v>
      </c>
      <c r="M130" s="234">
        <f>'M) Police'!O130</f>
        <v>427850.4381311636</v>
      </c>
      <c r="N130" s="234">
        <f t="shared" si="3"/>
        <v>12382445.011893226</v>
      </c>
      <c r="P130" s="317"/>
    </row>
    <row r="131" spans="1:16" s="154" customFormat="1" x14ac:dyDescent="0.25">
      <c r="A131" s="151">
        <f>'B) D RI'!A132</f>
        <v>5621</v>
      </c>
      <c r="B131" s="152" t="str">
        <f>'B) D RI'!B132</f>
        <v>Aclens</v>
      </c>
      <c r="C131" s="313">
        <f>'B) D RI'!S132</f>
        <v>62</v>
      </c>
      <c r="D131" s="153">
        <f>'B) D RI'!AA132</f>
        <v>539</v>
      </c>
      <c r="E131" s="311">
        <f>'D) Ecrêtage'!C130</f>
        <v>27011.410978345568</v>
      </c>
      <c r="F131" s="315">
        <f>'E) Part. coh. soc.'!G136</f>
        <v>584200.22050850571</v>
      </c>
      <c r="G131" s="312">
        <f>'H) Péréquation directe'!I141</f>
        <v>463025.83621263684</v>
      </c>
      <c r="H131" s="315">
        <f>+'I) Dépenses thématiques'!O130</f>
        <v>-3435.9401105899833</v>
      </c>
      <c r="I131" s="312">
        <f>'K) Plafonnement aide'!J130</f>
        <v>0</v>
      </c>
      <c r="J131" s="315">
        <f>'J) Plafonnement effort'!J130</f>
        <v>0</v>
      </c>
      <c r="K131" s="315">
        <f>'L) Plafonnement taux'!Q131</f>
        <v>0</v>
      </c>
      <c r="L131" s="310">
        <f t="shared" si="4"/>
        <v>1043790.1166105525</v>
      </c>
      <c r="M131" s="234">
        <f>'M) Police'!O131</f>
        <v>78659.583141435811</v>
      </c>
      <c r="N131" s="234">
        <f t="shared" si="3"/>
        <v>1122449.6997519883</v>
      </c>
      <c r="P131" s="317"/>
    </row>
    <row r="132" spans="1:16" s="154" customFormat="1" x14ac:dyDescent="0.25">
      <c r="A132" s="151">
        <f>'B) D RI'!A133</f>
        <v>5622</v>
      </c>
      <c r="B132" s="152" t="str">
        <f>'B) D RI'!B133</f>
        <v>Bremblens</v>
      </c>
      <c r="C132" s="313">
        <f>'B) D RI'!S133</f>
        <v>66</v>
      </c>
      <c r="D132" s="153">
        <f>'B) D RI'!AA133</f>
        <v>577</v>
      </c>
      <c r="E132" s="311">
        <f>'D) Ecrêtage'!C131</f>
        <v>26937.345606060608</v>
      </c>
      <c r="F132" s="315">
        <f>'E) Part. coh. soc.'!G137</f>
        <v>539403.07951026096</v>
      </c>
      <c r="G132" s="312">
        <f>'H) Péréquation directe'!I142</f>
        <v>456796.65283425245</v>
      </c>
      <c r="H132" s="315">
        <f>+'I) Dépenses thématiques'!O131</f>
        <v>0</v>
      </c>
      <c r="I132" s="312">
        <f>'K) Plafonnement aide'!J131</f>
        <v>0</v>
      </c>
      <c r="J132" s="315">
        <f>'J) Plafonnement effort'!J131</f>
        <v>0</v>
      </c>
      <c r="K132" s="315">
        <f>'L) Plafonnement taux'!Q132</f>
        <v>0</v>
      </c>
      <c r="L132" s="310">
        <f t="shared" si="4"/>
        <v>996199.73234451341</v>
      </c>
      <c r="M132" s="234">
        <f>'M) Police'!O132</f>
        <v>83740.780943955106</v>
      </c>
      <c r="N132" s="234">
        <f t="shared" si="3"/>
        <v>1079940.5132884686</v>
      </c>
      <c r="P132" s="317"/>
    </row>
    <row r="133" spans="1:16" s="154" customFormat="1" x14ac:dyDescent="0.25">
      <c r="A133" s="151">
        <f>'B) D RI'!A134</f>
        <v>5623</v>
      </c>
      <c r="B133" s="152" t="str">
        <f>'B) D RI'!B134</f>
        <v>Buchillon</v>
      </c>
      <c r="C133" s="313">
        <f>'B) D RI'!S134</f>
        <v>53</v>
      </c>
      <c r="D133" s="153">
        <f>'B) D RI'!AA134</f>
        <v>686</v>
      </c>
      <c r="E133" s="311">
        <f>'D) Ecrêtage'!C132</f>
        <v>89461.877418085525</v>
      </c>
      <c r="F133" s="315">
        <f>'E) Part. coh. soc.'!G138</f>
        <v>2855305.8865164449</v>
      </c>
      <c r="G133" s="312">
        <f>'H) Péréquation directe'!I143</f>
        <v>1671630.3518551267</v>
      </c>
      <c r="H133" s="315">
        <f>+'I) Dépenses thématiques'!O132</f>
        <v>0</v>
      </c>
      <c r="I133" s="312">
        <f>'K) Plafonnement aide'!J132</f>
        <v>0</v>
      </c>
      <c r="J133" s="315">
        <f>'J) Plafonnement effort'!J132</f>
        <v>0</v>
      </c>
      <c r="K133" s="315">
        <f>'L) Plafonnement taux'!Q133</f>
        <v>0</v>
      </c>
      <c r="L133" s="310">
        <f t="shared" si="4"/>
        <v>4526936.2383715715</v>
      </c>
      <c r="M133" s="234">
        <f>'M) Police'!O133</f>
        <v>114967.20133741341</v>
      </c>
      <c r="N133" s="234">
        <f t="shared" si="3"/>
        <v>4641903.4397089854</v>
      </c>
      <c r="P133" s="317"/>
    </row>
    <row r="134" spans="1:16" s="154" customFormat="1" x14ac:dyDescent="0.25">
      <c r="A134" s="151">
        <f>'B) D RI'!A135</f>
        <v>5624</v>
      </c>
      <c r="B134" s="152" t="str">
        <f>'B) D RI'!B135</f>
        <v>Bussigny</v>
      </c>
      <c r="C134" s="313">
        <f>'B) D RI'!S135</f>
        <v>64</v>
      </c>
      <c r="D134" s="153">
        <f>'B) D RI'!AA135</f>
        <v>8962</v>
      </c>
      <c r="E134" s="311">
        <f>'D) Ecrêtage'!C133</f>
        <v>400390.10765672859</v>
      </c>
      <c r="F134" s="315">
        <f>'E) Part. coh. soc.'!G139</f>
        <v>8070988.4994684393</v>
      </c>
      <c r="G134" s="312">
        <f>'H) Péréquation directe'!I144</f>
        <v>3451897.1915108385</v>
      </c>
      <c r="H134" s="315">
        <f>+'I) Dépenses thématiques'!O133</f>
        <v>-1000679.9949363392</v>
      </c>
      <c r="I134" s="312">
        <f>'K) Plafonnement aide'!J133</f>
        <v>0</v>
      </c>
      <c r="J134" s="315">
        <f>'J) Plafonnement effort'!J133</f>
        <v>0</v>
      </c>
      <c r="K134" s="315">
        <f>'L) Plafonnement taux'!Q134</f>
        <v>0</v>
      </c>
      <c r="L134" s="310">
        <f t="shared" si="4"/>
        <v>10522205.696042938</v>
      </c>
      <c r="M134" s="234">
        <f>'M) Police'!O134</f>
        <v>514540.17564775603</v>
      </c>
      <c r="N134" s="234">
        <f t="shared" ref="N134:N192" si="5">L134+M134</f>
        <v>11036745.871690694</v>
      </c>
      <c r="P134" s="317"/>
    </row>
    <row r="135" spans="1:16" s="154" customFormat="1" x14ac:dyDescent="0.25">
      <c r="A135" s="151">
        <f>'B) D RI'!A136</f>
        <v>5625</v>
      </c>
      <c r="B135" s="152" t="str">
        <f>'B) D RI'!B136</f>
        <v>Bussy-Chardonney</v>
      </c>
      <c r="C135" s="313">
        <f>'B) D RI'!S136</f>
        <v>77</v>
      </c>
      <c r="D135" s="153">
        <f>'B) D RI'!AA136</f>
        <v>384</v>
      </c>
      <c r="E135" s="311">
        <f>'D) Ecrêtage'!C134</f>
        <v>16815.127999439792</v>
      </c>
      <c r="F135" s="315">
        <f>'E) Part. coh. soc.'!G140</f>
        <v>301386.41994812217</v>
      </c>
      <c r="G135" s="312">
        <f>'H) Péréquation directe'!I145</f>
        <v>262277.31109448604</v>
      </c>
      <c r="H135" s="315">
        <f>+'I) Dépenses thématiques'!O134</f>
        <v>-33395.271750880493</v>
      </c>
      <c r="I135" s="312">
        <f>'K) Plafonnement aide'!J134</f>
        <v>0</v>
      </c>
      <c r="J135" s="315">
        <f>'J) Plafonnement effort'!J134</f>
        <v>0</v>
      </c>
      <c r="K135" s="315">
        <f>'L) Plafonnement taux'!Q135</f>
        <v>0</v>
      </c>
      <c r="L135" s="310">
        <f t="shared" si="4"/>
        <v>530268.45929172763</v>
      </c>
      <c r="M135" s="234">
        <f>'M) Police'!O135</f>
        <v>52634.566718332033</v>
      </c>
      <c r="N135" s="234">
        <f t="shared" si="5"/>
        <v>582903.02601005964</v>
      </c>
      <c r="P135" s="317"/>
    </row>
    <row r="136" spans="1:16" s="154" customFormat="1" x14ac:dyDescent="0.25">
      <c r="A136" s="151">
        <f>'B) D RI'!A137</f>
        <v>5627</v>
      </c>
      <c r="B136" s="152" t="str">
        <f>'B) D RI'!B137</f>
        <v>Chavannes-près-Renens</v>
      </c>
      <c r="C136" s="313">
        <f>'B) D RI'!S137</f>
        <v>79</v>
      </c>
      <c r="D136" s="153">
        <f>'B) D RI'!AA137</f>
        <v>7887</v>
      </c>
      <c r="E136" s="311">
        <f>'D) Ecrêtage'!C135</f>
        <v>214338.77376035714</v>
      </c>
      <c r="F136" s="315">
        <f>'E) Part. coh. soc.'!G141</f>
        <v>4705203.4068355495</v>
      </c>
      <c r="G136" s="312">
        <f>'H) Péréquation directe'!I146</f>
        <v>-3022080.939413324</v>
      </c>
      <c r="H136" s="315">
        <f>+'I) Dépenses thématiques'!O135</f>
        <v>-1258060.4629938612</v>
      </c>
      <c r="I136" s="312">
        <f>'K) Plafonnement aide'!J135</f>
        <v>0</v>
      </c>
      <c r="J136" s="315">
        <f>'J) Plafonnement effort'!J135</f>
        <v>0</v>
      </c>
      <c r="K136" s="315">
        <f>'L) Plafonnement taux'!Q136</f>
        <v>0</v>
      </c>
      <c r="L136" s="310">
        <f t="shared" si="4"/>
        <v>425062.00442836434</v>
      </c>
      <c r="M136" s="234">
        <f>'M) Police'!O136</f>
        <v>275446.1416247866</v>
      </c>
      <c r="N136" s="234">
        <f t="shared" si="5"/>
        <v>700508.14605315099</v>
      </c>
      <c r="P136" s="317"/>
    </row>
    <row r="137" spans="1:16" s="154" customFormat="1" x14ac:dyDescent="0.25">
      <c r="A137" s="151">
        <f>'B) D RI'!A138</f>
        <v>5628</v>
      </c>
      <c r="B137" s="152" t="str">
        <f>'B) D RI'!B138</f>
        <v>Chigny</v>
      </c>
      <c r="C137" s="313">
        <f>'B) D RI'!S138</f>
        <v>62</v>
      </c>
      <c r="D137" s="153">
        <f>'B) D RI'!AA138</f>
        <v>382</v>
      </c>
      <c r="E137" s="311">
        <f>'D) Ecrêtage'!C136</f>
        <v>22372.02129032258</v>
      </c>
      <c r="F137" s="315">
        <f>'E) Part. coh. soc.'!G142</f>
        <v>490061.30696644518</v>
      </c>
      <c r="G137" s="312">
        <f>'H) Péréquation directe'!I147</f>
        <v>391591.46849864878</v>
      </c>
      <c r="H137" s="315">
        <f>+'I) Dépenses thématiques'!O136</f>
        <v>0</v>
      </c>
      <c r="I137" s="312">
        <f>'K) Plafonnement aide'!J136</f>
        <v>0</v>
      </c>
      <c r="J137" s="315">
        <f>'J) Plafonnement effort'!J136</f>
        <v>0</v>
      </c>
      <c r="K137" s="315">
        <f>'L) Plafonnement taux'!Q137</f>
        <v>0</v>
      </c>
      <c r="L137" s="310">
        <f t="shared" si="4"/>
        <v>881652.77546509402</v>
      </c>
      <c r="M137" s="234">
        <f>'M) Police'!O137</f>
        <v>61272.306993641032</v>
      </c>
      <c r="N137" s="234">
        <f t="shared" si="5"/>
        <v>942925.08245873509</v>
      </c>
      <c r="P137" s="317"/>
    </row>
    <row r="138" spans="1:16" s="154" customFormat="1" x14ac:dyDescent="0.25">
      <c r="A138" s="151">
        <f>'B) D RI'!A139</f>
        <v>5629</v>
      </c>
      <c r="B138" s="152" t="str">
        <f>'B) D RI'!B139</f>
        <v>Clarmont</v>
      </c>
      <c r="C138" s="313">
        <f>'B) D RI'!S139</f>
        <v>75</v>
      </c>
      <c r="D138" s="153">
        <f>'B) D RI'!AA139</f>
        <v>191</v>
      </c>
      <c r="E138" s="311">
        <f>'D) Ecrêtage'!C137</f>
        <v>6749.9170666666651</v>
      </c>
      <c r="F138" s="315">
        <f>'E) Part. coh. soc.'!G143</f>
        <v>154842.60709189303</v>
      </c>
      <c r="G138" s="312">
        <f>'H) Péréquation directe'!I148</f>
        <v>63409.627487384889</v>
      </c>
      <c r="H138" s="315">
        <f>+'I) Dépenses thématiques'!O137</f>
        <v>-45479.479509140867</v>
      </c>
      <c r="I138" s="312">
        <f>'K) Plafonnement aide'!J137</f>
        <v>0</v>
      </c>
      <c r="J138" s="315">
        <f>'J) Plafonnement effort'!J137</f>
        <v>0</v>
      </c>
      <c r="K138" s="315">
        <f>'L) Plafonnement taux'!Q138</f>
        <v>0</v>
      </c>
      <c r="L138" s="310">
        <f t="shared" si="4"/>
        <v>172772.75507013706</v>
      </c>
      <c r="M138" s="234">
        <f>'M) Police'!O138</f>
        <v>21180.089139911412</v>
      </c>
      <c r="N138" s="234">
        <f t="shared" si="5"/>
        <v>193952.84421004847</v>
      </c>
      <c r="P138" s="317"/>
    </row>
    <row r="139" spans="1:16" s="154" customFormat="1" x14ac:dyDescent="0.25">
      <c r="A139" s="151">
        <f>'B) D RI'!A140</f>
        <v>5631</v>
      </c>
      <c r="B139" s="152" t="str">
        <f>'B) D RI'!B140</f>
        <v>Denens</v>
      </c>
      <c r="C139" s="313">
        <f>'B) D RI'!S140</f>
        <v>70</v>
      </c>
      <c r="D139" s="153">
        <f>'B) D RI'!AA140</f>
        <v>742</v>
      </c>
      <c r="E139" s="311">
        <f>'D) Ecrêtage'!C138</f>
        <v>51374.095571428574</v>
      </c>
      <c r="F139" s="315">
        <f>'E) Part. coh. soc.'!G144</f>
        <v>1155243.7504819005</v>
      </c>
      <c r="G139" s="312">
        <f>'H) Péréquation directe'!I149</f>
        <v>916218.84775730153</v>
      </c>
      <c r="H139" s="315">
        <f>+'I) Dépenses thématiques'!O138</f>
        <v>0</v>
      </c>
      <c r="I139" s="312">
        <f>'K) Plafonnement aide'!J138</f>
        <v>0</v>
      </c>
      <c r="J139" s="315">
        <f>'J) Plafonnement effort'!J138</f>
        <v>0</v>
      </c>
      <c r="K139" s="315">
        <f>'L) Plafonnement taux'!Q139</f>
        <v>0</v>
      </c>
      <c r="L139" s="310">
        <f t="shared" si="4"/>
        <v>2071462.5982392021</v>
      </c>
      <c r="M139" s="234">
        <f>'M) Police'!O139</f>
        <v>129191.87625221352</v>
      </c>
      <c r="N139" s="234">
        <f t="shared" si="5"/>
        <v>2200654.4744914155</v>
      </c>
      <c r="P139" s="317"/>
    </row>
    <row r="140" spans="1:16" s="154" customFormat="1" x14ac:dyDescent="0.25">
      <c r="A140" s="151">
        <f>'B) D RI'!A141</f>
        <v>5632</v>
      </c>
      <c r="B140" s="152" t="str">
        <f>'B) D RI'!B141</f>
        <v>Denges</v>
      </c>
      <c r="C140" s="313">
        <f>'B) D RI'!S141</f>
        <v>62</v>
      </c>
      <c r="D140" s="153">
        <f>'B) D RI'!AA141</f>
        <v>1609</v>
      </c>
      <c r="E140" s="311">
        <f>'D) Ecrêtage'!C139</f>
        <v>73160.20406689003</v>
      </c>
      <c r="F140" s="315">
        <f>'E) Part. coh. soc.'!G145</f>
        <v>1293807.6206162977</v>
      </c>
      <c r="G140" s="312">
        <f>'H) Péréquation directe'!I150</f>
        <v>1084680.9872786803</v>
      </c>
      <c r="H140" s="315">
        <f>+'I) Dépenses thématiques'!O139</f>
        <v>-152724.10704597912</v>
      </c>
      <c r="I140" s="312">
        <f>'K) Plafonnement aide'!J139</f>
        <v>0</v>
      </c>
      <c r="J140" s="315">
        <f>'J) Plafonnement effort'!J139</f>
        <v>0</v>
      </c>
      <c r="K140" s="315">
        <f>'L) Plafonnement taux'!Q140</f>
        <v>0</v>
      </c>
      <c r="L140" s="310">
        <f t="shared" si="4"/>
        <v>2225764.5008489988</v>
      </c>
      <c r="M140" s="234">
        <f>'M) Police'!O140</f>
        <v>228506.65335786639</v>
      </c>
      <c r="N140" s="234">
        <f t="shared" si="5"/>
        <v>2454271.154206865</v>
      </c>
      <c r="P140" s="317"/>
    </row>
    <row r="141" spans="1:16" s="154" customFormat="1" x14ac:dyDescent="0.25">
      <c r="A141" s="151">
        <f>'B) D RI'!A142</f>
        <v>5633</v>
      </c>
      <c r="B141" s="152" t="str">
        <f>'B) D RI'!B142</f>
        <v>Echandens</v>
      </c>
      <c r="C141" s="313">
        <f>'B) D RI'!S142</f>
        <v>62</v>
      </c>
      <c r="D141" s="153">
        <f>'B) D RI'!AA142</f>
        <v>2739</v>
      </c>
      <c r="E141" s="311">
        <f>'D) Ecrêtage'!C140</f>
        <v>160114.83181506293</v>
      </c>
      <c r="F141" s="315">
        <f>'E) Part. coh. soc.'!G146</f>
        <v>3238326.3222448416</v>
      </c>
      <c r="G141" s="312">
        <f>'H) Péréquation directe'!I151</f>
        <v>2408711.6603308041</v>
      </c>
      <c r="H141" s="315">
        <f>+'I) Dépenses thématiques'!O140</f>
        <v>-538596.40557080391</v>
      </c>
      <c r="I141" s="312">
        <f>'K) Plafonnement aide'!J140</f>
        <v>0</v>
      </c>
      <c r="J141" s="315">
        <f>'J) Plafonnement effort'!J140</f>
        <v>0</v>
      </c>
      <c r="K141" s="315">
        <f>'L) Plafonnement taux'!Q141</f>
        <v>0</v>
      </c>
      <c r="L141" s="310">
        <f t="shared" si="4"/>
        <v>5108441.5770048415</v>
      </c>
      <c r="M141" s="234">
        <f>'M) Police'!O141</f>
        <v>438951.58023606281</v>
      </c>
      <c r="N141" s="234">
        <f t="shared" si="5"/>
        <v>5547393.1572409039</v>
      </c>
      <c r="P141" s="317"/>
    </row>
    <row r="142" spans="1:16" s="154" customFormat="1" x14ac:dyDescent="0.25">
      <c r="A142" s="151">
        <f>'B) D RI'!A143</f>
        <v>5634</v>
      </c>
      <c r="B142" s="152" t="str">
        <f>'B) D RI'!B143</f>
        <v>Echichens</v>
      </c>
      <c r="C142" s="313">
        <f>'B) D RI'!S143</f>
        <v>68</v>
      </c>
      <c r="D142" s="153">
        <f>'B) D RI'!AA143</f>
        <v>3077</v>
      </c>
      <c r="E142" s="311">
        <f>'D) Ecrêtage'!C141</f>
        <v>173888.96393435504</v>
      </c>
      <c r="F142" s="315">
        <f>'E) Part. coh. soc.'!G147</f>
        <v>3789086.7583705704</v>
      </c>
      <c r="G142" s="312">
        <f>'H) Péréquation directe'!I152</f>
        <v>2548852.6042737532</v>
      </c>
      <c r="H142" s="315">
        <f>+'I) Dépenses thématiques'!O141</f>
        <v>0</v>
      </c>
      <c r="I142" s="312">
        <f>'K) Plafonnement aide'!J141</f>
        <v>0</v>
      </c>
      <c r="J142" s="315">
        <f>'J) Plafonnement effort'!J141</f>
        <v>0</v>
      </c>
      <c r="K142" s="315">
        <f>'L) Plafonnement taux'!Q142</f>
        <v>0</v>
      </c>
      <c r="L142" s="310">
        <f t="shared" si="4"/>
        <v>6337939.3626443241</v>
      </c>
      <c r="M142" s="234">
        <f>'M) Police'!O142</f>
        <v>485428.76506238215</v>
      </c>
      <c r="N142" s="234">
        <f t="shared" si="5"/>
        <v>6823368.1277067065</v>
      </c>
      <c r="P142" s="317"/>
    </row>
    <row r="143" spans="1:16" s="154" customFormat="1" x14ac:dyDescent="0.25">
      <c r="A143" s="151">
        <f>'B) D RI'!A144</f>
        <v>5635</v>
      </c>
      <c r="B143" s="152" t="str">
        <f>'B) D RI'!B144</f>
        <v>Ecublens</v>
      </c>
      <c r="C143" s="313">
        <f>'B) D RI'!S144</f>
        <v>64</v>
      </c>
      <c r="D143" s="153">
        <f>'B) D RI'!AA144</f>
        <v>13089</v>
      </c>
      <c r="E143" s="311">
        <f>'D) Ecrêtage'!C142</f>
        <v>488507.72683115519</v>
      </c>
      <c r="F143" s="315">
        <f>'E) Part. coh. soc.'!G148</f>
        <v>9418638.5735676363</v>
      </c>
      <c r="G143" s="312">
        <f>'H) Péréquation directe'!I153</f>
        <v>-142084.32727897353</v>
      </c>
      <c r="H143" s="315">
        <f>+'I) Dépenses thématiques'!O142</f>
        <v>-2808477.9092505062</v>
      </c>
      <c r="I143" s="312">
        <f>'K) Plafonnement aide'!J142</f>
        <v>0</v>
      </c>
      <c r="J143" s="315">
        <f>'J) Plafonnement effort'!J142</f>
        <v>0</v>
      </c>
      <c r="K143" s="315">
        <f>'L) Plafonnement taux'!Q143</f>
        <v>0</v>
      </c>
      <c r="L143" s="310">
        <f t="shared" si="4"/>
        <v>6468076.3370381566</v>
      </c>
      <c r="M143" s="234">
        <f>'M) Police'!O143</f>
        <v>627779.87458293431</v>
      </c>
      <c r="N143" s="234">
        <f t="shared" si="5"/>
        <v>7095856.2116210908</v>
      </c>
      <c r="P143" s="317"/>
    </row>
    <row r="144" spans="1:16" s="154" customFormat="1" x14ac:dyDescent="0.25">
      <c r="A144" s="151">
        <f>'B) D RI'!A145</f>
        <v>5636</v>
      </c>
      <c r="B144" s="152" t="str">
        <f>'B) D RI'!B145</f>
        <v>Etoy</v>
      </c>
      <c r="C144" s="313">
        <f>'B) D RI'!S145</f>
        <v>61</v>
      </c>
      <c r="D144" s="153">
        <f>'B) D RI'!AA145</f>
        <v>2933</v>
      </c>
      <c r="E144" s="311">
        <f>'D) Ecrêtage'!C143</f>
        <v>176831.6240274295</v>
      </c>
      <c r="F144" s="315">
        <f>'E) Part. coh. soc.'!G149</f>
        <v>3956561.5380215263</v>
      </c>
      <c r="G144" s="312">
        <f>'H) Péréquation directe'!I154</f>
        <v>2668933.7384069669</v>
      </c>
      <c r="H144" s="315">
        <f>+'I) Dépenses thématiques'!O143</f>
        <v>-173174.9251663679</v>
      </c>
      <c r="I144" s="312">
        <f>'K) Plafonnement aide'!J143</f>
        <v>0</v>
      </c>
      <c r="J144" s="315">
        <f>'J) Plafonnement effort'!J143</f>
        <v>0</v>
      </c>
      <c r="K144" s="315">
        <f>'L) Plafonnement taux'!Q144</f>
        <v>0</v>
      </c>
      <c r="L144" s="310">
        <f t="shared" si="4"/>
        <v>6452320.3512621252</v>
      </c>
      <c r="M144" s="234">
        <f>'M) Police'!O144</f>
        <v>476950.73427440959</v>
      </c>
      <c r="N144" s="234">
        <f t="shared" si="5"/>
        <v>6929271.0855365349</v>
      </c>
      <c r="P144" s="317"/>
    </row>
    <row r="145" spans="1:16" s="154" customFormat="1" x14ac:dyDescent="0.25">
      <c r="A145" s="151">
        <f>'B) D RI'!A146</f>
        <v>5637</v>
      </c>
      <c r="B145" s="152" t="str">
        <f>'B) D RI'!B146</f>
        <v>Lavigny</v>
      </c>
      <c r="C145" s="313">
        <f>'B) D RI'!S146</f>
        <v>74.5</v>
      </c>
      <c r="D145" s="153">
        <f>'B) D RI'!AA146</f>
        <v>992</v>
      </c>
      <c r="E145" s="311">
        <f>'D) Ecrêtage'!C144</f>
        <v>37137.682399987621</v>
      </c>
      <c r="F145" s="315">
        <f>'E) Part. coh. soc.'!G150</f>
        <v>689494.12396277522</v>
      </c>
      <c r="G145" s="312">
        <f>'H) Péréquation directe'!I155</f>
        <v>418925.42926478689</v>
      </c>
      <c r="H145" s="315">
        <f>+'I) Dépenses thématiques'!O144</f>
        <v>-177552.69350741289</v>
      </c>
      <c r="I145" s="312">
        <f>'K) Plafonnement aide'!J144</f>
        <v>0</v>
      </c>
      <c r="J145" s="315">
        <f>'J) Plafonnement effort'!J144</f>
        <v>0</v>
      </c>
      <c r="K145" s="315">
        <f>'L) Plafonnement taux'!Q145</f>
        <v>0</v>
      </c>
      <c r="L145" s="310">
        <f t="shared" si="4"/>
        <v>930866.85972014908</v>
      </c>
      <c r="M145" s="234">
        <f>'M) Police'!O145</f>
        <v>116768.45380650405</v>
      </c>
      <c r="N145" s="234">
        <f t="shared" si="5"/>
        <v>1047635.3135266531</v>
      </c>
      <c r="P145" s="317"/>
    </row>
    <row r="146" spans="1:16" s="154" customFormat="1" x14ac:dyDescent="0.25">
      <c r="A146" s="151">
        <f>'B) D RI'!A147</f>
        <v>5638</v>
      </c>
      <c r="B146" s="152" t="str">
        <f>'B) D RI'!B147</f>
        <v>Lonay</v>
      </c>
      <c r="C146" s="313">
        <f>'B) D RI'!S147</f>
        <v>55</v>
      </c>
      <c r="D146" s="153">
        <f>'B) D RI'!AA147</f>
        <v>2676</v>
      </c>
      <c r="E146" s="311">
        <f>'D) Ecrêtage'!C145</f>
        <v>154797.39129324263</v>
      </c>
      <c r="F146" s="315">
        <f>'E) Part. coh. soc.'!G151</f>
        <v>4399217.7967926534</v>
      </c>
      <c r="G146" s="312">
        <f>'H) Péréquation directe'!I156</f>
        <v>2326391.6574787009</v>
      </c>
      <c r="H146" s="315">
        <f>+'I) Dépenses thématiques'!O145</f>
        <v>-385885.18199012836</v>
      </c>
      <c r="I146" s="312">
        <f>'K) Plafonnement aide'!J145</f>
        <v>0</v>
      </c>
      <c r="J146" s="315">
        <f>'J) Plafonnement effort'!J145</f>
        <v>0</v>
      </c>
      <c r="K146" s="315">
        <f>'L) Plafonnement taux'!Q146</f>
        <v>0</v>
      </c>
      <c r="L146" s="310">
        <f t="shared" si="4"/>
        <v>6339724.2722812258</v>
      </c>
      <c r="M146" s="234">
        <f>'M) Police'!O146</f>
        <v>426754.56248780875</v>
      </c>
      <c r="N146" s="234">
        <f t="shared" si="5"/>
        <v>6766478.8347690348</v>
      </c>
      <c r="P146" s="317"/>
    </row>
    <row r="147" spans="1:16" s="154" customFormat="1" x14ac:dyDescent="0.25">
      <c r="A147" s="151">
        <f>'B) D RI'!A148</f>
        <v>5639</v>
      </c>
      <c r="B147" s="152" t="str">
        <f>'B) D RI'!B148</f>
        <v>Lully</v>
      </c>
      <c r="C147" s="313">
        <f>'B) D RI'!S148</f>
        <v>61</v>
      </c>
      <c r="D147" s="153">
        <f>'B) D RI'!AA148</f>
        <v>818</v>
      </c>
      <c r="E147" s="311">
        <f>'D) Ecrêtage'!C146</f>
        <v>46990.489786222082</v>
      </c>
      <c r="F147" s="315">
        <f>'E) Part. coh. soc.'!G152</f>
        <v>911068.66061557294</v>
      </c>
      <c r="G147" s="312">
        <f>'H) Péréquation directe'!I157</f>
        <v>820538.80319193844</v>
      </c>
      <c r="H147" s="315">
        <f>+'I) Dépenses thématiques'!O146</f>
        <v>0</v>
      </c>
      <c r="I147" s="312">
        <f>'K) Plafonnement aide'!J146</f>
        <v>0</v>
      </c>
      <c r="J147" s="315">
        <f>'J) Plafonnement effort'!J146</f>
        <v>0</v>
      </c>
      <c r="K147" s="315">
        <f>'L) Plafonnement taux'!Q147</f>
        <v>0</v>
      </c>
      <c r="L147" s="310">
        <f t="shared" si="4"/>
        <v>1731607.4638075114</v>
      </c>
      <c r="M147" s="234">
        <f>'M) Police'!O147</f>
        <v>130028.8798828157</v>
      </c>
      <c r="N147" s="234">
        <f t="shared" si="5"/>
        <v>1861636.3436903271</v>
      </c>
      <c r="P147" s="317"/>
    </row>
    <row r="148" spans="1:16" s="154" customFormat="1" x14ac:dyDescent="0.25">
      <c r="A148" s="151">
        <f>'B) D RI'!A149</f>
        <v>5640</v>
      </c>
      <c r="B148" s="152" t="str">
        <f>'B) D RI'!B149</f>
        <v>Lussy-sur-Morges</v>
      </c>
      <c r="C148" s="313">
        <f>'B) D RI'!S149</f>
        <v>66</v>
      </c>
      <c r="D148" s="153">
        <f>'B) D RI'!AA149</f>
        <v>696</v>
      </c>
      <c r="E148" s="311">
        <f>'D) Ecrêtage'!C147</f>
        <v>60932.654829076157</v>
      </c>
      <c r="F148" s="315">
        <f>'E) Part. coh. soc.'!G153</f>
        <v>1780786.4783752349</v>
      </c>
      <c r="G148" s="312">
        <f>'H) Péréquation directe'!I158</f>
        <v>1109811.2588583175</v>
      </c>
      <c r="H148" s="315">
        <f>+'I) Dépenses thématiques'!O147</f>
        <v>0</v>
      </c>
      <c r="I148" s="312">
        <f>'K) Plafonnement aide'!J147</f>
        <v>0</v>
      </c>
      <c r="J148" s="315">
        <f>'J) Plafonnement effort'!J147</f>
        <v>0</v>
      </c>
      <c r="K148" s="315">
        <f>'L) Plafonnement taux'!Q148</f>
        <v>0</v>
      </c>
      <c r="L148" s="310">
        <f t="shared" si="4"/>
        <v>2890597.7372335522</v>
      </c>
      <c r="M148" s="234">
        <f>'M) Police'!O148</f>
        <v>78304.379451144167</v>
      </c>
      <c r="N148" s="234">
        <f t="shared" si="5"/>
        <v>2968902.1166846962</v>
      </c>
      <c r="P148" s="317"/>
    </row>
    <row r="149" spans="1:16" s="154" customFormat="1" x14ac:dyDescent="0.25">
      <c r="A149" s="151">
        <f>'B) D RI'!A150</f>
        <v>5642</v>
      </c>
      <c r="B149" s="152" t="str">
        <f>'B) D RI'!B150</f>
        <v>Morges</v>
      </c>
      <c r="C149" s="313">
        <f>'B) D RI'!S150</f>
        <v>68.5</v>
      </c>
      <c r="D149" s="153">
        <f>'B) D RI'!AA150</f>
        <v>15862</v>
      </c>
      <c r="E149" s="311">
        <f>'D) Ecrêtage'!C148</f>
        <v>860073.47085290938</v>
      </c>
      <c r="F149" s="315">
        <f>'E) Part. coh. soc.'!G154</f>
        <v>18353982.738213252</v>
      </c>
      <c r="G149" s="312">
        <f>'H) Péréquation directe'!I159</f>
        <v>6165522.9497689493</v>
      </c>
      <c r="H149" s="315">
        <f>+'I) Dépenses thématiques'!O148</f>
        <v>-838016.91492219293</v>
      </c>
      <c r="I149" s="312">
        <f>'K) Plafonnement aide'!J148</f>
        <v>0</v>
      </c>
      <c r="J149" s="315">
        <f>'J) Plafonnement effort'!J148</f>
        <v>0</v>
      </c>
      <c r="K149" s="315">
        <f>'L) Plafonnement taux'!Q149</f>
        <v>0</v>
      </c>
      <c r="L149" s="310">
        <f t="shared" si="4"/>
        <v>23681488.773060009</v>
      </c>
      <c r="M149" s="234">
        <f>'M) Police'!O149</f>
        <v>1105277.9434352098</v>
      </c>
      <c r="N149" s="234">
        <f t="shared" si="5"/>
        <v>24786766.71649522</v>
      </c>
      <c r="P149" s="317"/>
    </row>
    <row r="150" spans="1:16" s="154" customFormat="1" x14ac:dyDescent="0.25">
      <c r="A150" s="151">
        <f>'B) D RI'!A151</f>
        <v>5643</v>
      </c>
      <c r="B150" s="152" t="str">
        <f>'B) D RI'!B151</f>
        <v>Préverenges</v>
      </c>
      <c r="C150" s="313">
        <f>'B) D RI'!S151</f>
        <v>64</v>
      </c>
      <c r="D150" s="153">
        <f>'B) D RI'!AA151</f>
        <v>5243</v>
      </c>
      <c r="E150" s="311">
        <f>'D) Ecrêtage'!C149</f>
        <v>258751.58879529274</v>
      </c>
      <c r="F150" s="315">
        <f>'E) Part. coh. soc.'!G155</f>
        <v>5119866.1082624476</v>
      </c>
      <c r="G150" s="312">
        <f>'H) Péréquation directe'!I160</f>
        <v>3103424.9330073064</v>
      </c>
      <c r="H150" s="315">
        <f>+'I) Dépenses thématiques'!O149</f>
        <v>0</v>
      </c>
      <c r="I150" s="312">
        <f>'K) Plafonnement aide'!J149</f>
        <v>0</v>
      </c>
      <c r="J150" s="315">
        <f>'J) Plafonnement effort'!J149</f>
        <v>0</v>
      </c>
      <c r="K150" s="315">
        <f>'L) Plafonnement taux'!Q150</f>
        <v>0</v>
      </c>
      <c r="L150" s="310">
        <f t="shared" si="4"/>
        <v>8223291.0412697541</v>
      </c>
      <c r="M150" s="234">
        <f>'M) Police'!O150</f>
        <v>332520.92247496481</v>
      </c>
      <c r="N150" s="234">
        <f t="shared" si="5"/>
        <v>8555811.9637447186</v>
      </c>
      <c r="P150" s="317"/>
    </row>
    <row r="151" spans="1:16" s="154" customFormat="1" x14ac:dyDescent="0.25">
      <c r="A151" s="151">
        <f>'B) D RI'!A152</f>
        <v>5644</v>
      </c>
      <c r="B151" s="152" t="str">
        <f>'B) D RI'!B152</f>
        <v>Reverolle</v>
      </c>
      <c r="C151" s="313">
        <f>'B) D RI'!S152</f>
        <v>76</v>
      </c>
      <c r="D151" s="153">
        <f>'B) D RI'!AA152</f>
        <v>413</v>
      </c>
      <c r="E151" s="311">
        <f>'D) Ecrêtage'!C150</f>
        <v>16806.032344441897</v>
      </c>
      <c r="F151" s="315">
        <f>'E) Part. coh. soc.'!G156</f>
        <v>298476.07673667429</v>
      </c>
      <c r="G151" s="312">
        <f>'H) Péréquation directe'!I161</f>
        <v>228337.89536799054</v>
      </c>
      <c r="H151" s="315">
        <f>+'I) Dépenses thématiques'!O150</f>
        <v>-48774.635297822868</v>
      </c>
      <c r="I151" s="312">
        <f>'K) Plafonnement aide'!J150</f>
        <v>0</v>
      </c>
      <c r="J151" s="315">
        <f>'J) Plafonnement effort'!J150</f>
        <v>0</v>
      </c>
      <c r="K151" s="315">
        <f>'L) Plafonnement taux'!Q151</f>
        <v>0</v>
      </c>
      <c r="L151" s="310">
        <f t="shared" si="4"/>
        <v>478039.33680684201</v>
      </c>
      <c r="M151" s="234">
        <f>'M) Police'!O151</f>
        <v>53120.041934076173</v>
      </c>
      <c r="N151" s="234">
        <f t="shared" si="5"/>
        <v>531159.37874091812</v>
      </c>
      <c r="P151" s="317"/>
    </row>
    <row r="152" spans="1:16" s="154" customFormat="1" x14ac:dyDescent="0.25">
      <c r="A152" s="151">
        <f>'B) D RI'!A153</f>
        <v>5645</v>
      </c>
      <c r="B152" s="152" t="str">
        <f>'B) D RI'!B153</f>
        <v>Romanel-sur-Morges</v>
      </c>
      <c r="C152" s="313">
        <f>'B) D RI'!S153</f>
        <v>56</v>
      </c>
      <c r="D152" s="153">
        <f>'B) D RI'!AA153</f>
        <v>470</v>
      </c>
      <c r="E152" s="311">
        <f>'D) Ecrêtage'!C151</f>
        <v>30104.624556076433</v>
      </c>
      <c r="F152" s="315">
        <f>'E) Part. coh. soc.'!G157</f>
        <v>669941.7786515851</v>
      </c>
      <c r="G152" s="312">
        <f>'H) Péréquation directe'!I162</f>
        <v>532471.91972584103</v>
      </c>
      <c r="H152" s="315">
        <f>+'I) Dépenses thématiques'!O151</f>
        <v>0</v>
      </c>
      <c r="I152" s="312">
        <f>'K) Plafonnement aide'!J151</f>
        <v>0</v>
      </c>
      <c r="J152" s="315">
        <f>'J) Plafonnement effort'!J151</f>
        <v>0</v>
      </c>
      <c r="K152" s="315">
        <f>'L) Plafonnement taux'!Q152</f>
        <v>0</v>
      </c>
      <c r="L152" s="310">
        <f t="shared" si="4"/>
        <v>1202413.6983774262</v>
      </c>
      <c r="M152" s="234">
        <f>'M) Police'!O152</f>
        <v>78701.452258066944</v>
      </c>
      <c r="N152" s="234">
        <f t="shared" si="5"/>
        <v>1281115.1506354932</v>
      </c>
      <c r="P152" s="317"/>
    </row>
    <row r="153" spans="1:16" s="154" customFormat="1" x14ac:dyDescent="0.25">
      <c r="A153" s="151">
        <f>'B) D RI'!A154</f>
        <v>5646</v>
      </c>
      <c r="B153" s="152" t="str">
        <f>'B) D RI'!B154</f>
        <v>Saint-Prex</v>
      </c>
      <c r="C153" s="313">
        <f>'B) D RI'!S154</f>
        <v>55</v>
      </c>
      <c r="D153" s="153">
        <f>'B) D RI'!AA154</f>
        <v>5774</v>
      </c>
      <c r="E153" s="311">
        <f>'D) Ecrêtage'!C152</f>
        <v>410896.75287158613</v>
      </c>
      <c r="F153" s="315">
        <f>'E) Part. coh. soc.'!G158</f>
        <v>9410186.6087747347</v>
      </c>
      <c r="G153" s="312">
        <f>'H) Péréquation directe'!I163</f>
        <v>5772680.5725056995</v>
      </c>
      <c r="H153" s="315">
        <f>+'I) Dépenses thématiques'!O152</f>
        <v>0</v>
      </c>
      <c r="I153" s="312">
        <f>'K) Plafonnement aide'!J152</f>
        <v>0</v>
      </c>
      <c r="J153" s="315">
        <f>'J) Plafonnement effort'!J152</f>
        <v>0</v>
      </c>
      <c r="K153" s="315">
        <f>'L) Plafonnement taux'!Q153</f>
        <v>0</v>
      </c>
      <c r="L153" s="310">
        <f t="shared" si="4"/>
        <v>15182867.181280434</v>
      </c>
      <c r="M153" s="234">
        <f>'M) Police'!O153</f>
        <v>528042.23519153555</v>
      </c>
      <c r="N153" s="234">
        <f t="shared" si="5"/>
        <v>15710909.416471969</v>
      </c>
      <c r="P153" s="317"/>
    </row>
    <row r="154" spans="1:16" s="154" customFormat="1" x14ac:dyDescent="0.25">
      <c r="A154" s="151">
        <f>'B) D RI'!A155</f>
        <v>5648</v>
      </c>
      <c r="B154" s="152" t="str">
        <f>'B) D RI'!B155</f>
        <v>Saint-Sulpice</v>
      </c>
      <c r="C154" s="313">
        <f>'B) D RI'!S155</f>
        <v>55</v>
      </c>
      <c r="D154" s="153">
        <f>'B) D RI'!AA155</f>
        <v>4717</v>
      </c>
      <c r="E154" s="311">
        <f>'D) Ecrêtage'!C153</f>
        <v>382700.93610668415</v>
      </c>
      <c r="F154" s="315">
        <f>'E) Part. coh. soc.'!G159</f>
        <v>9866724.0205562003</v>
      </c>
      <c r="G154" s="312">
        <f>'H) Péréquation directe'!I164</f>
        <v>5827616.5527944649</v>
      </c>
      <c r="H154" s="315">
        <f>+'I) Dépenses thématiques'!O153</f>
        <v>0</v>
      </c>
      <c r="I154" s="312">
        <f>'K) Plafonnement aide'!J153</f>
        <v>0</v>
      </c>
      <c r="J154" s="315">
        <f>'J) Plafonnement effort'!J153</f>
        <v>0</v>
      </c>
      <c r="K154" s="315">
        <f>'L) Plafonnement taux'!Q154</f>
        <v>0</v>
      </c>
      <c r="L154" s="310">
        <f t="shared" si="4"/>
        <v>15694340.573350664</v>
      </c>
      <c r="M154" s="234">
        <f>'M) Police'!O154</f>
        <v>491807.87217080174</v>
      </c>
      <c r="N154" s="234">
        <f t="shared" si="5"/>
        <v>16186148.445521466</v>
      </c>
      <c r="P154" s="317"/>
    </row>
    <row r="155" spans="1:16" s="154" customFormat="1" x14ac:dyDescent="0.25">
      <c r="A155" s="151">
        <f>'B) D RI'!A156</f>
        <v>5649</v>
      </c>
      <c r="B155" s="152" t="str">
        <f>'B) D RI'!B156</f>
        <v>Tolochenaz</v>
      </c>
      <c r="C155" s="313">
        <f>'B) D RI'!S156</f>
        <v>65</v>
      </c>
      <c r="D155" s="153">
        <f>'B) D RI'!AA156</f>
        <v>1907</v>
      </c>
      <c r="E155" s="311">
        <f>'D) Ecrêtage'!C154</f>
        <v>102752.22096213103</v>
      </c>
      <c r="F155" s="315">
        <f>'E) Part. coh. soc.'!G160</f>
        <v>1955097.3706647123</v>
      </c>
      <c r="G155" s="312">
        <f>'H) Péréquation directe'!I165</f>
        <v>1574274.3712889412</v>
      </c>
      <c r="H155" s="315">
        <f>+'I) Dépenses thématiques'!O154</f>
        <v>-501933.29841622704</v>
      </c>
      <c r="I155" s="312">
        <f>'K) Plafonnement aide'!J154</f>
        <v>0</v>
      </c>
      <c r="J155" s="315">
        <f>'J) Plafonnement effort'!J154</f>
        <v>0</v>
      </c>
      <c r="K155" s="315">
        <f>'L) Plafonnement taux'!Q155</f>
        <v>0</v>
      </c>
      <c r="L155" s="310">
        <f t="shared" si="4"/>
        <v>3027438.4435374262</v>
      </c>
      <c r="M155" s="234">
        <f>'M) Police'!O155</f>
        <v>132046.58359686489</v>
      </c>
      <c r="N155" s="234">
        <f t="shared" si="5"/>
        <v>3159485.0271342909</v>
      </c>
      <c r="P155" s="317"/>
    </row>
    <row r="156" spans="1:16" s="154" customFormat="1" x14ac:dyDescent="0.25">
      <c r="A156" s="151">
        <f>'B) D RI'!A157</f>
        <v>5650</v>
      </c>
      <c r="B156" s="152" t="str">
        <f>'B) D RI'!B157</f>
        <v>Vaux-sur-Morges</v>
      </c>
      <c r="C156" s="313">
        <f>'B) D RI'!S157</f>
        <v>56</v>
      </c>
      <c r="D156" s="153">
        <f>'B) D RI'!AA157</f>
        <v>196</v>
      </c>
      <c r="E156" s="311">
        <f>'D) Ecrêtage'!C155</f>
        <v>91360.78017857144</v>
      </c>
      <c r="F156" s="315">
        <f>'E) Part. coh. soc.'!G161</f>
        <v>3987721.5139235845</v>
      </c>
      <c r="G156" s="312">
        <f>'H) Péréquation directe'!I166</f>
        <v>1770499.4656708995</v>
      </c>
      <c r="H156" s="315">
        <f>+'I) Dépenses thématiques'!O155</f>
        <v>0</v>
      </c>
      <c r="I156" s="312">
        <f>'K) Plafonnement aide'!J155</f>
        <v>0</v>
      </c>
      <c r="J156" s="315">
        <f>'J) Plafonnement effort'!J155</f>
        <v>-1365979.0310230544</v>
      </c>
      <c r="K156" s="315">
        <f>'L) Plafonnement taux'!Q156</f>
        <v>0</v>
      </c>
      <c r="L156" s="310">
        <f t="shared" si="4"/>
        <v>4392241.9485714296</v>
      </c>
      <c r="M156" s="234">
        <f>'M) Police'!O156</f>
        <v>134094.20096974127</v>
      </c>
      <c r="N156" s="234">
        <f t="shared" si="5"/>
        <v>4526336.1495411713</v>
      </c>
      <c r="P156" s="317"/>
    </row>
    <row r="157" spans="1:16" s="154" customFormat="1" x14ac:dyDescent="0.25">
      <c r="A157" s="151">
        <f>'B) D RI'!A158</f>
        <v>5651</v>
      </c>
      <c r="B157" s="152" t="str">
        <f>'B) D RI'!B158</f>
        <v>Villars-Sainte-Croix</v>
      </c>
      <c r="C157" s="313">
        <f>'B) D RI'!S158</f>
        <v>62</v>
      </c>
      <c r="D157" s="153">
        <f>'B) D RI'!AA158</f>
        <v>973</v>
      </c>
      <c r="E157" s="311">
        <f>'D) Ecrêtage'!C156</f>
        <v>58663.104123472025</v>
      </c>
      <c r="F157" s="315">
        <f>'E) Part. coh. soc.'!G162</f>
        <v>1243412.2216581705</v>
      </c>
      <c r="G157" s="312">
        <f>'H) Péréquation directe'!I167</f>
        <v>1030418.3146381559</v>
      </c>
      <c r="H157" s="315">
        <f>+'I) Dépenses thématiques'!O156</f>
        <v>0</v>
      </c>
      <c r="I157" s="312">
        <f>'K) Plafonnement aide'!J156</f>
        <v>0</v>
      </c>
      <c r="J157" s="315">
        <f>'J) Plafonnement effort'!J156</f>
        <v>0</v>
      </c>
      <c r="K157" s="315">
        <f>'L) Plafonnement taux'!Q157</f>
        <v>0</v>
      </c>
      <c r="L157" s="310">
        <f t="shared" si="4"/>
        <v>2273830.5362963262</v>
      </c>
      <c r="M157" s="234">
        <f>'M) Police'!O157</f>
        <v>75387.786367620181</v>
      </c>
      <c r="N157" s="234">
        <f t="shared" si="5"/>
        <v>2349218.3226639465</v>
      </c>
      <c r="P157" s="317"/>
    </row>
    <row r="158" spans="1:16" s="154" customFormat="1" x14ac:dyDescent="0.25">
      <c r="A158" s="151">
        <f>'B) D RI'!A159</f>
        <v>5652</v>
      </c>
      <c r="B158" s="152" t="str">
        <f>'B) D RI'!B159</f>
        <v>Villars-sous-Yens</v>
      </c>
      <c r="C158" s="313">
        <f>'B) D RI'!S159</f>
        <v>76</v>
      </c>
      <c r="D158" s="153">
        <f>'B) D RI'!AA159</f>
        <v>603</v>
      </c>
      <c r="E158" s="311">
        <f>'D) Ecrêtage'!C157</f>
        <v>32914.720873332524</v>
      </c>
      <c r="F158" s="315">
        <f>'E) Part. coh. soc.'!G163</f>
        <v>617082.32577994489</v>
      </c>
      <c r="G158" s="312">
        <f>'H) Péréquation directe'!I168</f>
        <v>570978.09840789367</v>
      </c>
      <c r="H158" s="315">
        <f>+'I) Dépenses thématiques'!O157</f>
        <v>0</v>
      </c>
      <c r="I158" s="312">
        <f>'K) Plafonnement aide'!J157</f>
        <v>0</v>
      </c>
      <c r="J158" s="315">
        <f>'J) Plafonnement effort'!J157</f>
        <v>0</v>
      </c>
      <c r="K158" s="315">
        <f>'L) Plafonnement taux'!Q158</f>
        <v>0</v>
      </c>
      <c r="L158" s="310">
        <f t="shared" si="4"/>
        <v>1188060.4241878386</v>
      </c>
      <c r="M158" s="234">
        <f>'M) Police'!O158</f>
        <v>93635.833880186256</v>
      </c>
      <c r="N158" s="234">
        <f t="shared" si="5"/>
        <v>1281696.2580680249</v>
      </c>
      <c r="P158" s="317"/>
    </row>
    <row r="159" spans="1:16" s="154" customFormat="1" x14ac:dyDescent="0.25">
      <c r="A159" s="151">
        <f>'B) D RI'!A160</f>
        <v>5653</v>
      </c>
      <c r="B159" s="152" t="str">
        <f>'B) D RI'!B160</f>
        <v>Vufflens-le-Château</v>
      </c>
      <c r="C159" s="313">
        <f>'B) D RI'!S160</f>
        <v>60</v>
      </c>
      <c r="D159" s="153">
        <f>'B) D RI'!AA160</f>
        <v>883</v>
      </c>
      <c r="E159" s="311">
        <f>'D) Ecrêtage'!C158</f>
        <v>71945.00670599271</v>
      </c>
      <c r="F159" s="315">
        <f>'E) Part. coh. soc.'!G164</f>
        <v>2597838.0842259312</v>
      </c>
      <c r="G159" s="312">
        <f>'H) Péréquation directe'!I169</f>
        <v>1302697.3350839906</v>
      </c>
      <c r="H159" s="315">
        <f>+'I) Dépenses thématiques'!O158</f>
        <v>0</v>
      </c>
      <c r="I159" s="312">
        <f>'K) Plafonnement aide'!J158</f>
        <v>0</v>
      </c>
      <c r="J159" s="315">
        <f>'J) Plafonnement effort'!J158</f>
        <v>0</v>
      </c>
      <c r="K159" s="315">
        <f>'L) Plafonnement taux'!Q159</f>
        <v>0</v>
      </c>
      <c r="L159" s="310">
        <f t="shared" si="4"/>
        <v>3900535.4193099216</v>
      </c>
      <c r="M159" s="234">
        <f>'M) Police'!O159</f>
        <v>167631.720730701</v>
      </c>
      <c r="N159" s="234">
        <f t="shared" si="5"/>
        <v>4068167.1400406226</v>
      </c>
      <c r="P159" s="317"/>
    </row>
    <row r="160" spans="1:16" s="154" customFormat="1" x14ac:dyDescent="0.25">
      <c r="A160" s="151">
        <f>'B) D RI'!A161</f>
        <v>5654</v>
      </c>
      <c r="B160" s="152" t="str">
        <f>'B) D RI'!B161</f>
        <v>Vullierens</v>
      </c>
      <c r="C160" s="313">
        <f>'B) D RI'!S161</f>
        <v>76</v>
      </c>
      <c r="D160" s="153">
        <f>'B) D RI'!AA161</f>
        <v>513</v>
      </c>
      <c r="E160" s="311">
        <f>'D) Ecrêtage'!C159</f>
        <v>18024.22731423103</v>
      </c>
      <c r="F160" s="315">
        <f>'E) Part. coh. soc.'!G165</f>
        <v>303194.3927113383</v>
      </c>
      <c r="G160" s="312">
        <f>'H) Péréquation directe'!I170</f>
        <v>162585.79751413537</v>
      </c>
      <c r="H160" s="315">
        <f>+'I) Dépenses thématiques'!O159</f>
        <v>-19628.152945480764</v>
      </c>
      <c r="I160" s="312">
        <f>'K) Plafonnement aide'!J159</f>
        <v>0</v>
      </c>
      <c r="J160" s="315">
        <f>'J) Plafonnement effort'!J159</f>
        <v>0</v>
      </c>
      <c r="K160" s="315">
        <f>'L) Plafonnement taux'!Q160</f>
        <v>0</v>
      </c>
      <c r="L160" s="310">
        <f t="shared" si="4"/>
        <v>446152.03727999289</v>
      </c>
      <c r="M160" s="234">
        <f>'M) Police'!O160</f>
        <v>56489.928093675248</v>
      </c>
      <c r="N160" s="234">
        <f t="shared" si="5"/>
        <v>502641.96537366812</v>
      </c>
      <c r="P160" s="317"/>
    </row>
    <row r="161" spans="1:16" s="154" customFormat="1" x14ac:dyDescent="0.25">
      <c r="A161" s="151">
        <f>'B) D RI'!A162</f>
        <v>5655</v>
      </c>
      <c r="B161" s="152" t="str">
        <f>'B) D RI'!B162</f>
        <v>Yens</v>
      </c>
      <c r="C161" s="313">
        <f>'B) D RI'!S162</f>
        <v>73</v>
      </c>
      <c r="D161" s="153">
        <f>'B) D RI'!AA162</f>
        <v>1477</v>
      </c>
      <c r="E161" s="311">
        <f>'D) Ecrêtage'!C160</f>
        <v>77001.825217451595</v>
      </c>
      <c r="F161" s="315">
        <f>'E) Part. coh. soc.'!G166</f>
        <v>1577210.5492934284</v>
      </c>
      <c r="G161" s="312">
        <f>'H) Péréquation directe'!I171</f>
        <v>1219569.0084882621</v>
      </c>
      <c r="H161" s="315">
        <f>+'I) Dépenses thématiques'!O160</f>
        <v>0</v>
      </c>
      <c r="I161" s="312">
        <f>'K) Plafonnement aide'!J160</f>
        <v>0</v>
      </c>
      <c r="J161" s="315">
        <f>'J) Plafonnement effort'!J160</f>
        <v>0</v>
      </c>
      <c r="K161" s="315">
        <f>'L) Plafonnement taux'!Q161</f>
        <v>0</v>
      </c>
      <c r="L161" s="310">
        <f t="shared" si="4"/>
        <v>2796779.5577816907</v>
      </c>
      <c r="M161" s="234">
        <f>'M) Police'!O161</f>
        <v>224701.21724191835</v>
      </c>
      <c r="N161" s="234">
        <f t="shared" si="5"/>
        <v>3021480.7750236089</v>
      </c>
      <c r="P161" s="317"/>
    </row>
    <row r="162" spans="1:16" s="154" customFormat="1" x14ac:dyDescent="0.25">
      <c r="A162" s="151">
        <f>'B) D RI'!A163</f>
        <v>5661</v>
      </c>
      <c r="B162" s="152" t="str">
        <f>'B) D RI'!B163</f>
        <v>Boulens</v>
      </c>
      <c r="C162" s="313">
        <f>'B) D RI'!S163</f>
        <v>73</v>
      </c>
      <c r="D162" s="153">
        <f>'B) D RI'!AA163</f>
        <v>361</v>
      </c>
      <c r="E162" s="311">
        <f>'D) Ecrêtage'!C161</f>
        <v>10064.101124681909</v>
      </c>
      <c r="F162" s="315">
        <f>'E) Part. coh. soc.'!G167</f>
        <v>160493.90122570301</v>
      </c>
      <c r="G162" s="312">
        <f>'H) Péréquation directe'!I172</f>
        <v>14744.632623985322</v>
      </c>
      <c r="H162" s="315">
        <f>+'I) Dépenses thématiques'!O161</f>
        <v>-73860.417617482191</v>
      </c>
      <c r="I162" s="312">
        <f>'K) Plafonnement aide'!J161</f>
        <v>0</v>
      </c>
      <c r="J162" s="315">
        <f>'J) Plafonnement effort'!J161</f>
        <v>0</v>
      </c>
      <c r="K162" s="315">
        <f>'L) Plafonnement taux'!Q162</f>
        <v>0</v>
      </c>
      <c r="L162" s="310">
        <f t="shared" si="4"/>
        <v>101378.11623220614</v>
      </c>
      <c r="M162" s="234">
        <f>'M) Police'!O162</f>
        <v>31537.220888691085</v>
      </c>
      <c r="N162" s="234">
        <f t="shared" si="5"/>
        <v>132915.33712089722</v>
      </c>
      <c r="P162" s="317"/>
    </row>
    <row r="163" spans="1:16" s="154" customFormat="1" x14ac:dyDescent="0.25">
      <c r="A163" s="151">
        <f>'B) D RI'!A164</f>
        <v>5663</v>
      </c>
      <c r="B163" s="152" t="str">
        <f>'B) D RI'!B164</f>
        <v>Bussy-sur-Moudon</v>
      </c>
      <c r="C163" s="313">
        <f>'B) D RI'!S164</f>
        <v>80</v>
      </c>
      <c r="D163" s="153">
        <f>'B) D RI'!AA164</f>
        <v>218</v>
      </c>
      <c r="E163" s="311">
        <f>'D) Ecrêtage'!C162</f>
        <v>6370.1104534474161</v>
      </c>
      <c r="F163" s="315">
        <f>'E) Part. coh. soc.'!G168</f>
        <v>120369.65177663851</v>
      </c>
      <c r="G163" s="312">
        <f>'H) Péréquation directe'!I173</f>
        <v>5341.9794584734482</v>
      </c>
      <c r="H163" s="315">
        <f>+'I) Dépenses thématiques'!O162</f>
        <v>-28782.521165546954</v>
      </c>
      <c r="I163" s="312">
        <f>'K) Plafonnement aide'!J162</f>
        <v>0</v>
      </c>
      <c r="J163" s="315">
        <f>'J) Plafonnement effort'!J162</f>
        <v>0</v>
      </c>
      <c r="K163" s="315">
        <f>'L) Plafonnement taux'!Q163</f>
        <v>0</v>
      </c>
      <c r="L163" s="310">
        <f t="shared" si="4"/>
        <v>96929.110069565009</v>
      </c>
      <c r="M163" s="234">
        <f>'M) Police'!O163</f>
        <v>20130.672777319382</v>
      </c>
      <c r="N163" s="234">
        <f t="shared" si="5"/>
        <v>117059.78284688439</v>
      </c>
      <c r="P163" s="317"/>
    </row>
    <row r="164" spans="1:16" s="154" customFormat="1" x14ac:dyDescent="0.25">
      <c r="A164" s="151">
        <f>'B) D RI'!A165</f>
        <v>5665</v>
      </c>
      <c r="B164" s="152" t="str">
        <f>'B) D RI'!B165</f>
        <v>Chavannes-sur-Moudon</v>
      </c>
      <c r="C164" s="313">
        <f>'B) D RI'!S165</f>
        <v>73</v>
      </c>
      <c r="D164" s="153">
        <f>'B) D RI'!AA165</f>
        <v>210</v>
      </c>
      <c r="E164" s="311">
        <f>'D) Ecrêtage'!C163</f>
        <v>4725.8157534246584</v>
      </c>
      <c r="F164" s="315">
        <f>'E) Part. coh. soc.'!G169</f>
        <v>87211.36549851649</v>
      </c>
      <c r="G164" s="312">
        <f>'H) Péréquation directe'!I174</f>
        <v>-37346.726807186482</v>
      </c>
      <c r="H164" s="315">
        <f>+'I) Dépenses thématiques'!O163</f>
        <v>-20180.079806509118</v>
      </c>
      <c r="I164" s="312">
        <f>'K) Plafonnement aide'!J163</f>
        <v>0</v>
      </c>
      <c r="J164" s="315">
        <f>'J) Plafonnement effort'!J163</f>
        <v>0</v>
      </c>
      <c r="K164" s="315">
        <f>'L) Plafonnement taux'!Q164</f>
        <v>0</v>
      </c>
      <c r="L164" s="310">
        <f t="shared" si="4"/>
        <v>29684.55888482089</v>
      </c>
      <c r="M164" s="234">
        <f>'M) Police'!O164</f>
        <v>14852.922642114798</v>
      </c>
      <c r="N164" s="234">
        <f t="shared" si="5"/>
        <v>44537.481526935691</v>
      </c>
      <c r="P164" s="317"/>
    </row>
    <row r="165" spans="1:16" s="154" customFormat="1" x14ac:dyDescent="0.25">
      <c r="A165" s="151">
        <f>'B) D RI'!A166</f>
        <v>5669</v>
      </c>
      <c r="B165" s="152" t="str">
        <f>'B) D RI'!B166</f>
        <v>Curtilles</v>
      </c>
      <c r="C165" s="313">
        <f>'B) D RI'!S166</f>
        <v>75</v>
      </c>
      <c r="D165" s="153">
        <f>'B) D RI'!AA166</f>
        <v>310</v>
      </c>
      <c r="E165" s="311">
        <f>'D) Ecrêtage'!C164</f>
        <v>9981.2313977454014</v>
      </c>
      <c r="F165" s="315">
        <f>'E) Part. coh. soc.'!G170</f>
        <v>160658.25895405497</v>
      </c>
      <c r="G165" s="312">
        <f>'H) Péréquation directe'!I175</f>
        <v>62140.901798697043</v>
      </c>
      <c r="H165" s="315">
        <f>+'I) Dépenses thématiques'!O164</f>
        <v>0</v>
      </c>
      <c r="I165" s="312">
        <f>'K) Plafonnement aide'!J164</f>
        <v>0</v>
      </c>
      <c r="J165" s="315">
        <f>'J) Plafonnement effort'!J164</f>
        <v>0</v>
      </c>
      <c r="K165" s="315">
        <f>'L) Plafonnement taux'!Q165</f>
        <v>0</v>
      </c>
      <c r="L165" s="310">
        <f t="shared" si="4"/>
        <v>222799.16075275201</v>
      </c>
      <c r="M165" s="234">
        <f>'M) Police'!O165</f>
        <v>31536.610554225834</v>
      </c>
      <c r="N165" s="234">
        <f t="shared" si="5"/>
        <v>254335.77130697784</v>
      </c>
      <c r="P165" s="317"/>
    </row>
    <row r="166" spans="1:16" s="154" customFormat="1" x14ac:dyDescent="0.25">
      <c r="A166" s="151">
        <f>'B) D RI'!A167</f>
        <v>5671</v>
      </c>
      <c r="B166" s="152" t="str">
        <f>'B) D RI'!B167</f>
        <v>Dompierre</v>
      </c>
      <c r="C166" s="313">
        <f>'B) D RI'!S167</f>
        <v>80</v>
      </c>
      <c r="D166" s="153">
        <f>'B) D RI'!AA167</f>
        <v>232</v>
      </c>
      <c r="E166" s="311">
        <f>'D) Ecrêtage'!C165</f>
        <v>6546.2666570185083</v>
      </c>
      <c r="F166" s="315">
        <f>'E) Part. coh. soc.'!G171</f>
        <v>124380.59580864423</v>
      </c>
      <c r="G166" s="312">
        <f>'H) Péréquation directe'!I176</f>
        <v>-4777.8651564423926</v>
      </c>
      <c r="H166" s="315">
        <f>+'I) Dépenses thématiques'!O165</f>
        <v>-38619.395198273945</v>
      </c>
      <c r="I166" s="312">
        <f>'K) Plafonnement aide'!J165</f>
        <v>0</v>
      </c>
      <c r="J166" s="315">
        <f>'J) Plafonnement effort'!J165</f>
        <v>0</v>
      </c>
      <c r="K166" s="315">
        <f>'L) Plafonnement taux'!Q166</f>
        <v>0</v>
      </c>
      <c r="L166" s="310">
        <f t="shared" si="4"/>
        <v>80983.335453927895</v>
      </c>
      <c r="M166" s="234">
        <f>'M) Police'!O166</f>
        <v>20684.304264966362</v>
      </c>
      <c r="N166" s="234">
        <f t="shared" si="5"/>
        <v>101667.63971889426</v>
      </c>
      <c r="P166" s="317"/>
    </row>
    <row r="167" spans="1:16" s="154" customFormat="1" x14ac:dyDescent="0.25">
      <c r="A167" s="151">
        <f>'B) D RI'!A168</f>
        <v>5673</v>
      </c>
      <c r="B167" s="152" t="str">
        <f>'B) D RI'!B168</f>
        <v>Hermenches</v>
      </c>
      <c r="C167" s="313">
        <f>'B) D RI'!S168</f>
        <v>75</v>
      </c>
      <c r="D167" s="153">
        <f>'B) D RI'!AA168</f>
        <v>367</v>
      </c>
      <c r="E167" s="311">
        <f>'D) Ecrêtage'!C166</f>
        <v>9911.4858119507371</v>
      </c>
      <c r="F167" s="315">
        <f>'E) Part. coh. soc.'!G172</f>
        <v>175284.13346522639</v>
      </c>
      <c r="G167" s="312">
        <f>'H) Péréquation directe'!I177</f>
        <v>-6172.9687542018655</v>
      </c>
      <c r="H167" s="315">
        <f>+'I) Dépenses thématiques'!O166</f>
        <v>-89175.530012761228</v>
      </c>
      <c r="I167" s="312">
        <f>'K) Plafonnement aide'!J166</f>
        <v>0</v>
      </c>
      <c r="J167" s="315">
        <f>'J) Plafonnement effort'!J166</f>
        <v>0</v>
      </c>
      <c r="K167" s="315">
        <f>'L) Plafonnement taux'!Q167</f>
        <v>0</v>
      </c>
      <c r="L167" s="310">
        <f t="shared" ref="L167:L219" si="6">F167+G167+H167+I167+J167+K167</f>
        <v>79935.634698263297</v>
      </c>
      <c r="M167" s="234">
        <f>'M) Police'!O167</f>
        <v>31259.646864284761</v>
      </c>
      <c r="N167" s="234">
        <f t="shared" si="5"/>
        <v>111195.28156254806</v>
      </c>
      <c r="P167" s="317"/>
    </row>
    <row r="168" spans="1:16" s="154" customFormat="1" x14ac:dyDescent="0.25">
      <c r="A168" s="151">
        <f>'B) D RI'!A169</f>
        <v>5674</v>
      </c>
      <c r="B168" s="152" t="str">
        <f>'B) D RI'!B169</f>
        <v>Lovatens</v>
      </c>
      <c r="C168" s="313">
        <f>'B) D RI'!S169</f>
        <v>75</v>
      </c>
      <c r="D168" s="153">
        <f>'B) D RI'!AA169</f>
        <v>136</v>
      </c>
      <c r="E168" s="311">
        <f>'D) Ecrêtage'!C167</f>
        <v>3212.7201333333333</v>
      </c>
      <c r="F168" s="315">
        <f>'E) Part. coh. soc.'!G173</f>
        <v>49355.147982070666</v>
      </c>
      <c r="G168" s="312">
        <f>'H) Péréquation directe'!I178</f>
        <v>-21550.652314904408</v>
      </c>
      <c r="H168" s="315">
        <f>+'I) Dépenses thématiques'!O167</f>
        <v>-12046.44046455484</v>
      </c>
      <c r="I168" s="312">
        <f>'K) Plafonnement aide'!J167</f>
        <v>0</v>
      </c>
      <c r="J168" s="315">
        <f>'J) Plafonnement effort'!J167</f>
        <v>0</v>
      </c>
      <c r="K168" s="315">
        <f>'L) Plafonnement taux'!Q168</f>
        <v>0</v>
      </c>
      <c r="L168" s="310">
        <f t="shared" si="6"/>
        <v>15758.055202611418</v>
      </c>
      <c r="M168" s="234">
        <f>'M) Police'!O168</f>
        <v>10070.575002119598</v>
      </c>
      <c r="N168" s="234">
        <f t="shared" si="5"/>
        <v>25828.630204731016</v>
      </c>
      <c r="P168" s="317"/>
    </row>
    <row r="169" spans="1:16" s="154" customFormat="1" x14ac:dyDescent="0.25">
      <c r="A169" s="151">
        <f>'B) D RI'!A170</f>
        <v>5675</v>
      </c>
      <c r="B169" s="152" t="str">
        <f>'B) D RI'!B170</f>
        <v>Lucens</v>
      </c>
      <c r="C169" s="313">
        <f>'B) D RI'!S170</f>
        <v>69</v>
      </c>
      <c r="D169" s="153">
        <f>'B) D RI'!AA170</f>
        <v>4220</v>
      </c>
      <c r="E169" s="311">
        <f>'D) Ecrêtage'!C168</f>
        <v>97171.957057014763</v>
      </c>
      <c r="F169" s="315">
        <f>'E) Part. coh. soc.'!G174</f>
        <v>1949362.6273378078</v>
      </c>
      <c r="G169" s="312">
        <f>'H) Péréquation directe'!I179</f>
        <v>-1355387.2766843135</v>
      </c>
      <c r="H169" s="315">
        <f>+'I) Dépenses thématiques'!O168</f>
        <v>-465307.79717656452</v>
      </c>
      <c r="I169" s="312">
        <f>'K) Plafonnement aide'!J168</f>
        <v>0</v>
      </c>
      <c r="J169" s="315">
        <f>'J) Plafonnement effort'!J168</f>
        <v>0</v>
      </c>
      <c r="K169" s="315">
        <f>'L) Plafonnement taux'!Q169</f>
        <v>0</v>
      </c>
      <c r="L169" s="310">
        <f t="shared" ref="L169" si="7">F169+G169+H169+I169+J169+K169</f>
        <v>128667.55347692972</v>
      </c>
      <c r="M169" s="234">
        <f>'M) Police'!O169</f>
        <v>298792.41740829038</v>
      </c>
      <c r="N169" s="234">
        <f t="shared" ref="N169" si="8">L169+M169</f>
        <v>427459.9708852201</v>
      </c>
      <c r="P169" s="317"/>
    </row>
    <row r="170" spans="1:16" s="154" customFormat="1" x14ac:dyDescent="0.25">
      <c r="A170" s="151">
        <f>'B) D RI'!A171</f>
        <v>5678</v>
      </c>
      <c r="B170" s="152" t="str">
        <f>'B) D RI'!B171</f>
        <v>Moudon</v>
      </c>
      <c r="C170" s="313">
        <f>'B) D RI'!S171</f>
        <v>75</v>
      </c>
      <c r="D170" s="153">
        <f>'B) D RI'!AA171</f>
        <v>6080</v>
      </c>
      <c r="E170" s="311">
        <f>'D) Ecrêtage'!C169</f>
        <v>124990.90700543707</v>
      </c>
      <c r="F170" s="315">
        <f>'E) Part. coh. soc.'!G175</f>
        <v>2670576.2347000935</v>
      </c>
      <c r="G170" s="312">
        <f>'H) Péréquation directe'!I180</f>
        <v>-3465148.7227479145</v>
      </c>
      <c r="H170" s="315">
        <f>+'I) Dépenses thématiques'!O169</f>
        <v>-1079866.5174622894</v>
      </c>
      <c r="I170" s="312">
        <f>'K) Plafonnement aide'!J169</f>
        <v>0</v>
      </c>
      <c r="J170" s="315">
        <f>'J) Plafonnement effort'!J169</f>
        <v>0</v>
      </c>
      <c r="K170" s="315">
        <f>'L) Plafonnement taux'!Q170</f>
        <v>0</v>
      </c>
      <c r="L170" s="310">
        <f t="shared" si="6"/>
        <v>-1874439.0055101104</v>
      </c>
      <c r="M170" s="234">
        <f>'M) Police'!O170</f>
        <v>386714.12374020199</v>
      </c>
      <c r="N170" s="234">
        <f t="shared" si="5"/>
        <v>-1487724.8817699084</v>
      </c>
      <c r="P170" s="317"/>
    </row>
    <row r="171" spans="1:16" s="154" customFormat="1" x14ac:dyDescent="0.25">
      <c r="A171" s="151">
        <f>'B) D RI'!A172</f>
        <v>5680</v>
      </c>
      <c r="B171" s="152" t="str">
        <f>'B) D RI'!B172</f>
        <v>Ogens</v>
      </c>
      <c r="C171" s="313">
        <f>'B) D RI'!S172</f>
        <v>78</v>
      </c>
      <c r="D171" s="153">
        <f>'B) D RI'!AA172</f>
        <v>296</v>
      </c>
      <c r="E171" s="311">
        <f>'D) Ecrêtage'!C170</f>
        <v>6319.984442335237</v>
      </c>
      <c r="F171" s="315">
        <f>'E) Part. coh. soc.'!G176</f>
        <v>133579.02221987254</v>
      </c>
      <c r="G171" s="312">
        <f>'H) Péréquation directe'!I181</f>
        <v>-88272.737767313927</v>
      </c>
      <c r="H171" s="315">
        <f>+'I) Dépenses thématiques'!O170</f>
        <v>-27370.455441085363</v>
      </c>
      <c r="I171" s="312">
        <f>'K) Plafonnement aide'!J170</f>
        <v>0</v>
      </c>
      <c r="J171" s="315">
        <f>'J) Plafonnement effort'!J170</f>
        <v>0</v>
      </c>
      <c r="K171" s="315">
        <f>'L) Plafonnement taux'!Q171</f>
        <v>0</v>
      </c>
      <c r="L171" s="310">
        <f t="shared" si="6"/>
        <v>17935.829011473248</v>
      </c>
      <c r="M171" s="234">
        <f>'M) Police'!O171</f>
        <v>19504.397755134742</v>
      </c>
      <c r="N171" s="234">
        <f t="shared" si="5"/>
        <v>37440.226766607986</v>
      </c>
      <c r="P171" s="317"/>
    </row>
    <row r="172" spans="1:16" s="154" customFormat="1" x14ac:dyDescent="0.25">
      <c r="A172" s="151">
        <f>'B) D RI'!A173</f>
        <v>5683</v>
      </c>
      <c r="B172" s="152" t="str">
        <f>'B) D RI'!B173</f>
        <v>Prévonloup</v>
      </c>
      <c r="C172" s="313">
        <f>'B) D RI'!S173</f>
        <v>74</v>
      </c>
      <c r="D172" s="153">
        <f>'B) D RI'!AA173</f>
        <v>194</v>
      </c>
      <c r="E172" s="311">
        <f>'D) Ecrêtage'!C171</f>
        <v>4554.1237837837825</v>
      </c>
      <c r="F172" s="315">
        <f>'E) Part. coh. soc.'!G177</f>
        <v>73954.79633633398</v>
      </c>
      <c r="G172" s="312">
        <f>'H) Péréquation directe'!I182</f>
        <v>-29372.960299560917</v>
      </c>
      <c r="H172" s="315">
        <f>+'I) Dépenses thématiques'!O171</f>
        <v>-21382.15144087416</v>
      </c>
      <c r="I172" s="312">
        <f>'K) Plafonnement aide'!J171</f>
        <v>0</v>
      </c>
      <c r="J172" s="315">
        <f>'J) Plafonnement effort'!J171</f>
        <v>0</v>
      </c>
      <c r="K172" s="315">
        <f>'L) Plafonnement taux'!Q172</f>
        <v>0</v>
      </c>
      <c r="L172" s="310">
        <f t="shared" si="6"/>
        <v>23199.684595898903</v>
      </c>
      <c r="M172" s="234">
        <f>'M) Police'!O172</f>
        <v>14128.86732077962</v>
      </c>
      <c r="N172" s="234">
        <f t="shared" si="5"/>
        <v>37328.551916678523</v>
      </c>
      <c r="P172" s="317"/>
    </row>
    <row r="173" spans="1:16" s="154" customFormat="1" x14ac:dyDescent="0.25">
      <c r="A173" s="151">
        <f>'B) D RI'!A174</f>
        <v>5684</v>
      </c>
      <c r="B173" s="152" t="str">
        <f>'B) D RI'!B174</f>
        <v>Rossenges</v>
      </c>
      <c r="C173" s="313">
        <f>'B) D RI'!S174</f>
        <v>75</v>
      </c>
      <c r="D173" s="153">
        <f>'B) D RI'!AA174</f>
        <v>84</v>
      </c>
      <c r="E173" s="311">
        <f>'D) Ecrêtage'!C172</f>
        <v>3099.5946967890927</v>
      </c>
      <c r="F173" s="315">
        <f>'E) Part. coh. soc.'!G178</f>
        <v>47525.926467217316</v>
      </c>
      <c r="G173" s="312">
        <f>'H) Péréquation directe'!I183</f>
        <v>33372.236663436648</v>
      </c>
      <c r="H173" s="315">
        <f>+'I) Dépenses thématiques'!O172</f>
        <v>-11360.203885710085</v>
      </c>
      <c r="I173" s="312">
        <f>'K) Plafonnement aide'!J172</f>
        <v>0</v>
      </c>
      <c r="J173" s="315">
        <f>'J) Plafonnement effort'!J172</f>
        <v>0</v>
      </c>
      <c r="K173" s="315">
        <f>'L) Plafonnement taux'!Q173</f>
        <v>0</v>
      </c>
      <c r="L173" s="310">
        <f t="shared" si="6"/>
        <v>69537.959244943879</v>
      </c>
      <c r="M173" s="234">
        <f>'M) Police'!O173</f>
        <v>9967.0729559277133</v>
      </c>
      <c r="N173" s="234">
        <f t="shared" si="5"/>
        <v>79505.032200871588</v>
      </c>
      <c r="P173" s="317"/>
    </row>
    <row r="174" spans="1:16" s="154" customFormat="1" x14ac:dyDescent="0.25">
      <c r="A174" s="151">
        <f>'B) D RI'!A175</f>
        <v>5688</v>
      </c>
      <c r="B174" s="152" t="str">
        <f>'B) D RI'!B175</f>
        <v>Syens</v>
      </c>
      <c r="C174" s="313">
        <f>'B) D RI'!S175</f>
        <v>75.599999999999994</v>
      </c>
      <c r="D174" s="153">
        <f>'B) D RI'!AA175</f>
        <v>155</v>
      </c>
      <c r="E174" s="311">
        <f>'D) Ecrêtage'!C173</f>
        <v>2722.3146828511958</v>
      </c>
      <c r="F174" s="315">
        <f>'E) Part. coh. soc.'!G179</f>
        <v>41862.706369121515</v>
      </c>
      <c r="G174" s="312">
        <f>'H) Péréquation directe'!I184</f>
        <v>-65448.789446817143</v>
      </c>
      <c r="H174" s="315">
        <f>+'I) Dépenses thématiques'!O173</f>
        <v>-40713.613370427418</v>
      </c>
      <c r="I174" s="312">
        <f>'K) Plafonnement aide'!J173</f>
        <v>1807.5656148860655</v>
      </c>
      <c r="J174" s="315">
        <f>'J) Plafonnement effort'!J173</f>
        <v>0</v>
      </c>
      <c r="K174" s="315">
        <f>'L) Plafonnement taux'!Q174</f>
        <v>0</v>
      </c>
      <c r="L174" s="310">
        <f t="shared" si="6"/>
        <v>-62492.130833236981</v>
      </c>
      <c r="M174" s="234">
        <f>'M) Police'!O174</f>
        <v>8314.4437954095465</v>
      </c>
      <c r="N174" s="234">
        <f t="shared" si="5"/>
        <v>-54177.687037827433</v>
      </c>
      <c r="P174" s="317"/>
    </row>
    <row r="175" spans="1:16" s="154" customFormat="1" x14ac:dyDescent="0.25">
      <c r="A175" s="151">
        <f>'B) D RI'!A176</f>
        <v>5690</v>
      </c>
      <c r="B175" s="152" t="str">
        <f>'B) D RI'!B176</f>
        <v>Villars-le-Comte</v>
      </c>
      <c r="C175" s="313">
        <f>'B) D RI'!S176</f>
        <v>70</v>
      </c>
      <c r="D175" s="153">
        <f>'B) D RI'!AA176</f>
        <v>122</v>
      </c>
      <c r="E175" s="311">
        <f>'D) Ecrêtage'!C174</f>
        <v>3015.9771931576993</v>
      </c>
      <c r="F175" s="315">
        <f>'E) Part. coh. soc.'!G180</f>
        <v>58041.023573869796</v>
      </c>
      <c r="G175" s="312">
        <f>'H) Péréquation directe'!I185</f>
        <v>-6292.719150932222</v>
      </c>
      <c r="H175" s="315">
        <f>+'I) Dépenses thématiques'!O174</f>
        <v>0</v>
      </c>
      <c r="I175" s="312">
        <f>'K) Plafonnement aide'!J174</f>
        <v>0</v>
      </c>
      <c r="J175" s="315">
        <f>'J) Plafonnement effort'!J174</f>
        <v>0</v>
      </c>
      <c r="K175" s="315">
        <f>'L) Plafonnement taux'!Q175</f>
        <v>0</v>
      </c>
      <c r="L175" s="310">
        <f t="shared" si="6"/>
        <v>51748.304422937574</v>
      </c>
      <c r="M175" s="234">
        <f>'M) Police'!O175</f>
        <v>9292.9430019364117</v>
      </c>
      <c r="N175" s="234">
        <f t="shared" si="5"/>
        <v>61041.247424873989</v>
      </c>
      <c r="P175" s="317"/>
    </row>
    <row r="176" spans="1:16" s="154" customFormat="1" x14ac:dyDescent="0.25">
      <c r="A176" s="151">
        <f>'B) D RI'!A177</f>
        <v>5692</v>
      </c>
      <c r="B176" s="152" t="str">
        <f>'B) D RI'!B177</f>
        <v>Vucherens</v>
      </c>
      <c r="C176" s="313">
        <f>'B) D RI'!S177</f>
        <v>79</v>
      </c>
      <c r="D176" s="153">
        <f>'B) D RI'!AA177</f>
        <v>580</v>
      </c>
      <c r="E176" s="311">
        <f>'D) Ecrêtage'!C175</f>
        <v>15976.51835443038</v>
      </c>
      <c r="F176" s="315">
        <f>'E) Part. coh. soc.'!G181</f>
        <v>295559.1512844222</v>
      </c>
      <c r="G176" s="312">
        <f>'H) Péréquation directe'!I186</f>
        <v>-22704.743605897587</v>
      </c>
      <c r="H176" s="315">
        <f>+'I) Dépenses thématiques'!O175</f>
        <v>-65611.696463810076</v>
      </c>
      <c r="I176" s="312">
        <f>'K) Plafonnement aide'!J175</f>
        <v>0</v>
      </c>
      <c r="J176" s="315">
        <f>'J) Plafonnement effort'!J175</f>
        <v>0</v>
      </c>
      <c r="K176" s="315">
        <f>'L) Plafonnement taux'!Q176</f>
        <v>0</v>
      </c>
      <c r="L176" s="310">
        <f t="shared" si="6"/>
        <v>207242.71121471454</v>
      </c>
      <c r="M176" s="234">
        <f>'M) Police'!O176</f>
        <v>50072.479047453795</v>
      </c>
      <c r="N176" s="234">
        <f t="shared" si="5"/>
        <v>257315.19026216833</v>
      </c>
      <c r="P176" s="317"/>
    </row>
    <row r="177" spans="1:16" s="154" customFormat="1" x14ac:dyDescent="0.25">
      <c r="A177" s="151">
        <f>'B) D RI'!A178</f>
        <v>5693</v>
      </c>
      <c r="B177" s="152" t="str">
        <f>'B) D RI'!B178</f>
        <v>Montanaire</v>
      </c>
      <c r="C177" s="313">
        <f>'B) D RI'!S178</f>
        <v>72</v>
      </c>
      <c r="D177" s="153">
        <f>'B) D RI'!AA178</f>
        <v>2717</v>
      </c>
      <c r="E177" s="311">
        <f>'D) Ecrêtage'!C176</f>
        <v>70480.928098220116</v>
      </c>
      <c r="F177" s="315">
        <f>'E) Part. coh. soc.'!G182</f>
        <v>1249258.2046437005</v>
      </c>
      <c r="G177" s="312">
        <f>'H) Péréquation directe'!I187</f>
        <v>-460308.5764077052</v>
      </c>
      <c r="H177" s="315">
        <f>+'I) Dépenses thématiques'!O176</f>
        <v>-558238.3266114163</v>
      </c>
      <c r="I177" s="312">
        <f>'K) Plafonnement aide'!J176</f>
        <v>0</v>
      </c>
      <c r="J177" s="315">
        <f>'J) Plafonnement effort'!J176</f>
        <v>0</v>
      </c>
      <c r="K177" s="315">
        <f>'L) Plafonnement taux'!Q177</f>
        <v>0</v>
      </c>
      <c r="L177" s="310">
        <f>F177+G177+H177+I177+J177+K177</f>
        <v>230711.30162457901</v>
      </c>
      <c r="M177" s="234">
        <f>'M) Police'!O177</f>
        <v>220977.69138285812</v>
      </c>
      <c r="N177" s="234">
        <f t="shared" si="5"/>
        <v>451688.99300743709</v>
      </c>
      <c r="P177" s="317"/>
    </row>
    <row r="178" spans="1:16" s="154" customFormat="1" x14ac:dyDescent="0.25">
      <c r="A178" s="151">
        <f>'B) D RI'!A179</f>
        <v>5701</v>
      </c>
      <c r="B178" s="152" t="str">
        <f>'B) D RI'!B179</f>
        <v>Arnex-sur-Nyon</v>
      </c>
      <c r="C178" s="313">
        <f>'B) D RI'!S179</f>
        <v>70</v>
      </c>
      <c r="D178" s="153">
        <f>'B) D RI'!AA179</f>
        <v>229</v>
      </c>
      <c r="E178" s="311">
        <f>'D) Ecrêtage'!C177</f>
        <v>12114.196611371119</v>
      </c>
      <c r="F178" s="315">
        <f>'E) Part. coh. soc.'!G183</f>
        <v>228924.13004704946</v>
      </c>
      <c r="G178" s="312">
        <f>'H) Péréquation directe'!I188</f>
        <v>209259.51026160852</v>
      </c>
      <c r="H178" s="315">
        <f>+'I) Dépenses thématiques'!O177</f>
        <v>-166620.31161996548</v>
      </c>
      <c r="I178" s="312">
        <f>'K) Plafonnement aide'!J177</f>
        <v>0</v>
      </c>
      <c r="J178" s="315">
        <f>'J) Plafonnement effort'!J177</f>
        <v>0</v>
      </c>
      <c r="K178" s="315">
        <f>'L) Plafonnement taux'!Q178</f>
        <v>0</v>
      </c>
      <c r="L178" s="310">
        <f>F178+G178+H178+I178+J178+K178</f>
        <v>271563.32868869253</v>
      </c>
      <c r="M178" s="234">
        <f>'M) Police'!O178</f>
        <v>35064.144020092048</v>
      </c>
      <c r="N178" s="234">
        <f t="shared" si="5"/>
        <v>306627.47270878457</v>
      </c>
      <c r="P178" s="317"/>
    </row>
    <row r="179" spans="1:16" s="154" customFormat="1" x14ac:dyDescent="0.25">
      <c r="A179" s="151">
        <f>'B) D RI'!A180</f>
        <v>5702</v>
      </c>
      <c r="B179" s="152" t="str">
        <f>'B) D RI'!B180</f>
        <v>Arzier-Le Muids</v>
      </c>
      <c r="C179" s="313">
        <f>'B) D RI'!S180</f>
        <v>64</v>
      </c>
      <c r="D179" s="153">
        <f>'B) D RI'!AA180</f>
        <v>2801</v>
      </c>
      <c r="E179" s="311">
        <f>'D) Ecrêtage'!C178</f>
        <v>174460.56839607147</v>
      </c>
      <c r="F179" s="315">
        <f>'E) Part. coh. soc.'!G184</f>
        <v>4057991.0763884094</v>
      </c>
      <c r="G179" s="312">
        <f>'H) Péréquation directe'!I189</f>
        <v>2668777.9163568364</v>
      </c>
      <c r="H179" s="315">
        <f>+'I) Dépenses thématiques'!O178</f>
        <v>-266546.23198463465</v>
      </c>
      <c r="I179" s="312">
        <f>'K) Plafonnement aide'!J178</f>
        <v>0</v>
      </c>
      <c r="J179" s="315">
        <f>'J) Plafonnement effort'!J178</f>
        <v>0</v>
      </c>
      <c r="K179" s="315">
        <f>'L) Plafonnement taux'!Q179</f>
        <v>0</v>
      </c>
      <c r="L179" s="310">
        <f t="shared" si="6"/>
        <v>6460222.7607606109</v>
      </c>
      <c r="M179" s="234">
        <f>'M) Police'!O179</f>
        <v>462665.69892770099</v>
      </c>
      <c r="N179" s="234">
        <f t="shared" si="5"/>
        <v>6922888.4596883114</v>
      </c>
      <c r="P179" s="317"/>
    </row>
    <row r="180" spans="1:16" s="154" customFormat="1" x14ac:dyDescent="0.25">
      <c r="A180" s="151">
        <f>'B) D RI'!A181</f>
        <v>5703</v>
      </c>
      <c r="B180" s="152" t="str">
        <f>'B) D RI'!B181</f>
        <v>Bassins</v>
      </c>
      <c r="C180" s="313">
        <f>'B) D RI'!S181</f>
        <v>74</v>
      </c>
      <c r="D180" s="153">
        <f>'B) D RI'!AA181</f>
        <v>1395</v>
      </c>
      <c r="E180" s="311">
        <f>'D) Ecrêtage'!C179</f>
        <v>58935.560453684549</v>
      </c>
      <c r="F180" s="315">
        <f>'E) Part. coh. soc.'!G185</f>
        <v>1078912.9698625661</v>
      </c>
      <c r="G180" s="312">
        <f>'H) Péréquation directe'!I190</f>
        <v>780242.67621326889</v>
      </c>
      <c r="H180" s="315">
        <f>+'I) Dépenses thématiques'!O179</f>
        <v>-340255.74500259029</v>
      </c>
      <c r="I180" s="312">
        <f>'K) Plafonnement aide'!J179</f>
        <v>0</v>
      </c>
      <c r="J180" s="315">
        <f>'J) Plafonnement effort'!J179</f>
        <v>0</v>
      </c>
      <c r="K180" s="315">
        <f>'L) Plafonnement taux'!Q180</f>
        <v>0</v>
      </c>
      <c r="L180" s="310">
        <f t="shared" si="6"/>
        <v>1518899.9010732446</v>
      </c>
      <c r="M180" s="234">
        <f>'M) Police'!O180</f>
        <v>185163.60344170185</v>
      </c>
      <c r="N180" s="234">
        <f t="shared" si="5"/>
        <v>1704063.5045149466</v>
      </c>
      <c r="P180" s="317"/>
    </row>
    <row r="181" spans="1:16" s="154" customFormat="1" x14ac:dyDescent="0.25">
      <c r="A181" s="151">
        <f>'B) D RI'!A182</f>
        <v>5704</v>
      </c>
      <c r="B181" s="152" t="str">
        <f>'B) D RI'!B182</f>
        <v>Begnins</v>
      </c>
      <c r="C181" s="313">
        <f>'B) D RI'!S182</f>
        <v>64</v>
      </c>
      <c r="D181" s="153">
        <f>'B) D RI'!AA182</f>
        <v>1931</v>
      </c>
      <c r="E181" s="311">
        <f>'D) Ecrêtage'!C180</f>
        <v>129508.82887740067</v>
      </c>
      <c r="F181" s="315">
        <f>'E) Part. coh. soc.'!G186</f>
        <v>2968449.1119911764</v>
      </c>
      <c r="G181" s="312">
        <f>'H) Péréquation directe'!I191</f>
        <v>2091565.3075072095</v>
      </c>
      <c r="H181" s="315">
        <f>+'I) Dépenses thématiques'!O180</f>
        <v>0</v>
      </c>
      <c r="I181" s="312">
        <f>'K) Plafonnement aide'!J180</f>
        <v>0</v>
      </c>
      <c r="J181" s="315">
        <f>'J) Plafonnement effort'!J180</f>
        <v>0</v>
      </c>
      <c r="K181" s="315">
        <f>'L) Plafonnement taux'!Q181</f>
        <v>0</v>
      </c>
      <c r="L181" s="310">
        <f t="shared" si="6"/>
        <v>5060014.4194983859</v>
      </c>
      <c r="M181" s="234">
        <f>'M) Police'!O181</f>
        <v>330829.72080159758</v>
      </c>
      <c r="N181" s="234">
        <f t="shared" si="5"/>
        <v>5390844.1402999833</v>
      </c>
      <c r="P181" s="317"/>
    </row>
    <row r="182" spans="1:16" s="154" customFormat="1" x14ac:dyDescent="0.25">
      <c r="A182" s="151">
        <f>'B) D RI'!A183</f>
        <v>5705</v>
      </c>
      <c r="B182" s="152" t="str">
        <f>'B) D RI'!B183</f>
        <v>Bogis-Bossey</v>
      </c>
      <c r="C182" s="313">
        <f>'B) D RI'!S183</f>
        <v>76</v>
      </c>
      <c r="D182" s="153">
        <f>'B) D RI'!AA183</f>
        <v>825</v>
      </c>
      <c r="E182" s="311">
        <f>'D) Ecrêtage'!C181</f>
        <v>47399.998914219243</v>
      </c>
      <c r="F182" s="315">
        <f>'E) Part. coh. soc.'!G187</f>
        <v>1046768.6459418789</v>
      </c>
      <c r="G182" s="312">
        <f>'H) Péréquation directe'!I192</f>
        <v>827705.73339514469</v>
      </c>
      <c r="H182" s="315">
        <f>+'I) Dépenses thématiques'!O181</f>
        <v>0</v>
      </c>
      <c r="I182" s="312">
        <f>'K) Plafonnement aide'!J181</f>
        <v>0</v>
      </c>
      <c r="J182" s="315">
        <f>'J) Plafonnement effort'!J181</f>
        <v>0</v>
      </c>
      <c r="K182" s="315">
        <f>'L) Plafonnement taux'!Q182</f>
        <v>0</v>
      </c>
      <c r="L182" s="310">
        <f t="shared" si="6"/>
        <v>1874474.3793370235</v>
      </c>
      <c r="M182" s="234">
        <f>'M) Police'!O182</f>
        <v>131151.09335516274</v>
      </c>
      <c r="N182" s="234">
        <f t="shared" si="5"/>
        <v>2005625.4726921862</v>
      </c>
      <c r="P182" s="317"/>
    </row>
    <row r="183" spans="1:16" s="154" customFormat="1" x14ac:dyDescent="0.25">
      <c r="A183" s="151">
        <f>'B) D RI'!A184</f>
        <v>5706</v>
      </c>
      <c r="B183" s="152" t="str">
        <f>'B) D RI'!B184</f>
        <v>Borex</v>
      </c>
      <c r="C183" s="313">
        <f>'B) D RI'!S184</f>
        <v>58</v>
      </c>
      <c r="D183" s="153">
        <f>'B) D RI'!AA184</f>
        <v>1132</v>
      </c>
      <c r="E183" s="311">
        <f>'D) Ecrêtage'!C182</f>
        <v>76732.339331916941</v>
      </c>
      <c r="F183" s="315">
        <f>'E) Part. coh. soc.'!G188</f>
        <v>1665752.4718618905</v>
      </c>
      <c r="G183" s="312">
        <f>'H) Péréquation directe'!I193</f>
        <v>1335631.3492123636</v>
      </c>
      <c r="H183" s="315">
        <f>+'I) Dépenses thématiques'!O182</f>
        <v>0</v>
      </c>
      <c r="I183" s="312">
        <f>'K) Plafonnement aide'!J182</f>
        <v>0</v>
      </c>
      <c r="J183" s="315">
        <f>'J) Plafonnement effort'!J182</f>
        <v>0</v>
      </c>
      <c r="K183" s="315">
        <f>'L) Plafonnement taux'!Q183</f>
        <v>0</v>
      </c>
      <c r="L183" s="310">
        <f t="shared" si="6"/>
        <v>3001383.8210742539</v>
      </c>
      <c r="M183" s="234">
        <f>'M) Police'!O183</f>
        <v>194982.85997527826</v>
      </c>
      <c r="N183" s="234">
        <f t="shared" si="5"/>
        <v>3196366.6810495323</v>
      </c>
      <c r="P183" s="317"/>
    </row>
    <row r="184" spans="1:16" s="154" customFormat="1" x14ac:dyDescent="0.25">
      <c r="A184" s="151">
        <f>'B) D RI'!A185</f>
        <v>5707</v>
      </c>
      <c r="B184" s="152" t="str">
        <f>'B) D RI'!B185</f>
        <v>Chavannes-de-Bogis</v>
      </c>
      <c r="C184" s="313">
        <f>'B) D RI'!S185</f>
        <v>59</v>
      </c>
      <c r="D184" s="153">
        <f>'B) D RI'!AA185</f>
        <v>1357</v>
      </c>
      <c r="E184" s="311">
        <f>'D) Ecrêtage'!C183</f>
        <v>80433.672291066076</v>
      </c>
      <c r="F184" s="315">
        <f>'E) Part. coh. soc.'!G189</f>
        <v>1861093.5953305529</v>
      </c>
      <c r="G184" s="312">
        <f>'H) Péréquation directe'!I194</f>
        <v>1329211.6902112102</v>
      </c>
      <c r="H184" s="315">
        <f>+'I) Dépenses thématiques'!O183</f>
        <v>0</v>
      </c>
      <c r="I184" s="312">
        <f>'K) Plafonnement aide'!J183</f>
        <v>0</v>
      </c>
      <c r="J184" s="315">
        <f>'J) Plafonnement effort'!J183</f>
        <v>0</v>
      </c>
      <c r="K184" s="315">
        <f>'L) Plafonnement taux'!Q184</f>
        <v>0</v>
      </c>
      <c r="L184" s="310">
        <f t="shared" si="6"/>
        <v>3190305.2855417631</v>
      </c>
      <c r="M184" s="234">
        <f>'M) Police'!O184</f>
        <v>218895.11170371104</v>
      </c>
      <c r="N184" s="234">
        <f t="shared" si="5"/>
        <v>3409200.3972454742</v>
      </c>
      <c r="P184" s="317"/>
    </row>
    <row r="185" spans="1:16" s="154" customFormat="1" x14ac:dyDescent="0.25">
      <c r="A185" s="151">
        <f>'B) D RI'!A186</f>
        <v>5708</v>
      </c>
      <c r="B185" s="152" t="str">
        <f>'B) D RI'!B186</f>
        <v>Chavannes-des-Bois</v>
      </c>
      <c r="C185" s="313">
        <f>'B) D RI'!S186</f>
        <v>68</v>
      </c>
      <c r="D185" s="153">
        <f>'B) D RI'!AA186</f>
        <v>960</v>
      </c>
      <c r="E185" s="311">
        <f>'D) Ecrêtage'!C184</f>
        <v>64673.600200081586</v>
      </c>
      <c r="F185" s="315">
        <f>'E) Part. coh. soc.'!G190</f>
        <v>1589127.7685776744</v>
      </c>
      <c r="G185" s="312">
        <f>'H) Péréquation directe'!I195</f>
        <v>1150150.0639681453</v>
      </c>
      <c r="H185" s="315">
        <f>+'I) Dépenses thématiques'!O184</f>
        <v>0</v>
      </c>
      <c r="I185" s="312">
        <f>'K) Plafonnement aide'!J184</f>
        <v>0</v>
      </c>
      <c r="J185" s="315">
        <f>'J) Plafonnement effort'!J184</f>
        <v>0</v>
      </c>
      <c r="K185" s="315">
        <f>'L) Plafonnement taux'!Q185</f>
        <v>0</v>
      </c>
      <c r="L185" s="310">
        <f t="shared" si="6"/>
        <v>2739277.8325458197</v>
      </c>
      <c r="M185" s="234">
        <f>'M) Police'!O185</f>
        <v>164842.75631457992</v>
      </c>
      <c r="N185" s="234">
        <f t="shared" si="5"/>
        <v>2904120.5888603996</v>
      </c>
      <c r="P185" s="317"/>
    </row>
    <row r="186" spans="1:16" s="154" customFormat="1" x14ac:dyDescent="0.25">
      <c r="A186" s="151">
        <f>'B) D RI'!A187</f>
        <v>5709</v>
      </c>
      <c r="B186" s="152" t="str">
        <f>'B) D RI'!B187</f>
        <v>Chéserex</v>
      </c>
      <c r="C186" s="313">
        <f>'B) D RI'!S187</f>
        <v>57</v>
      </c>
      <c r="D186" s="153">
        <f>'B) D RI'!AA187</f>
        <v>1238</v>
      </c>
      <c r="E186" s="311">
        <f>'D) Ecrêtage'!C185</f>
        <v>96665.564675304791</v>
      </c>
      <c r="F186" s="315">
        <f>'E) Part. coh. soc.'!G191</f>
        <v>2475802.0641712453</v>
      </c>
      <c r="G186" s="312">
        <f>'H) Péréquation directe'!I196</f>
        <v>1690007.1619951818</v>
      </c>
      <c r="H186" s="315">
        <f>+'I) Dépenses thématiques'!O185</f>
        <v>0</v>
      </c>
      <c r="I186" s="312">
        <f>'K) Plafonnement aide'!J185</f>
        <v>0</v>
      </c>
      <c r="J186" s="315">
        <f>'J) Plafonnement effort'!J185</f>
        <v>0</v>
      </c>
      <c r="K186" s="315">
        <f>'L) Plafonnement taux'!Q186</f>
        <v>0</v>
      </c>
      <c r="L186" s="310">
        <f t="shared" si="6"/>
        <v>4165809.2261664271</v>
      </c>
      <c r="M186" s="234">
        <f>'M) Police'!O186</f>
        <v>229623.44392834511</v>
      </c>
      <c r="N186" s="234">
        <f t="shared" si="5"/>
        <v>4395432.6700947722</v>
      </c>
      <c r="P186" s="317"/>
    </row>
    <row r="187" spans="1:16" s="154" customFormat="1" x14ac:dyDescent="0.25">
      <c r="A187" s="151">
        <f>'B) D RI'!A188</f>
        <v>5710</v>
      </c>
      <c r="B187" s="152" t="str">
        <f>'B) D RI'!B188</f>
        <v>Coinsins</v>
      </c>
      <c r="C187" s="313">
        <f>'B) D RI'!S188</f>
        <v>51</v>
      </c>
      <c r="D187" s="153">
        <f>'B) D RI'!AA188</f>
        <v>494</v>
      </c>
      <c r="E187" s="311">
        <f>'D) Ecrêtage'!C186</f>
        <v>116722.0098047505</v>
      </c>
      <c r="F187" s="315">
        <f>'E) Part. coh. soc.'!G192</f>
        <v>4312758.8654497461</v>
      </c>
      <c r="G187" s="312">
        <f>'H) Péréquation directe'!I197</f>
        <v>2231377.8790359804</v>
      </c>
      <c r="H187" s="315">
        <f>+'I) Dépenses thématiques'!O186</f>
        <v>0</v>
      </c>
      <c r="I187" s="312">
        <f>'K) Plafonnement aide'!J186</f>
        <v>0</v>
      </c>
      <c r="J187" s="315">
        <f>'J) Plafonnement effort'!J186</f>
        <v>-865936.90385770297</v>
      </c>
      <c r="K187" s="315">
        <f>'L) Plafonnement taux'!Q187</f>
        <v>0</v>
      </c>
      <c r="L187" s="310">
        <f t="shared" si="6"/>
        <v>5678199.8406280233</v>
      </c>
      <c r="M187" s="234">
        <f>'M) Police'!O187</f>
        <v>192056.47735880257</v>
      </c>
      <c r="N187" s="234">
        <f t="shared" si="5"/>
        <v>5870256.3179868255</v>
      </c>
      <c r="P187" s="317"/>
    </row>
    <row r="188" spans="1:16" s="154" customFormat="1" x14ac:dyDescent="0.25">
      <c r="A188" s="151">
        <f>'B) D RI'!A189</f>
        <v>5711</v>
      </c>
      <c r="B188" s="152" t="str">
        <f>'B) D RI'!B189</f>
        <v>Commugny</v>
      </c>
      <c r="C188" s="313">
        <f>'B) D RI'!S189</f>
        <v>57</v>
      </c>
      <c r="D188" s="153">
        <f>'B) D RI'!AA189</f>
        <v>2935</v>
      </c>
      <c r="E188" s="311">
        <f>'D) Ecrêtage'!C187</f>
        <v>257446.98641964147</v>
      </c>
      <c r="F188" s="315">
        <f>'E) Part. coh. soc.'!G193</f>
        <v>6893879.864857343</v>
      </c>
      <c r="G188" s="312">
        <f>'H) Péréquation directe'!I198</f>
        <v>4252219.1798074013</v>
      </c>
      <c r="H188" s="315">
        <f>+'I) Dépenses thématiques'!O187</f>
        <v>0</v>
      </c>
      <c r="I188" s="312">
        <f>'K) Plafonnement aide'!J187</f>
        <v>0</v>
      </c>
      <c r="J188" s="315">
        <f>'J) Plafonnement effort'!J187</f>
        <v>0</v>
      </c>
      <c r="K188" s="315">
        <f>'L) Plafonnement taux'!Q188</f>
        <v>0</v>
      </c>
      <c r="L188" s="310">
        <f t="shared" si="6"/>
        <v>11146099.044664744</v>
      </c>
      <c r="M188" s="234">
        <f>'M) Police'!O188</f>
        <v>580719.57730430912</v>
      </c>
      <c r="N188" s="234">
        <f t="shared" si="5"/>
        <v>11726818.621969054</v>
      </c>
      <c r="P188" s="317"/>
    </row>
    <row r="189" spans="1:16" s="154" customFormat="1" x14ac:dyDescent="0.25">
      <c r="A189" s="151">
        <f>'B) D RI'!A190</f>
        <v>5712</v>
      </c>
      <c r="B189" s="152" t="str">
        <f>'B) D RI'!B190</f>
        <v>Coppet</v>
      </c>
      <c r="C189" s="313">
        <f>'B) D RI'!S190</f>
        <v>53</v>
      </c>
      <c r="D189" s="153">
        <f>'B) D RI'!AA190</f>
        <v>3211</v>
      </c>
      <c r="E189" s="311">
        <f>'D) Ecrêtage'!C188</f>
        <v>389580.29972433241</v>
      </c>
      <c r="F189" s="315">
        <f>'E) Part. coh. soc.'!G194</f>
        <v>12200313.602051076</v>
      </c>
      <c r="G189" s="312">
        <f>'H) Péréquation directe'!I199</f>
        <v>6719574.9924783241</v>
      </c>
      <c r="H189" s="315">
        <f>+'I) Dépenses thématiques'!O188</f>
        <v>0</v>
      </c>
      <c r="I189" s="312">
        <f>'K) Plafonnement aide'!J188</f>
        <v>0</v>
      </c>
      <c r="J189" s="315">
        <f>'J) Plafonnement effort'!J188</f>
        <v>0</v>
      </c>
      <c r="K189" s="315">
        <f>'L) Plafonnement taux'!Q189</f>
        <v>0</v>
      </c>
      <c r="L189" s="310">
        <f t="shared" si="6"/>
        <v>18919888.594529398</v>
      </c>
      <c r="M189" s="234">
        <f>'M) Police'!O189</f>
        <v>774021.3515416123</v>
      </c>
      <c r="N189" s="234">
        <f t="shared" si="5"/>
        <v>19693909.94607101</v>
      </c>
      <c r="P189" s="317"/>
    </row>
    <row r="190" spans="1:16" s="154" customFormat="1" x14ac:dyDescent="0.25">
      <c r="A190" s="151">
        <f>'B) D RI'!A191</f>
        <v>5713</v>
      </c>
      <c r="B190" s="152" t="str">
        <f>'B) D RI'!B191</f>
        <v>Crans-près-Céligny</v>
      </c>
      <c r="C190" s="313">
        <f>'B) D RI'!S191</f>
        <v>56</v>
      </c>
      <c r="D190" s="153">
        <f>'B) D RI'!AA191</f>
        <v>2286</v>
      </c>
      <c r="E190" s="311">
        <f>'D) Ecrêtage'!C189</f>
        <v>285688.37252656295</v>
      </c>
      <c r="F190" s="315">
        <f>'E) Part. coh. soc.'!G195</f>
        <v>8971541.4916430041</v>
      </c>
      <c r="G190" s="312">
        <f>'H) Péréquation directe'!I200</f>
        <v>5035418.9712725012</v>
      </c>
      <c r="H190" s="315">
        <f>+'I) Dépenses thématiques'!O189</f>
        <v>0</v>
      </c>
      <c r="I190" s="312">
        <f>'K) Plafonnement aide'!J189</f>
        <v>0</v>
      </c>
      <c r="J190" s="315">
        <f>'J) Plafonnement effort'!J189</f>
        <v>0</v>
      </c>
      <c r="K190" s="315">
        <f>'L) Plafonnement taux'!Q190</f>
        <v>0</v>
      </c>
      <c r="L190" s="310">
        <f t="shared" si="6"/>
        <v>14006960.462915506</v>
      </c>
      <c r="M190" s="234">
        <f>'M) Police'!O190</f>
        <v>367137.30576572334</v>
      </c>
      <c r="N190" s="234">
        <f t="shared" si="5"/>
        <v>14374097.76868123</v>
      </c>
      <c r="P190" s="317"/>
    </row>
    <row r="191" spans="1:16" s="154" customFormat="1" x14ac:dyDescent="0.25">
      <c r="A191" s="151">
        <f>'B) D RI'!A192</f>
        <v>5714</v>
      </c>
      <c r="B191" s="152" t="str">
        <f>'B) D RI'!B192</f>
        <v>Crassier</v>
      </c>
      <c r="C191" s="313">
        <f>'B) D RI'!S192</f>
        <v>68</v>
      </c>
      <c r="D191" s="153">
        <f>'B) D RI'!AA192</f>
        <v>1169</v>
      </c>
      <c r="E191" s="311">
        <f>'D) Ecrêtage'!C190</f>
        <v>69464.601004636497</v>
      </c>
      <c r="F191" s="315">
        <f>'E) Part. coh. soc.'!G196</f>
        <v>1488794.8359988986</v>
      </c>
      <c r="G191" s="312">
        <f>'H) Péréquation directe'!I201</f>
        <v>1179814.4277719334</v>
      </c>
      <c r="H191" s="315">
        <f>+'I) Dépenses thématiques'!O190</f>
        <v>0</v>
      </c>
      <c r="I191" s="312">
        <f>'K) Plafonnement aide'!J190</f>
        <v>0</v>
      </c>
      <c r="J191" s="315">
        <f>'J) Plafonnement effort'!J190</f>
        <v>0</v>
      </c>
      <c r="K191" s="315">
        <f>'L) Plafonnement taux'!Q191</f>
        <v>0</v>
      </c>
      <c r="L191" s="310">
        <f t="shared" si="6"/>
        <v>2668609.2637708317</v>
      </c>
      <c r="M191" s="234">
        <f>'M) Police'!O191</f>
        <v>188793.15541130595</v>
      </c>
      <c r="N191" s="234">
        <f t="shared" si="5"/>
        <v>2857402.4191821376</v>
      </c>
      <c r="P191" s="317"/>
    </row>
    <row r="192" spans="1:16" s="154" customFormat="1" x14ac:dyDescent="0.25">
      <c r="A192" s="151">
        <f>'B) D RI'!A193</f>
        <v>5715</v>
      </c>
      <c r="B192" s="152" t="str">
        <f>'B) D RI'!B193</f>
        <v>Duillier</v>
      </c>
      <c r="C192" s="313">
        <f>'B) D RI'!S193</f>
        <v>66</v>
      </c>
      <c r="D192" s="153">
        <f>'B) D RI'!AA193</f>
        <v>1090</v>
      </c>
      <c r="E192" s="311">
        <f>'D) Ecrêtage'!C191</f>
        <v>70057.743908647069</v>
      </c>
      <c r="F192" s="315">
        <f>'E) Part. coh. soc.'!G197</f>
        <v>1569451.7249670539</v>
      </c>
      <c r="G192" s="312">
        <f>'H) Péréquation directe'!I202</f>
        <v>1219258.0131740163</v>
      </c>
      <c r="H192" s="315">
        <f>+'I) Dépenses thématiques'!O191</f>
        <v>0</v>
      </c>
      <c r="I192" s="312">
        <f>'K) Plafonnement aide'!J191</f>
        <v>0</v>
      </c>
      <c r="J192" s="315">
        <f>'J) Plafonnement effort'!J191</f>
        <v>0</v>
      </c>
      <c r="K192" s="315">
        <f>'L) Plafonnement taux'!Q192</f>
        <v>0</v>
      </c>
      <c r="L192" s="310">
        <f t="shared" si="6"/>
        <v>2788709.7381410701</v>
      </c>
      <c r="M192" s="234">
        <f>'M) Police'!O192</f>
        <v>182829.62977662939</v>
      </c>
      <c r="N192" s="234">
        <f t="shared" si="5"/>
        <v>2971539.3679176997</v>
      </c>
      <c r="P192" s="317"/>
    </row>
    <row r="193" spans="1:16" s="154" customFormat="1" x14ac:dyDescent="0.25">
      <c r="A193" s="151">
        <f>'B) D RI'!A194</f>
        <v>5716</v>
      </c>
      <c r="B193" s="152" t="str">
        <f>'B) D RI'!B194</f>
        <v>Eysins</v>
      </c>
      <c r="C193" s="313">
        <f>'B) D RI'!S194</f>
        <v>61</v>
      </c>
      <c r="D193" s="153">
        <f>'B) D RI'!AA194</f>
        <v>1737</v>
      </c>
      <c r="E193" s="311">
        <f>'D) Ecrêtage'!C192</f>
        <v>215421.00462875623</v>
      </c>
      <c r="F193" s="315">
        <f>'E) Part. coh. soc.'!G198</f>
        <v>7014809.970961622</v>
      </c>
      <c r="G193" s="312">
        <f>'H) Péréquation directe'!I203</f>
        <v>3847871.4402599763</v>
      </c>
      <c r="H193" s="315">
        <f>+'I) Dépenses thématiques'!O192</f>
        <v>0</v>
      </c>
      <c r="I193" s="312">
        <f>'K) Plafonnement aide'!J192</f>
        <v>0</v>
      </c>
      <c r="J193" s="315">
        <f>'J) Plafonnement effort'!J192</f>
        <v>-115406.75404129832</v>
      </c>
      <c r="K193" s="315">
        <f>'L) Plafonnement taux'!Q193</f>
        <v>0</v>
      </c>
      <c r="L193" s="310">
        <f t="shared" si="6"/>
        <v>10747274.657180298</v>
      </c>
      <c r="M193" s="234">
        <f>'M) Police'!O193</f>
        <v>424718.7582863915</v>
      </c>
      <c r="N193" s="234">
        <f t="shared" ref="N193:N253" si="9">L193+M193</f>
        <v>11171993.41546669</v>
      </c>
      <c r="P193" s="317"/>
    </row>
    <row r="194" spans="1:16" s="154" customFormat="1" x14ac:dyDescent="0.25">
      <c r="A194" s="151">
        <f>'B) D RI'!A195</f>
        <v>5717</v>
      </c>
      <c r="B194" s="152" t="str">
        <f>'B) D RI'!B195</f>
        <v>Founex</v>
      </c>
      <c r="C194" s="313">
        <f>'B) D RI'!S195</f>
        <v>57</v>
      </c>
      <c r="D194" s="153">
        <f>'B) D RI'!AA195</f>
        <v>3772</v>
      </c>
      <c r="E194" s="311">
        <f>'D) Ecrêtage'!C193</f>
        <v>344785.57941848523</v>
      </c>
      <c r="F194" s="315">
        <f>'E) Part. coh. soc.'!G199</f>
        <v>9742876.5633256342</v>
      </c>
      <c r="G194" s="312">
        <f>'H) Péréquation directe'!I204</f>
        <v>5557504.9547842592</v>
      </c>
      <c r="H194" s="315">
        <f>+'I) Dépenses thématiques'!O193</f>
        <v>0</v>
      </c>
      <c r="I194" s="312">
        <f>'K) Plafonnement aide'!J193</f>
        <v>0</v>
      </c>
      <c r="J194" s="315">
        <f>'J) Plafonnement effort'!J193</f>
        <v>0</v>
      </c>
      <c r="K194" s="315">
        <f>'L) Plafonnement taux'!Q194</f>
        <v>0</v>
      </c>
      <c r="L194" s="310">
        <f t="shared" si="6"/>
        <v>15300381.518109893</v>
      </c>
      <c r="M194" s="234">
        <f>'M) Police'!O194</f>
        <v>764217.27927037317</v>
      </c>
      <c r="N194" s="234">
        <f t="shared" si="9"/>
        <v>16064598.797380267</v>
      </c>
      <c r="P194" s="317"/>
    </row>
    <row r="195" spans="1:16" s="154" customFormat="1" x14ac:dyDescent="0.25">
      <c r="A195" s="151">
        <f>'B) D RI'!A196</f>
        <v>5718</v>
      </c>
      <c r="B195" s="152" t="str">
        <f>'B) D RI'!B196</f>
        <v>Genolier</v>
      </c>
      <c r="C195" s="313">
        <f>'B) D RI'!S196</f>
        <v>55</v>
      </c>
      <c r="D195" s="153">
        <f>'B) D RI'!AA196</f>
        <v>2000</v>
      </c>
      <c r="E195" s="311">
        <f>'D) Ecrêtage'!C194</f>
        <v>170276.54994177341</v>
      </c>
      <c r="F195" s="315">
        <f>'E) Part. coh. soc.'!G200</f>
        <v>4777332.8041139217</v>
      </c>
      <c r="G195" s="312">
        <f>'H) Péréquation directe'!I205</f>
        <v>2868327.5060511711</v>
      </c>
      <c r="H195" s="315">
        <f>+'I) Dépenses thématiques'!O194</f>
        <v>0</v>
      </c>
      <c r="I195" s="312">
        <f>'K) Plafonnement aide'!J194</f>
        <v>0</v>
      </c>
      <c r="J195" s="315">
        <f>'J) Plafonnement effort'!J194</f>
        <v>0</v>
      </c>
      <c r="K195" s="315">
        <f>'L) Plafonnement taux'!Q195</f>
        <v>0</v>
      </c>
      <c r="L195" s="310">
        <f t="shared" si="6"/>
        <v>7645660.3101650923</v>
      </c>
      <c r="M195" s="234">
        <f>'M) Police'!O195</f>
        <v>389094.61022119457</v>
      </c>
      <c r="N195" s="234">
        <f t="shared" si="9"/>
        <v>8034754.9203862865</v>
      </c>
      <c r="P195" s="317"/>
    </row>
    <row r="196" spans="1:16" s="154" customFormat="1" x14ac:dyDescent="0.25">
      <c r="A196" s="151">
        <f>'B) D RI'!A197</f>
        <v>5719</v>
      </c>
      <c r="B196" s="152" t="str">
        <f>'B) D RI'!B197</f>
        <v>Gingins</v>
      </c>
      <c r="C196" s="313">
        <f>'B) D RI'!S197</f>
        <v>57</v>
      </c>
      <c r="D196" s="153">
        <f>'B) D RI'!AA197</f>
        <v>1239</v>
      </c>
      <c r="E196" s="311">
        <f>'D) Ecrêtage'!C195</f>
        <v>142327.02027947939</v>
      </c>
      <c r="F196" s="315">
        <f>'E) Part. coh. soc.'!G201</f>
        <v>4255833.7256971039</v>
      </c>
      <c r="G196" s="312">
        <f>'H) Péréquation directe'!I206</f>
        <v>2586844.7155236956</v>
      </c>
      <c r="H196" s="315">
        <f>+'I) Dépenses thématiques'!O195</f>
        <v>0</v>
      </c>
      <c r="I196" s="312">
        <f>'K) Plafonnement aide'!J195</f>
        <v>0</v>
      </c>
      <c r="J196" s="315">
        <f>'J) Plafonnement effort'!J195</f>
        <v>0</v>
      </c>
      <c r="K196" s="315">
        <f>'L) Plafonnement taux'!Q196</f>
        <v>0</v>
      </c>
      <c r="L196" s="310">
        <f t="shared" si="6"/>
        <v>6842678.4412207995</v>
      </c>
      <c r="M196" s="234">
        <f>'M) Police'!O196</f>
        <v>288387.98553524236</v>
      </c>
      <c r="N196" s="234">
        <f t="shared" si="9"/>
        <v>7131066.4267560421</v>
      </c>
      <c r="P196" s="317"/>
    </row>
    <row r="197" spans="1:16" s="154" customFormat="1" x14ac:dyDescent="0.25">
      <c r="A197" s="151">
        <f>'B) D RI'!A198</f>
        <v>5720</v>
      </c>
      <c r="B197" s="152" t="str">
        <f>'B) D RI'!B198</f>
        <v>Givrins</v>
      </c>
      <c r="C197" s="313">
        <f>'B) D RI'!S198</f>
        <v>67</v>
      </c>
      <c r="D197" s="153">
        <f>'B) D RI'!AA198</f>
        <v>1032</v>
      </c>
      <c r="E197" s="311">
        <f>'D) Ecrêtage'!C196</f>
        <v>82417.202201596621</v>
      </c>
      <c r="F197" s="315">
        <f>'E) Part. coh. soc.'!G202</f>
        <v>2271132.5941790314</v>
      </c>
      <c r="G197" s="312">
        <f>'H) Péréquation directe'!I207</f>
        <v>1482507.7040027275</v>
      </c>
      <c r="H197" s="315">
        <f>+'I) Dépenses thématiques'!O196</f>
        <v>-38840.411031098825</v>
      </c>
      <c r="I197" s="312">
        <f>'K) Plafonnement aide'!J196</f>
        <v>0</v>
      </c>
      <c r="J197" s="315">
        <f>'J) Plafonnement effort'!J196</f>
        <v>0</v>
      </c>
      <c r="K197" s="315">
        <f>'L) Plafonnement taux'!Q197</f>
        <v>0</v>
      </c>
      <c r="L197" s="310">
        <f t="shared" si="6"/>
        <v>3714799.8871506602</v>
      </c>
      <c r="M197" s="234">
        <f>'M) Police'!O197</f>
        <v>193774.82561273742</v>
      </c>
      <c r="N197" s="234">
        <f t="shared" si="9"/>
        <v>3908574.7127633975</v>
      </c>
      <c r="P197" s="317"/>
    </row>
    <row r="198" spans="1:16" s="154" customFormat="1" x14ac:dyDescent="0.25">
      <c r="A198" s="151">
        <f>'B) D RI'!A199</f>
        <v>5721</v>
      </c>
      <c r="B198" s="152" t="str">
        <f>'B) D RI'!B199</f>
        <v>Gland</v>
      </c>
      <c r="C198" s="313">
        <f>'B) D RI'!S199</f>
        <v>62.5</v>
      </c>
      <c r="D198" s="153">
        <f>'B) D RI'!AA199</f>
        <v>13194</v>
      </c>
      <c r="E198" s="311">
        <f>'D) Ecrêtage'!C197</f>
        <v>657906.43691215932</v>
      </c>
      <c r="F198" s="315">
        <f>'E) Part. coh. soc.'!G203</f>
        <v>12996575.439290924</v>
      </c>
      <c r="G198" s="312">
        <f>'H) Péréquation directe'!I208</f>
        <v>4917936.1304430477</v>
      </c>
      <c r="H198" s="315">
        <f>+'I) Dépenses thématiques'!O197</f>
        <v>0</v>
      </c>
      <c r="I198" s="312">
        <f>'K) Plafonnement aide'!J197</f>
        <v>0</v>
      </c>
      <c r="J198" s="315">
        <f>'J) Plafonnement effort'!J197</f>
        <v>0</v>
      </c>
      <c r="K198" s="315">
        <f>'L) Plafonnement taux'!Q198</f>
        <v>0</v>
      </c>
      <c r="L198" s="310">
        <f t="shared" si="6"/>
        <v>17914511.56973397</v>
      </c>
      <c r="M198" s="234">
        <f>'M) Police'!O198</f>
        <v>1968762.7090313653</v>
      </c>
      <c r="N198" s="234">
        <f t="shared" si="9"/>
        <v>19883274.278765336</v>
      </c>
      <c r="P198" s="317"/>
    </row>
    <row r="199" spans="1:16" s="154" customFormat="1" x14ac:dyDescent="0.25">
      <c r="A199" s="151">
        <f>'B) D RI'!A200</f>
        <v>5722</v>
      </c>
      <c r="B199" s="152" t="str">
        <f>'B) D RI'!B200</f>
        <v>Grens</v>
      </c>
      <c r="C199" s="313">
        <f>'B) D RI'!S200</f>
        <v>62</v>
      </c>
      <c r="D199" s="153">
        <f>'B) D RI'!AA200</f>
        <v>383</v>
      </c>
      <c r="E199" s="311">
        <f>'D) Ecrêtage'!C198</f>
        <v>20260.981774193551</v>
      </c>
      <c r="F199" s="315">
        <f>'E) Part. coh. soc.'!G204</f>
        <v>412362.82662804547</v>
      </c>
      <c r="G199" s="312">
        <f>'H) Péréquation directe'!I209</f>
        <v>349986.60805378552</v>
      </c>
      <c r="H199" s="315">
        <f>+'I) Dépenses thématiques'!O198</f>
        <v>-201060.95859622423</v>
      </c>
      <c r="I199" s="312">
        <f>'K) Plafonnement aide'!J198</f>
        <v>0</v>
      </c>
      <c r="J199" s="315">
        <f>'J) Plafonnement effort'!J198</f>
        <v>0</v>
      </c>
      <c r="K199" s="315">
        <f>'L) Plafonnement taux'!Q199</f>
        <v>0</v>
      </c>
      <c r="L199" s="310">
        <f t="shared" si="6"/>
        <v>561288.47608560673</v>
      </c>
      <c r="M199" s="234">
        <f>'M) Police'!O199</f>
        <v>58644.552536603529</v>
      </c>
      <c r="N199" s="234">
        <f t="shared" si="9"/>
        <v>619933.02862221026</v>
      </c>
      <c r="P199" s="317"/>
    </row>
    <row r="200" spans="1:16" s="154" customFormat="1" x14ac:dyDescent="0.25">
      <c r="A200" s="151">
        <f>'B) D RI'!A201</f>
        <v>5723</v>
      </c>
      <c r="B200" s="152" t="str">
        <f>'B) D RI'!B201</f>
        <v>Mies</v>
      </c>
      <c r="C200" s="313">
        <f>'B) D RI'!S201</f>
        <v>53</v>
      </c>
      <c r="D200" s="153">
        <f>'B) D RI'!AA201</f>
        <v>2116</v>
      </c>
      <c r="E200" s="311">
        <f>'D) Ecrêtage'!C199</f>
        <v>196584.50934585766</v>
      </c>
      <c r="F200" s="315">
        <f>'E) Part. coh. soc.'!G205</f>
        <v>5320130.0523036867</v>
      </c>
      <c r="G200" s="312">
        <f>'H) Péréquation directe'!I210</f>
        <v>3344441.0999100124</v>
      </c>
      <c r="H200" s="315">
        <f>+'I) Dépenses thématiques'!O199</f>
        <v>0</v>
      </c>
      <c r="I200" s="312">
        <f>'K) Plafonnement aide'!J199</f>
        <v>0</v>
      </c>
      <c r="J200" s="315">
        <f>'J) Plafonnement effort'!J199</f>
        <v>0</v>
      </c>
      <c r="K200" s="315">
        <f>'L) Plafonnement taux'!Q200</f>
        <v>0</v>
      </c>
      <c r="L200" s="310">
        <f t="shared" si="6"/>
        <v>8664571.1522137001</v>
      </c>
      <c r="M200" s="234">
        <f>'M) Police'!O200</f>
        <v>432778.71010747657</v>
      </c>
      <c r="N200" s="234">
        <f t="shared" si="9"/>
        <v>9097349.8623211775</v>
      </c>
      <c r="P200" s="317"/>
    </row>
    <row r="201" spans="1:16" s="154" customFormat="1" x14ac:dyDescent="0.25">
      <c r="A201" s="151">
        <f>'B) D RI'!A202</f>
        <v>5724</v>
      </c>
      <c r="B201" s="152" t="str">
        <f>'B) D RI'!B202</f>
        <v>Nyon</v>
      </c>
      <c r="C201" s="313">
        <f>'B) D RI'!S202</f>
        <v>61</v>
      </c>
      <c r="D201" s="153">
        <f>'B) D RI'!AA202</f>
        <v>21416</v>
      </c>
      <c r="E201" s="311">
        <f>'D) Ecrêtage'!C200</f>
        <v>1385271.3719392153</v>
      </c>
      <c r="F201" s="315">
        <f>'E) Part. coh. soc.'!G206</f>
        <v>32943426.014973942</v>
      </c>
      <c r="G201" s="312">
        <f>'H) Péréquation directe'!I211</f>
        <v>10623956.764604842</v>
      </c>
      <c r="H201" s="315">
        <f>+'I) Dépenses thématiques'!O200</f>
        <v>-678265.63226497849</v>
      </c>
      <c r="I201" s="312">
        <f>'K) Plafonnement aide'!J200</f>
        <v>0</v>
      </c>
      <c r="J201" s="315">
        <f>'J) Plafonnement effort'!J200</f>
        <v>0</v>
      </c>
      <c r="K201" s="315">
        <f>'L) Plafonnement taux'!Q201</f>
        <v>0</v>
      </c>
      <c r="L201" s="310">
        <f t="shared" si="6"/>
        <v>42889117.147313803</v>
      </c>
      <c r="M201" s="234">
        <f>'M) Police'!O201</f>
        <v>1780208.2554160065</v>
      </c>
      <c r="N201" s="234">
        <f t="shared" si="9"/>
        <v>44669325.402729809</v>
      </c>
      <c r="P201" s="317"/>
    </row>
    <row r="202" spans="1:16" s="154" customFormat="1" x14ac:dyDescent="0.25">
      <c r="A202" s="151">
        <f>'B) D RI'!A203</f>
        <v>5725</v>
      </c>
      <c r="B202" s="152" t="str">
        <f>'B) D RI'!B203</f>
        <v>Prangins</v>
      </c>
      <c r="C202" s="313">
        <f>'B) D RI'!S203</f>
        <v>56</v>
      </c>
      <c r="D202" s="153">
        <f>'B) D RI'!AA203</f>
        <v>4088</v>
      </c>
      <c r="E202" s="311">
        <f>'D) Ecrêtage'!C201</f>
        <v>342757.72234116954</v>
      </c>
      <c r="F202" s="315">
        <f>'E) Part. coh. soc.'!G207</f>
        <v>9627692.1867044382</v>
      </c>
      <c r="G202" s="312">
        <f>'H) Péréquation directe'!I212</f>
        <v>5358865.3832375966</v>
      </c>
      <c r="H202" s="315">
        <f>+'I) Dépenses thématiques'!O201</f>
        <v>0</v>
      </c>
      <c r="I202" s="312">
        <f>'K) Plafonnement aide'!J201</f>
        <v>0</v>
      </c>
      <c r="J202" s="315">
        <f>'J) Plafonnement effort'!J201</f>
        <v>0</v>
      </c>
      <c r="K202" s="315">
        <f>'L) Plafonnement taux'!Q202</f>
        <v>0</v>
      </c>
      <c r="L202" s="310">
        <f t="shared" si="6"/>
        <v>14986557.569942035</v>
      </c>
      <c r="M202" s="234">
        <f>'M) Police'!O202</f>
        <v>440476.96305537428</v>
      </c>
      <c r="N202" s="234">
        <f t="shared" si="9"/>
        <v>15427034.532997409</v>
      </c>
      <c r="P202" s="317"/>
    </row>
    <row r="203" spans="1:16" s="154" customFormat="1" x14ac:dyDescent="0.25">
      <c r="A203" s="151">
        <f>'B) D RI'!A204</f>
        <v>5726</v>
      </c>
      <c r="B203" s="152" t="str">
        <f>'B) D RI'!B204</f>
        <v>La Rippe</v>
      </c>
      <c r="C203" s="313">
        <f>'B) D RI'!S204</f>
        <v>65</v>
      </c>
      <c r="D203" s="153">
        <f>'B) D RI'!AA204</f>
        <v>1136</v>
      </c>
      <c r="E203" s="311">
        <f>'D) Ecrêtage'!C202</f>
        <v>61259.007150466066</v>
      </c>
      <c r="F203" s="315">
        <f>'E) Part. coh. soc.'!G208</f>
        <v>1189560.1176408953</v>
      </c>
      <c r="G203" s="312">
        <f>'H) Péréquation directe'!I213</f>
        <v>1030193.0818718626</v>
      </c>
      <c r="H203" s="315">
        <f>+'I) Dépenses thématiques'!O202</f>
        <v>-1051.2799803401276</v>
      </c>
      <c r="I203" s="312">
        <f>'K) Plafonnement aide'!J202</f>
        <v>0</v>
      </c>
      <c r="J203" s="315">
        <f>'J) Plafonnement effort'!J202</f>
        <v>0</v>
      </c>
      <c r="K203" s="315">
        <f>'L) Plafonnement taux'!Q203</f>
        <v>0</v>
      </c>
      <c r="L203" s="310">
        <f t="shared" si="6"/>
        <v>2218701.9195324178</v>
      </c>
      <c r="M203" s="234">
        <f>'M) Police'!O203</f>
        <v>175438.67070851946</v>
      </c>
      <c r="N203" s="234">
        <f t="shared" si="9"/>
        <v>2394140.5902409372</v>
      </c>
      <c r="P203" s="317"/>
    </row>
    <row r="204" spans="1:16" s="154" customFormat="1" x14ac:dyDescent="0.25">
      <c r="A204" s="151">
        <f>'B) D RI'!A205</f>
        <v>5727</v>
      </c>
      <c r="B204" s="152" t="str">
        <f>'B) D RI'!B205</f>
        <v>Saint-Cergue</v>
      </c>
      <c r="C204" s="313">
        <f>'B) D RI'!S205</f>
        <v>66</v>
      </c>
      <c r="D204" s="153">
        <f>'B) D RI'!AA205</f>
        <v>2603</v>
      </c>
      <c r="E204" s="311">
        <f>'D) Ecrêtage'!C203</f>
        <v>96033.059668733855</v>
      </c>
      <c r="F204" s="315">
        <f>'E) Part. coh. soc.'!G209</f>
        <v>1844305.2921122019</v>
      </c>
      <c r="G204" s="312">
        <f>'H) Péréquation directe'!I214</f>
        <v>789700.75931901252</v>
      </c>
      <c r="H204" s="315">
        <f>+'I) Dépenses thématiques'!O203</f>
        <v>-342390.43612645089</v>
      </c>
      <c r="I204" s="312">
        <f>'K) Plafonnement aide'!J203</f>
        <v>0</v>
      </c>
      <c r="J204" s="315">
        <f>'J) Plafonnement effort'!J203</f>
        <v>0</v>
      </c>
      <c r="K204" s="315">
        <f>'L) Plafonnement taux'!Q204</f>
        <v>0</v>
      </c>
      <c r="L204" s="310">
        <f t="shared" si="6"/>
        <v>2291615.6153047634</v>
      </c>
      <c r="M204" s="234">
        <f>'M) Police'!O204</f>
        <v>299680.20636634395</v>
      </c>
      <c r="N204" s="234">
        <f t="shared" si="9"/>
        <v>2591295.8216711073</v>
      </c>
      <c r="P204" s="317"/>
    </row>
    <row r="205" spans="1:16" s="154" customFormat="1" x14ac:dyDescent="0.25">
      <c r="A205" s="151">
        <f>'B) D RI'!A206</f>
        <v>5728</v>
      </c>
      <c r="B205" s="152" t="str">
        <f>'B) D RI'!B206</f>
        <v>Signy-Avenex</v>
      </c>
      <c r="C205" s="313">
        <f>'B) D RI'!S206</f>
        <v>58</v>
      </c>
      <c r="D205" s="153">
        <f>'B) D RI'!AA206</f>
        <v>586</v>
      </c>
      <c r="E205" s="311">
        <f>'D) Ecrêtage'!C204</f>
        <v>43425.016490818416</v>
      </c>
      <c r="F205" s="315">
        <f>'E) Part. coh. soc.'!G210</f>
        <v>1045743.4818962205</v>
      </c>
      <c r="G205" s="312">
        <f>'H) Péréquation directe'!I215</f>
        <v>779627.67964677047</v>
      </c>
      <c r="H205" s="315">
        <f>+'I) Dépenses thématiques'!O204</f>
        <v>0</v>
      </c>
      <c r="I205" s="312">
        <f>'K) Plafonnement aide'!J204</f>
        <v>0</v>
      </c>
      <c r="J205" s="315">
        <f>'J) Plafonnement effort'!J204</f>
        <v>0</v>
      </c>
      <c r="K205" s="315">
        <f>'L) Plafonnement taux'!Q205</f>
        <v>0</v>
      </c>
      <c r="L205" s="310">
        <f t="shared" si="6"/>
        <v>1825371.1615429909</v>
      </c>
      <c r="M205" s="234">
        <f>'M) Police'!O205</f>
        <v>105695.26654757856</v>
      </c>
      <c r="N205" s="234">
        <f t="shared" si="9"/>
        <v>1931066.4280905696</v>
      </c>
      <c r="P205" s="317"/>
    </row>
    <row r="206" spans="1:16" s="154" customFormat="1" x14ac:dyDescent="0.25">
      <c r="A206" s="151">
        <f>'B) D RI'!A207</f>
        <v>5729</v>
      </c>
      <c r="B206" s="152" t="str">
        <f>'B) D RI'!B207</f>
        <v>Tannay</v>
      </c>
      <c r="C206" s="313">
        <f>'B) D RI'!S207</f>
        <v>61</v>
      </c>
      <c r="D206" s="153">
        <f>'B) D RI'!AA207</f>
        <v>1600</v>
      </c>
      <c r="E206" s="311">
        <f>'D) Ecrêtage'!C205</f>
        <v>176785.12407552512</v>
      </c>
      <c r="F206" s="315">
        <f>'E) Part. coh. soc.'!G211</f>
        <v>5572134.2039832575</v>
      </c>
      <c r="G206" s="312">
        <f>'H) Péréquation directe'!I216</f>
        <v>3136916.9046968627</v>
      </c>
      <c r="H206" s="315">
        <f>+'I) Dépenses thématiques'!O205</f>
        <v>0</v>
      </c>
      <c r="I206" s="312">
        <f>'K) Plafonnement aide'!J205</f>
        <v>0</v>
      </c>
      <c r="J206" s="315">
        <f>'J) Plafonnement effort'!J205</f>
        <v>0</v>
      </c>
      <c r="K206" s="315">
        <f>'L) Plafonnement taux'!Q206</f>
        <v>0</v>
      </c>
      <c r="L206" s="310">
        <f t="shared" si="6"/>
        <v>8709051.1086801197</v>
      </c>
      <c r="M206" s="234">
        <f>'M) Police'!O206</f>
        <v>363404.21898231225</v>
      </c>
      <c r="N206" s="234">
        <f t="shared" si="9"/>
        <v>9072455.3276624326</v>
      </c>
      <c r="P206" s="317"/>
    </row>
    <row r="207" spans="1:16" s="154" customFormat="1" x14ac:dyDescent="0.25">
      <c r="A207" s="151">
        <f>'B) D RI'!A208</f>
        <v>5730</v>
      </c>
      <c r="B207" s="152" t="str">
        <f>'B) D RI'!B208</f>
        <v>Trélex</v>
      </c>
      <c r="C207" s="313">
        <f>'B) D RI'!S208</f>
        <v>57</v>
      </c>
      <c r="D207" s="153">
        <f>'B) D RI'!AA208</f>
        <v>1434</v>
      </c>
      <c r="E207" s="311">
        <f>'D) Ecrêtage'!C206</f>
        <v>134389.74453035684</v>
      </c>
      <c r="F207" s="315">
        <f>'E) Part. coh. soc.'!G212</f>
        <v>3634402.0584759302</v>
      </c>
      <c r="G207" s="312">
        <f>'H) Péréquation directe'!I217</f>
        <v>2362294.0694191661</v>
      </c>
      <c r="H207" s="315">
        <f>+'I) Dépenses thématiques'!O206</f>
        <v>0</v>
      </c>
      <c r="I207" s="312">
        <f>'K) Plafonnement aide'!J206</f>
        <v>0</v>
      </c>
      <c r="J207" s="315">
        <f>'J) Plafonnement effort'!J206</f>
        <v>0</v>
      </c>
      <c r="K207" s="315">
        <f>'L) Plafonnement taux'!Q207</f>
        <v>0</v>
      </c>
      <c r="L207" s="310">
        <f t="shared" si="6"/>
        <v>5996696.1278950963</v>
      </c>
      <c r="M207" s="234">
        <f>'M) Police'!O207</f>
        <v>294789.40410530125</v>
      </c>
      <c r="N207" s="234">
        <f t="shared" si="9"/>
        <v>6291485.5320003973</v>
      </c>
      <c r="P207" s="317"/>
    </row>
    <row r="208" spans="1:16" s="154" customFormat="1" x14ac:dyDescent="0.25">
      <c r="A208" s="151">
        <f>'B) D RI'!A209</f>
        <v>5731</v>
      </c>
      <c r="B208" s="152" t="str">
        <f>'B) D RI'!B209</f>
        <v>Le Vaud</v>
      </c>
      <c r="C208" s="313">
        <f>'B) D RI'!S209</f>
        <v>75</v>
      </c>
      <c r="D208" s="153">
        <f>'B) D RI'!AA209</f>
        <v>1362</v>
      </c>
      <c r="E208" s="311">
        <f>'D) Ecrêtage'!C207</f>
        <v>61951.44694342916</v>
      </c>
      <c r="F208" s="315">
        <f>'E) Part. coh. soc.'!G213</f>
        <v>1320885.6476856563</v>
      </c>
      <c r="G208" s="312">
        <f>'H) Péréquation directe'!I218</f>
        <v>948724.21957001486</v>
      </c>
      <c r="H208" s="315">
        <f>+'I) Dépenses thématiques'!O207</f>
        <v>-103289.73043572201</v>
      </c>
      <c r="I208" s="312">
        <f>'K) Plafonnement aide'!J207</f>
        <v>0</v>
      </c>
      <c r="J208" s="315">
        <f>'J) Plafonnement effort'!J207</f>
        <v>0</v>
      </c>
      <c r="K208" s="315">
        <f>'L) Plafonnement taux'!Q208</f>
        <v>0</v>
      </c>
      <c r="L208" s="310">
        <f t="shared" si="6"/>
        <v>2166320.1368199489</v>
      </c>
      <c r="M208" s="234">
        <f>'M) Police'!O208</f>
        <v>195569.33883685712</v>
      </c>
      <c r="N208" s="234">
        <f t="shared" si="9"/>
        <v>2361889.475656806</v>
      </c>
      <c r="P208" s="317"/>
    </row>
    <row r="209" spans="1:16" s="154" customFormat="1" x14ac:dyDescent="0.25">
      <c r="A209" s="151">
        <f>'B) D RI'!A210</f>
        <v>5732</v>
      </c>
      <c r="B209" s="152" t="str">
        <f>'B) D RI'!B210</f>
        <v>Vich</v>
      </c>
      <c r="C209" s="313">
        <f>'B) D RI'!S210</f>
        <v>66</v>
      </c>
      <c r="D209" s="153">
        <f>'B) D RI'!AA210</f>
        <v>1083</v>
      </c>
      <c r="E209" s="311">
        <f>'D) Ecrêtage'!C208</f>
        <v>62590.343939393941</v>
      </c>
      <c r="F209" s="315">
        <f>'E) Part. coh. soc.'!G214</f>
        <v>1353781.0715331521</v>
      </c>
      <c r="G209" s="312">
        <f>'H) Péréquation directe'!I219</f>
        <v>1074995.4601329961</v>
      </c>
      <c r="H209" s="315">
        <f>+'I) Dépenses thématiques'!O208</f>
        <v>0</v>
      </c>
      <c r="I209" s="312">
        <f>'K) Plafonnement aide'!J208</f>
        <v>0</v>
      </c>
      <c r="J209" s="315">
        <f>'J) Plafonnement effort'!J208</f>
        <v>0</v>
      </c>
      <c r="K209" s="315">
        <f>'L) Plafonnement taux'!Q209</f>
        <v>0</v>
      </c>
      <c r="L209" s="310">
        <f t="shared" si="6"/>
        <v>2428776.5316661485</v>
      </c>
      <c r="M209" s="234">
        <f>'M) Police'!O209</f>
        <v>172637.34108585055</v>
      </c>
      <c r="N209" s="234">
        <f t="shared" si="9"/>
        <v>2601413.8727519992</v>
      </c>
      <c r="P209" s="317"/>
    </row>
    <row r="210" spans="1:16" s="154" customFormat="1" x14ac:dyDescent="0.25">
      <c r="A210" s="151">
        <f>'B) D RI'!A211</f>
        <v>5741</v>
      </c>
      <c r="B210" s="152" t="str">
        <f>'B) D RI'!B211</f>
        <v>L'Abergement</v>
      </c>
      <c r="C210" s="313">
        <f>'B) D RI'!S211</f>
        <v>81</v>
      </c>
      <c r="D210" s="153">
        <f>'B) D RI'!AA211</f>
        <v>244</v>
      </c>
      <c r="E210" s="311">
        <f>'D) Ecrêtage'!C209</f>
        <v>7136.3252688010616</v>
      </c>
      <c r="F210" s="315">
        <f>'E) Part. coh. soc.'!G215</f>
        <v>133291.44423130192</v>
      </c>
      <c r="G210" s="312">
        <f>'H) Péréquation directe'!I220</f>
        <v>3671.4784935461066</v>
      </c>
      <c r="H210" s="315">
        <f>+'I) Dépenses thématiques'!O209</f>
        <v>-115299.02123885184</v>
      </c>
      <c r="I210" s="312">
        <f>'K) Plafonnement aide'!J209</f>
        <v>0</v>
      </c>
      <c r="J210" s="315">
        <f>'J) Plafonnement effort'!J209</f>
        <v>0</v>
      </c>
      <c r="K210" s="315">
        <f>'L) Plafonnement taux'!Q210</f>
        <v>0</v>
      </c>
      <c r="L210" s="310">
        <f t="shared" si="6"/>
        <v>21663.90148599619</v>
      </c>
      <c r="M210" s="234">
        <f>'M) Police'!O210</f>
        <v>22454.138897210076</v>
      </c>
      <c r="N210" s="234">
        <f t="shared" si="9"/>
        <v>44118.040383206266</v>
      </c>
      <c r="P210" s="317"/>
    </row>
    <row r="211" spans="1:16" s="154" customFormat="1" x14ac:dyDescent="0.25">
      <c r="A211" s="151">
        <f>'B) D RI'!A212</f>
        <v>5742</v>
      </c>
      <c r="B211" s="152" t="str">
        <f>'B) D RI'!B212</f>
        <v>Agiez</v>
      </c>
      <c r="C211" s="313">
        <f>'B) D RI'!S212</f>
        <v>76</v>
      </c>
      <c r="D211" s="153">
        <f>'B) D RI'!AA212</f>
        <v>354</v>
      </c>
      <c r="E211" s="311">
        <f>'D) Ecrêtage'!C210</f>
        <v>9012.3275646255879</v>
      </c>
      <c r="F211" s="315">
        <f>'E) Part. coh. soc.'!G216</f>
        <v>171641.98118854698</v>
      </c>
      <c r="G211" s="312">
        <f>'H) Péréquation directe'!I221</f>
        <v>-33230.936170616973</v>
      </c>
      <c r="H211" s="315">
        <f>+'I) Dépenses thématiques'!O210</f>
        <v>-16243.396313159297</v>
      </c>
      <c r="I211" s="312">
        <f>'K) Plafonnement aide'!J210</f>
        <v>0</v>
      </c>
      <c r="J211" s="315">
        <f>'J) Plafonnement effort'!J210</f>
        <v>0</v>
      </c>
      <c r="K211" s="315">
        <f>'L) Plafonnement taux'!Q211</f>
        <v>0</v>
      </c>
      <c r="L211" s="310">
        <f t="shared" si="6"/>
        <v>122167.64870477072</v>
      </c>
      <c r="M211" s="234">
        <f>'M) Police'!O211</f>
        <v>28208.137148520516</v>
      </c>
      <c r="N211" s="234">
        <f t="shared" si="9"/>
        <v>150375.78585329122</v>
      </c>
      <c r="P211" s="317"/>
    </row>
    <row r="212" spans="1:16" s="154" customFormat="1" x14ac:dyDescent="0.25">
      <c r="A212" s="151">
        <f>'B) D RI'!A213</f>
        <v>5743</v>
      </c>
      <c r="B212" s="152" t="str">
        <f>'B) D RI'!B213</f>
        <v>Arnex-sur-Orbe</v>
      </c>
      <c r="C212" s="313">
        <f>'B) D RI'!S213</f>
        <v>73</v>
      </c>
      <c r="D212" s="153">
        <f>'B) D RI'!AA213</f>
        <v>633</v>
      </c>
      <c r="E212" s="311">
        <f>'D) Ecrêtage'!C211</f>
        <v>18985.341168070638</v>
      </c>
      <c r="F212" s="315">
        <f>'E) Part. coh. soc.'!G217</f>
        <v>399971.74212419253</v>
      </c>
      <c r="G212" s="312">
        <f>'H) Péréquation directe'!I222</f>
        <v>80309.382600928075</v>
      </c>
      <c r="H212" s="315">
        <f>+'I) Dépenses thématiques'!O211</f>
        <v>-72202.196656316039</v>
      </c>
      <c r="I212" s="312">
        <f>'K) Plafonnement aide'!J211</f>
        <v>0</v>
      </c>
      <c r="J212" s="315">
        <f>'J) Plafonnement effort'!J211</f>
        <v>0</v>
      </c>
      <c r="K212" s="315">
        <f>'L) Plafonnement taux'!Q212</f>
        <v>0</v>
      </c>
      <c r="L212" s="310">
        <f t="shared" si="6"/>
        <v>408078.92806880455</v>
      </c>
      <c r="M212" s="234">
        <f>'M) Police'!O212</f>
        <v>60021.564660854652</v>
      </c>
      <c r="N212" s="234">
        <f t="shared" si="9"/>
        <v>468100.49272965919</v>
      </c>
      <c r="P212" s="317"/>
    </row>
    <row r="213" spans="1:16" s="154" customFormat="1" x14ac:dyDescent="0.25">
      <c r="A213" s="151">
        <f>'B) D RI'!A214</f>
        <v>5744</v>
      </c>
      <c r="B213" s="152" t="str">
        <f>'B) D RI'!B214</f>
        <v>Ballaigues</v>
      </c>
      <c r="C213" s="313">
        <f>'B) D RI'!S214</f>
        <v>66</v>
      </c>
      <c r="D213" s="153">
        <f>'B) D RI'!AA214</f>
        <v>1108</v>
      </c>
      <c r="E213" s="311">
        <f>'D) Ecrêtage'!C212</f>
        <v>59853.218669078378</v>
      </c>
      <c r="F213" s="315">
        <f>'E) Part. coh. soc.'!G218</f>
        <v>1594845.5168522415</v>
      </c>
      <c r="G213" s="312">
        <f>'H) Péréquation directe'!I223</f>
        <v>1012420.4285280248</v>
      </c>
      <c r="H213" s="315">
        <f>+'I) Dépenses thématiques'!O212</f>
        <v>-283696.16089779226</v>
      </c>
      <c r="I213" s="312">
        <f>'K) Plafonnement aide'!J212</f>
        <v>0</v>
      </c>
      <c r="J213" s="315">
        <f>'J) Plafonnement effort'!J212</f>
        <v>0</v>
      </c>
      <c r="K213" s="315">
        <f>'L) Plafonnement taux'!Q213</f>
        <v>0</v>
      </c>
      <c r="L213" s="310">
        <f t="shared" si="6"/>
        <v>2323569.784482474</v>
      </c>
      <c r="M213" s="234">
        <f>'M) Police'!O213</f>
        <v>171248.27809520689</v>
      </c>
      <c r="N213" s="234">
        <f t="shared" si="9"/>
        <v>2494818.0625776807</v>
      </c>
      <c r="P213" s="317"/>
    </row>
    <row r="214" spans="1:16" s="154" customFormat="1" x14ac:dyDescent="0.25">
      <c r="A214" s="151">
        <f>'B) D RI'!A215</f>
        <v>5745</v>
      </c>
      <c r="B214" s="152" t="str">
        <f>'B) D RI'!B215</f>
        <v>Baulmes</v>
      </c>
      <c r="C214" s="313">
        <f>'B) D RI'!S215</f>
        <v>78</v>
      </c>
      <c r="D214" s="153">
        <f>'B) D RI'!AA215</f>
        <v>1042</v>
      </c>
      <c r="E214" s="311">
        <f>'D) Ecrêtage'!C213</f>
        <v>27688.42729631942</v>
      </c>
      <c r="F214" s="315">
        <f>'E) Part. coh. soc.'!G219</f>
        <v>539789.09523380164</v>
      </c>
      <c r="G214" s="312">
        <f>'H) Péréquation directe'!I224</f>
        <v>-82658.452761705383</v>
      </c>
      <c r="H214" s="315">
        <f>+'I) Dépenses thématiques'!O213</f>
        <v>-277660.51334466133</v>
      </c>
      <c r="I214" s="312">
        <f>'K) Plafonnement aide'!J213</f>
        <v>0</v>
      </c>
      <c r="J214" s="315">
        <f>'J) Plafonnement effort'!J213</f>
        <v>0</v>
      </c>
      <c r="K214" s="315">
        <f>'L) Plafonnement taux'!Q214</f>
        <v>0</v>
      </c>
      <c r="L214" s="310">
        <f t="shared" si="6"/>
        <v>179470.12912743492</v>
      </c>
      <c r="M214" s="234">
        <f>'M) Police'!O214</f>
        <v>87586.19594370047</v>
      </c>
      <c r="N214" s="234">
        <f t="shared" si="9"/>
        <v>267056.32507113542</v>
      </c>
      <c r="P214" s="317"/>
    </row>
    <row r="215" spans="1:16" s="154" customFormat="1" x14ac:dyDescent="0.25">
      <c r="A215" s="151">
        <f>'B) D RI'!A216</f>
        <v>5746</v>
      </c>
      <c r="B215" s="152" t="str">
        <f>'B) D RI'!B216</f>
        <v>Bavois</v>
      </c>
      <c r="C215" s="313">
        <f>'B) D RI'!S216</f>
        <v>73</v>
      </c>
      <c r="D215" s="153">
        <f>'B) D RI'!AA216</f>
        <v>952</v>
      </c>
      <c r="E215" s="311">
        <f>'D) Ecrêtage'!C214</f>
        <v>26210.064905994277</v>
      </c>
      <c r="F215" s="315">
        <f>'E) Part. coh. soc.'!G220</f>
        <v>506741.29554744018</v>
      </c>
      <c r="G215" s="312">
        <f>'H) Péréquation directe'!I225</f>
        <v>25449.008559044509</v>
      </c>
      <c r="H215" s="315">
        <f>+'I) Dépenses thématiques'!O214</f>
        <v>-191680.63187956085</v>
      </c>
      <c r="I215" s="312">
        <f>'K) Plafonnement aide'!J214</f>
        <v>0</v>
      </c>
      <c r="J215" s="315">
        <f>'J) Plafonnement effort'!J214</f>
        <v>0</v>
      </c>
      <c r="K215" s="315">
        <f>'L) Plafonnement taux'!Q215</f>
        <v>0</v>
      </c>
      <c r="L215" s="310">
        <f t="shared" si="6"/>
        <v>340509.67222692375</v>
      </c>
      <c r="M215" s="234">
        <f>'M) Police'!O215</f>
        <v>81277.939880983264</v>
      </c>
      <c r="N215" s="234">
        <f t="shared" si="9"/>
        <v>421787.61210790701</v>
      </c>
      <c r="P215" s="317"/>
    </row>
    <row r="216" spans="1:16" s="154" customFormat="1" x14ac:dyDescent="0.25">
      <c r="A216" s="151">
        <f>'B) D RI'!A217</f>
        <v>5747</v>
      </c>
      <c r="B216" s="152" t="str">
        <f>'B) D RI'!B217</f>
        <v>Bofflens</v>
      </c>
      <c r="C216" s="313">
        <f>'B) D RI'!S217</f>
        <v>69</v>
      </c>
      <c r="D216" s="153">
        <f>'B) D RI'!AA217</f>
        <v>194</v>
      </c>
      <c r="E216" s="311">
        <f>'D) Ecrêtage'!C215</f>
        <v>5918.808029883834</v>
      </c>
      <c r="F216" s="315">
        <f>'E) Part. coh. soc.'!G221</f>
        <v>97838.504869327197</v>
      </c>
      <c r="G216" s="312">
        <f>'H) Péréquation directe'!I226</f>
        <v>35431.36447287217</v>
      </c>
      <c r="H216" s="315">
        <f>+'I) Dépenses thématiques'!O215</f>
        <v>-226431.20345326443</v>
      </c>
      <c r="I216" s="312">
        <f>'K) Plafonnement aide'!J215</f>
        <v>0</v>
      </c>
      <c r="J216" s="315">
        <f>'J) Plafonnement effort'!J215</f>
        <v>0</v>
      </c>
      <c r="K216" s="315">
        <f>'L) Plafonnement taux'!Q216</f>
        <v>0</v>
      </c>
      <c r="L216" s="310">
        <f t="shared" si="6"/>
        <v>-93161.33411106508</v>
      </c>
      <c r="M216" s="234">
        <f>'M) Police'!O216</f>
        <v>18526.508509181585</v>
      </c>
      <c r="N216" s="234">
        <f t="shared" si="9"/>
        <v>-74634.825601883495</v>
      </c>
      <c r="P216" s="317"/>
    </row>
    <row r="217" spans="1:16" s="154" customFormat="1" x14ac:dyDescent="0.25">
      <c r="A217" s="151">
        <f>'B) D RI'!A218</f>
        <v>5748</v>
      </c>
      <c r="B217" s="152" t="str">
        <f>'B) D RI'!B218</f>
        <v>Bretonnières</v>
      </c>
      <c r="C217" s="313">
        <f>'B) D RI'!S218</f>
        <v>72</v>
      </c>
      <c r="D217" s="153">
        <f>'B) D RI'!AA218</f>
        <v>269</v>
      </c>
      <c r="E217" s="311">
        <f>'D) Ecrêtage'!C216</f>
        <v>7309.8392085479882</v>
      </c>
      <c r="F217" s="315">
        <f>'E) Part. coh. soc.'!G222</f>
        <v>128356.07456764787</v>
      </c>
      <c r="G217" s="312">
        <f>'H) Péréquation directe'!I227</f>
        <v>6177.7816263081913</v>
      </c>
      <c r="H217" s="315">
        <f>+'I) Dépenses thématiques'!O216</f>
        <v>-50820.17929299653</v>
      </c>
      <c r="I217" s="312">
        <f>'K) Plafonnement aide'!J216</f>
        <v>0</v>
      </c>
      <c r="J217" s="315">
        <f>'J) Plafonnement effort'!J216</f>
        <v>0</v>
      </c>
      <c r="K217" s="315">
        <f>'L) Plafonnement taux'!Q217</f>
        <v>0</v>
      </c>
      <c r="L217" s="310">
        <f t="shared" si="6"/>
        <v>83713.676900959515</v>
      </c>
      <c r="M217" s="234">
        <f>'M) Police'!O217</f>
        <v>22941.395183543937</v>
      </c>
      <c r="N217" s="234">
        <f t="shared" si="9"/>
        <v>106655.07208450345</v>
      </c>
      <c r="P217" s="317"/>
    </row>
    <row r="218" spans="1:16" s="154" customFormat="1" x14ac:dyDescent="0.25">
      <c r="A218" s="151">
        <f>'B) D RI'!A219</f>
        <v>5749</v>
      </c>
      <c r="B218" s="152" t="str">
        <f>'B) D RI'!B219</f>
        <v>Chavornay</v>
      </c>
      <c r="C218" s="313">
        <f>'B) D RI'!S219</f>
        <v>72</v>
      </c>
      <c r="D218" s="153">
        <f>'B) D RI'!AA219</f>
        <v>5135</v>
      </c>
      <c r="E218" s="311">
        <f>'D) Ecrêtage'!C217</f>
        <v>132437.33386463847</v>
      </c>
      <c r="F218" s="315">
        <f>'E) Part. coh. soc.'!G223</f>
        <v>2644857.7557078474</v>
      </c>
      <c r="G218" s="312">
        <f>'H) Péréquation directe'!I228</f>
        <v>-1437456.166597412</v>
      </c>
      <c r="H218" s="315">
        <f>+'I) Dépenses thématiques'!O217</f>
        <v>-600457.04323350999</v>
      </c>
      <c r="I218" s="312">
        <f>'K) Plafonnement aide'!J217</f>
        <v>0</v>
      </c>
      <c r="J218" s="315">
        <f>'J) Plafonnement effort'!J217</f>
        <v>0</v>
      </c>
      <c r="K218" s="315">
        <f>'L) Plafonnement taux'!Q218</f>
        <v>0</v>
      </c>
      <c r="L218" s="310">
        <f t="shared" ref="L218" si="10">F218+G218+H218+I218+J218+K218</f>
        <v>606944.54587692546</v>
      </c>
      <c r="M218" s="234">
        <f>'M) Police'!O218</f>
        <v>410259.75036276074</v>
      </c>
      <c r="N218" s="234">
        <f t="shared" ref="N218" si="11">L218+M218</f>
        <v>1017204.2962396862</v>
      </c>
      <c r="P218" s="317"/>
    </row>
    <row r="219" spans="1:16" s="154" customFormat="1" x14ac:dyDescent="0.25">
      <c r="A219" s="151">
        <f>'B) D RI'!A220</f>
        <v>5750</v>
      </c>
      <c r="B219" s="152" t="str">
        <f>'B) D RI'!B220</f>
        <v>Les Clées</v>
      </c>
      <c r="C219" s="313">
        <f>'B) D RI'!S220</f>
        <v>80</v>
      </c>
      <c r="D219" s="153">
        <f>'B) D RI'!AA220</f>
        <v>185</v>
      </c>
      <c r="E219" s="311">
        <f>'D) Ecrêtage'!C218</f>
        <v>5045.6080220470376</v>
      </c>
      <c r="F219" s="315">
        <f>'E) Part. coh. soc.'!G224</f>
        <v>81098.078946985901</v>
      </c>
      <c r="G219" s="312">
        <f>'H) Péréquation directe'!I229</f>
        <v>-11647.019079445497</v>
      </c>
      <c r="H219" s="315">
        <f>+'I) Dépenses thématiques'!O218</f>
        <v>-56080.443662051657</v>
      </c>
      <c r="I219" s="312">
        <f>'K) Plafonnement aide'!J218</f>
        <v>0</v>
      </c>
      <c r="J219" s="315">
        <f>'J) Plafonnement effort'!J218</f>
        <v>0</v>
      </c>
      <c r="K219" s="315">
        <f>'L) Plafonnement taux'!Q219</f>
        <v>0</v>
      </c>
      <c r="L219" s="310">
        <f t="shared" si="6"/>
        <v>13370.616205488746</v>
      </c>
      <c r="M219" s="234">
        <f>'M) Police'!O219</f>
        <v>15988.333233123627</v>
      </c>
      <c r="N219" s="234">
        <f t="shared" si="9"/>
        <v>29358.949438612373</v>
      </c>
      <c r="P219" s="317"/>
    </row>
    <row r="220" spans="1:16" s="154" customFormat="1" x14ac:dyDescent="0.25">
      <c r="A220" s="151">
        <f>'B) D RI'!A221</f>
        <v>5752</v>
      </c>
      <c r="B220" s="152" t="str">
        <f>'B) D RI'!B221</f>
        <v>Croy</v>
      </c>
      <c r="C220" s="313">
        <f>'B) D RI'!S221</f>
        <v>74</v>
      </c>
      <c r="D220" s="153">
        <f>'B) D RI'!AA221</f>
        <v>403</v>
      </c>
      <c r="E220" s="311">
        <f>'D) Ecrêtage'!C219</f>
        <v>9708.3693774468666</v>
      </c>
      <c r="F220" s="315">
        <f>'E) Part. coh. soc.'!G225</f>
        <v>173548.01959547037</v>
      </c>
      <c r="G220" s="312">
        <f>'H) Péréquation directe'!I230</f>
        <v>-50782.174016130215</v>
      </c>
      <c r="H220" s="315">
        <f>+'I) Dépenses thématiques'!O219</f>
        <v>-82895.986700887282</v>
      </c>
      <c r="I220" s="312">
        <f>'K) Plafonnement aide'!J219</f>
        <v>0</v>
      </c>
      <c r="J220" s="315">
        <f>'J) Plafonnement effort'!J219</f>
        <v>0</v>
      </c>
      <c r="K220" s="315">
        <f>'L) Plafonnement taux'!Q220</f>
        <v>0</v>
      </c>
      <c r="L220" s="310">
        <f t="shared" ref="L220:L264" si="12">F220+G220+H220+I220+J220+K220</f>
        <v>39869.858878452869</v>
      </c>
      <c r="M220" s="234">
        <f>'M) Police'!O220</f>
        <v>30233.578015058622</v>
      </c>
      <c r="N220" s="234">
        <f t="shared" si="9"/>
        <v>70103.436893511491</v>
      </c>
      <c r="P220" s="317"/>
    </row>
    <row r="221" spans="1:16" s="154" customFormat="1" x14ac:dyDescent="0.25">
      <c r="A221" s="151">
        <f>'B) D RI'!A222</f>
        <v>5754</v>
      </c>
      <c r="B221" s="152" t="str">
        <f>'B) D RI'!B222</f>
        <v>Juriens</v>
      </c>
      <c r="C221" s="313">
        <f>'B) D RI'!S222</f>
        <v>79</v>
      </c>
      <c r="D221" s="153">
        <f>'B) D RI'!AA222</f>
        <v>328</v>
      </c>
      <c r="E221" s="311">
        <f>'D) Ecrêtage'!C220</f>
        <v>9236.0554663405946</v>
      </c>
      <c r="F221" s="315">
        <f>'E) Part. coh. soc.'!G226</f>
        <v>144531.1846276203</v>
      </c>
      <c r="G221" s="312">
        <f>'H) Péréquation directe'!I231</f>
        <v>-3934.9806371312588</v>
      </c>
      <c r="H221" s="315">
        <f>+'I) Dépenses thématiques'!O220</f>
        <v>-32920.394873041339</v>
      </c>
      <c r="I221" s="312">
        <f>'K) Plafonnement aide'!J220</f>
        <v>0</v>
      </c>
      <c r="J221" s="315">
        <f>'J) Plafonnement effort'!J220</f>
        <v>0</v>
      </c>
      <c r="K221" s="315">
        <f>'L) Plafonnement taux'!Q221</f>
        <v>0</v>
      </c>
      <c r="L221" s="310">
        <f t="shared" si="12"/>
        <v>107675.8091174477</v>
      </c>
      <c r="M221" s="234">
        <f>'M) Police'!O221</f>
        <v>29293.172156821209</v>
      </c>
      <c r="N221" s="234">
        <f t="shared" si="9"/>
        <v>136968.98127426891</v>
      </c>
      <c r="P221" s="317"/>
    </row>
    <row r="222" spans="1:16" s="154" customFormat="1" x14ac:dyDescent="0.25">
      <c r="A222" s="151">
        <f>'B) D RI'!A223</f>
        <v>5755</v>
      </c>
      <c r="B222" s="152" t="str">
        <f>'B) D RI'!B223</f>
        <v>Lignerolle</v>
      </c>
      <c r="C222" s="313">
        <f>'B) D RI'!S223</f>
        <v>80</v>
      </c>
      <c r="D222" s="153">
        <f>'B) D RI'!AA223</f>
        <v>437</v>
      </c>
      <c r="E222" s="311">
        <f>'D) Ecrêtage'!C221</f>
        <v>9814.7983020645443</v>
      </c>
      <c r="F222" s="315">
        <f>'E) Part. coh. soc.'!G227</f>
        <v>207518.4088365052</v>
      </c>
      <c r="G222" s="312">
        <f>'H) Péréquation directe'!I232</f>
        <v>-122008.2348558534</v>
      </c>
      <c r="H222" s="315">
        <f>+'I) Dépenses thématiques'!O221</f>
        <v>-131108.25810322398</v>
      </c>
      <c r="I222" s="312">
        <f>'K) Plafonnement aide'!J221</f>
        <v>0</v>
      </c>
      <c r="J222" s="315">
        <f>'J) Plafonnement effort'!J221</f>
        <v>0</v>
      </c>
      <c r="K222" s="315">
        <f>'L) Plafonnement taux'!Q222</f>
        <v>0</v>
      </c>
      <c r="L222" s="310">
        <f t="shared" si="12"/>
        <v>-45598.084122572182</v>
      </c>
      <c r="M222" s="234">
        <f>'M) Police'!O222</f>
        <v>30639.700670341037</v>
      </c>
      <c r="N222" s="234">
        <f t="shared" si="9"/>
        <v>-14958.383452231144</v>
      </c>
      <c r="P222" s="317"/>
    </row>
    <row r="223" spans="1:16" s="154" customFormat="1" x14ac:dyDescent="0.25">
      <c r="A223" s="151">
        <f>'B) D RI'!A224</f>
        <v>5756</v>
      </c>
      <c r="B223" s="152" t="str">
        <f>'B) D RI'!B224</f>
        <v>Montcherand</v>
      </c>
      <c r="C223" s="313">
        <f>'B) D RI'!S224</f>
        <v>72</v>
      </c>
      <c r="D223" s="153">
        <f>'B) D RI'!AA224</f>
        <v>505</v>
      </c>
      <c r="E223" s="311">
        <f>'D) Ecrêtage'!C222</f>
        <v>16245.150277777775</v>
      </c>
      <c r="F223" s="315">
        <f>'E) Part. coh. soc.'!G228</f>
        <v>277481.08578347182</v>
      </c>
      <c r="G223" s="312">
        <f>'H) Péréquation directe'!I233</f>
        <v>112781.12230329282</v>
      </c>
      <c r="H223" s="315">
        <f>+'I) Dépenses thématiques'!O222</f>
        <v>-61373.96815889686</v>
      </c>
      <c r="I223" s="312">
        <f>'K) Plafonnement aide'!J222</f>
        <v>0</v>
      </c>
      <c r="J223" s="315">
        <f>'J) Plafonnement effort'!J222</f>
        <v>0</v>
      </c>
      <c r="K223" s="315">
        <f>'L) Plafonnement taux'!Q223</f>
        <v>0</v>
      </c>
      <c r="L223" s="310">
        <f t="shared" si="12"/>
        <v>328888.23992786783</v>
      </c>
      <c r="M223" s="234">
        <f>'M) Police'!O223</f>
        <v>20876.5958936186</v>
      </c>
      <c r="N223" s="234">
        <f t="shared" si="9"/>
        <v>349764.83582148643</v>
      </c>
      <c r="P223" s="317"/>
    </row>
    <row r="224" spans="1:16" s="154" customFormat="1" x14ac:dyDescent="0.25">
      <c r="A224" s="151">
        <f>'B) D RI'!A225</f>
        <v>5757</v>
      </c>
      <c r="B224" s="152" t="str">
        <f>'B) D RI'!B225</f>
        <v>Orbe</v>
      </c>
      <c r="C224" s="313">
        <f>'B) D RI'!S225</f>
        <v>77</v>
      </c>
      <c r="D224" s="153">
        <f>'B) D RI'!AA225</f>
        <v>7030</v>
      </c>
      <c r="E224" s="311">
        <f>'D) Ecrêtage'!C223</f>
        <v>201366.36924156587</v>
      </c>
      <c r="F224" s="315">
        <f>'E) Part. coh. soc.'!G229</f>
        <v>4309591.3238727907</v>
      </c>
      <c r="G224" s="312">
        <f>'H) Péréquation directe'!I234</f>
        <v>-1958104.5049316944</v>
      </c>
      <c r="H224" s="315">
        <f>+'I) Dépenses thématiques'!O223</f>
        <v>-1522129.4687350693</v>
      </c>
      <c r="I224" s="312">
        <f>'K) Plafonnement aide'!J223</f>
        <v>0</v>
      </c>
      <c r="J224" s="315">
        <f>'J) Plafonnement effort'!J223</f>
        <v>0</v>
      </c>
      <c r="K224" s="315">
        <f>'L) Plafonnement taux'!Q224</f>
        <v>0</v>
      </c>
      <c r="L224" s="310">
        <f t="shared" si="12"/>
        <v>829357.35020602704</v>
      </c>
      <c r="M224" s="234">
        <f>'M) Police'!O224</f>
        <v>258775.34189215378</v>
      </c>
      <c r="N224" s="234">
        <f t="shared" si="9"/>
        <v>1088132.6920981808</v>
      </c>
      <c r="P224" s="317"/>
    </row>
    <row r="225" spans="1:16" s="154" customFormat="1" x14ac:dyDescent="0.25">
      <c r="A225" s="151">
        <f>'B) D RI'!A226</f>
        <v>5758</v>
      </c>
      <c r="B225" s="152" t="str">
        <f>'B) D RI'!B226</f>
        <v>La Praz</v>
      </c>
      <c r="C225" s="313">
        <f>'B) D RI'!S226</f>
        <v>83</v>
      </c>
      <c r="D225" s="153">
        <f>'B) D RI'!AA226</f>
        <v>165</v>
      </c>
      <c r="E225" s="311">
        <f>'D) Ecrêtage'!C224</f>
        <v>4518.3622106026551</v>
      </c>
      <c r="F225" s="315">
        <f>'E) Part. coh. soc.'!G230</f>
        <v>99165.265969425396</v>
      </c>
      <c r="G225" s="312">
        <f>'H) Péréquation directe'!I235</f>
        <v>-15499.930772316584</v>
      </c>
      <c r="H225" s="315">
        <f>+'I) Dépenses thématiques'!O224</f>
        <v>-30659.506587779164</v>
      </c>
      <c r="I225" s="312">
        <f>'K) Plafonnement aide'!J224</f>
        <v>0</v>
      </c>
      <c r="J225" s="315">
        <f>'J) Plafonnement effort'!J224</f>
        <v>0</v>
      </c>
      <c r="K225" s="315">
        <f>'L) Plafonnement taux'!Q225</f>
        <v>0</v>
      </c>
      <c r="L225" s="310">
        <f t="shared" si="12"/>
        <v>53005.828609329648</v>
      </c>
      <c r="M225" s="234">
        <f>'M) Police'!O225</f>
        <v>14186.527777515497</v>
      </c>
      <c r="N225" s="234">
        <f t="shared" si="9"/>
        <v>67192.356386845146</v>
      </c>
      <c r="P225" s="317"/>
    </row>
    <row r="226" spans="1:16" s="154" customFormat="1" x14ac:dyDescent="0.25">
      <c r="A226" s="151">
        <f>'B) D RI'!A227</f>
        <v>5759</v>
      </c>
      <c r="B226" s="152" t="str">
        <f>'B) D RI'!B227</f>
        <v>Premier</v>
      </c>
      <c r="C226" s="313">
        <f>'B) D RI'!S227</f>
        <v>81</v>
      </c>
      <c r="D226" s="153">
        <f>'B) D RI'!AA227</f>
        <v>215</v>
      </c>
      <c r="E226" s="311">
        <f>'D) Ecrêtage'!C225</f>
        <v>5274.1329854177848</v>
      </c>
      <c r="F226" s="315">
        <f>'E) Part. coh. soc.'!G231</f>
        <v>93366.185486322822</v>
      </c>
      <c r="G226" s="312">
        <f>'H) Péréquation directe'!I236</f>
        <v>-42957.352233705911</v>
      </c>
      <c r="H226" s="315">
        <f>+'I) Dépenses thématiques'!O225</f>
        <v>-50031.320447141203</v>
      </c>
      <c r="I226" s="312">
        <f>'K) Plafonnement aide'!J225</f>
        <v>0</v>
      </c>
      <c r="J226" s="315">
        <f>'J) Plafonnement effort'!J225</f>
        <v>0</v>
      </c>
      <c r="K226" s="315">
        <f>'L) Plafonnement taux'!Q226</f>
        <v>0</v>
      </c>
      <c r="L226" s="310">
        <f t="shared" si="12"/>
        <v>377.51280547570786</v>
      </c>
      <c r="M226" s="234">
        <f>'M) Police'!O226</f>
        <v>16614.107000853597</v>
      </c>
      <c r="N226" s="234">
        <f t="shared" si="9"/>
        <v>16991.619806329305</v>
      </c>
      <c r="P226" s="317"/>
    </row>
    <row r="227" spans="1:16" s="154" customFormat="1" x14ac:dyDescent="0.25">
      <c r="A227" s="151">
        <f>'B) D RI'!A228</f>
        <v>5760</v>
      </c>
      <c r="B227" s="152" t="str">
        <f>'B) D RI'!B228</f>
        <v>Rances</v>
      </c>
      <c r="C227" s="313">
        <f>'B) D RI'!S228</f>
        <v>78</v>
      </c>
      <c r="D227" s="153">
        <f>'B) D RI'!AA228</f>
        <v>505</v>
      </c>
      <c r="E227" s="311">
        <f>'D) Ecrêtage'!C226</f>
        <v>12374.249316544765</v>
      </c>
      <c r="F227" s="315">
        <f>'E) Part. coh. soc.'!G232</f>
        <v>206044.23993389687</v>
      </c>
      <c r="G227" s="312">
        <f>'H) Péréquation directe'!I237</f>
        <v>-81084.105223041639</v>
      </c>
      <c r="H227" s="315">
        <f>+'I) Dépenses thématiques'!O226</f>
        <v>-114968.9953717918</v>
      </c>
      <c r="I227" s="312">
        <f>'K) Plafonnement aide'!J226</f>
        <v>0</v>
      </c>
      <c r="J227" s="315">
        <f>'J) Plafonnement effort'!J226</f>
        <v>0</v>
      </c>
      <c r="K227" s="315">
        <f>'L) Plafonnement taux'!Q227</f>
        <v>0</v>
      </c>
      <c r="L227" s="310">
        <f t="shared" si="12"/>
        <v>9991.139339063433</v>
      </c>
      <c r="M227" s="234">
        <f>'M) Police'!O227</f>
        <v>38849.60998117768</v>
      </c>
      <c r="N227" s="234">
        <f t="shared" si="9"/>
        <v>48840.749320241113</v>
      </c>
      <c r="P227" s="317"/>
    </row>
    <row r="228" spans="1:16" s="154" customFormat="1" x14ac:dyDescent="0.25">
      <c r="A228" s="151">
        <f>'B) D RI'!A229</f>
        <v>5761</v>
      </c>
      <c r="B228" s="152" t="str">
        <f>'B) D RI'!B229</f>
        <v>Romainmôtier-Envy</v>
      </c>
      <c r="C228" s="313">
        <f>'B) D RI'!S229</f>
        <v>81</v>
      </c>
      <c r="D228" s="153">
        <f>'B) D RI'!AA229</f>
        <v>535</v>
      </c>
      <c r="E228" s="311">
        <f>'D) Ecrêtage'!C227</f>
        <v>12292.452150942587</v>
      </c>
      <c r="F228" s="315">
        <f>'E) Part. coh. soc.'!G233</f>
        <v>260316.02319016244</v>
      </c>
      <c r="G228" s="312">
        <f>'H) Péréquation directe'!I238</f>
        <v>-144774.19324219303</v>
      </c>
      <c r="H228" s="315">
        <f>+'I) Dépenses thématiques'!O227</f>
        <v>-131062.97594342355</v>
      </c>
      <c r="I228" s="312">
        <f>'K) Plafonnement aide'!J227</f>
        <v>0</v>
      </c>
      <c r="J228" s="315">
        <f>'J) Plafonnement effort'!J227</f>
        <v>0</v>
      </c>
      <c r="K228" s="315">
        <f>'L) Plafonnement taux'!Q228</f>
        <v>0</v>
      </c>
      <c r="L228" s="310">
        <f t="shared" si="12"/>
        <v>-15521.145995454135</v>
      </c>
      <c r="M228" s="234">
        <f>'M) Police'!O228</f>
        <v>38150.254870233235</v>
      </c>
      <c r="N228" s="234">
        <f t="shared" si="9"/>
        <v>22629.1088747791</v>
      </c>
      <c r="P228" s="317"/>
    </row>
    <row r="229" spans="1:16" s="154" customFormat="1" x14ac:dyDescent="0.25">
      <c r="A229" s="151">
        <f>'B) D RI'!A230</f>
        <v>5762</v>
      </c>
      <c r="B229" s="152" t="str">
        <f>'B) D RI'!B230</f>
        <v>Sergey</v>
      </c>
      <c r="C229" s="313">
        <f>'B) D RI'!S230</f>
        <v>78</v>
      </c>
      <c r="D229" s="153">
        <f>'B) D RI'!AA230</f>
        <v>145</v>
      </c>
      <c r="E229" s="311">
        <f>'D) Ecrêtage'!C228</f>
        <v>3995.7603289795202</v>
      </c>
      <c r="F229" s="315">
        <f>'E) Part. coh. soc.'!G234</f>
        <v>64869.913129566332</v>
      </c>
      <c r="G229" s="312">
        <f>'H) Péréquation directe'!I239</f>
        <v>-3946.1804695861065</v>
      </c>
      <c r="H229" s="315">
        <f>+'I) Dépenses thématiques'!O228</f>
        <v>-1478.5029704565306</v>
      </c>
      <c r="I229" s="312">
        <f>'K) Plafonnement aide'!J228</f>
        <v>0</v>
      </c>
      <c r="J229" s="315">
        <f>'J) Plafonnement effort'!J228</f>
        <v>0</v>
      </c>
      <c r="K229" s="315">
        <f>'L) Plafonnement taux'!Q229</f>
        <v>0</v>
      </c>
      <c r="L229" s="310">
        <f t="shared" si="12"/>
        <v>59445.229689523694</v>
      </c>
      <c r="M229" s="234">
        <f>'M) Police'!O229</f>
        <v>12615.086404153655</v>
      </c>
      <c r="N229" s="234">
        <f t="shared" si="9"/>
        <v>72060.316093677349</v>
      </c>
      <c r="P229" s="317"/>
    </row>
    <row r="230" spans="1:16" s="154" customFormat="1" x14ac:dyDescent="0.25">
      <c r="A230" s="151">
        <f>'B) D RI'!A231</f>
        <v>5763</v>
      </c>
      <c r="B230" s="152" t="str">
        <f>'B) D RI'!B231</f>
        <v>Valeyres-sous-Rances</v>
      </c>
      <c r="C230" s="313">
        <f>'B) D RI'!S231</f>
        <v>68</v>
      </c>
      <c r="D230" s="153">
        <f>'B) D RI'!AA231</f>
        <v>620</v>
      </c>
      <c r="E230" s="311">
        <f>'D) Ecrêtage'!C229</f>
        <v>21943.401480636676</v>
      </c>
      <c r="F230" s="315">
        <f>'E) Part. coh. soc.'!G235</f>
        <v>365619.4091392628</v>
      </c>
      <c r="G230" s="312">
        <f>'H) Péréquation directe'!I240</f>
        <v>233194.00652841633</v>
      </c>
      <c r="H230" s="315">
        <f>+'I) Dépenses thématiques'!O229</f>
        <v>-96234.330053428974</v>
      </c>
      <c r="I230" s="312">
        <f>'K) Plafonnement aide'!J229</f>
        <v>0</v>
      </c>
      <c r="J230" s="315">
        <f>'J) Plafonnement effort'!J229</f>
        <v>0</v>
      </c>
      <c r="K230" s="315">
        <f>'L) Plafonnement taux'!Q230</f>
        <v>0</v>
      </c>
      <c r="L230" s="310">
        <f t="shared" si="12"/>
        <v>502579.08561425016</v>
      </c>
      <c r="M230" s="234">
        <f>'M) Police'!O230</f>
        <v>69282.841849660254</v>
      </c>
      <c r="N230" s="234">
        <f t="shared" si="9"/>
        <v>571861.92746391043</v>
      </c>
      <c r="P230" s="317"/>
    </row>
    <row r="231" spans="1:16" s="154" customFormat="1" x14ac:dyDescent="0.25">
      <c r="A231" s="151">
        <f>'B) D RI'!A232</f>
        <v>5764</v>
      </c>
      <c r="B231" s="152" t="str">
        <f>'B) D RI'!B232</f>
        <v>Vallorbe</v>
      </c>
      <c r="C231" s="313">
        <f>'B) D RI'!S232</f>
        <v>73</v>
      </c>
      <c r="D231" s="153">
        <f>'B) D RI'!AA232</f>
        <v>3857</v>
      </c>
      <c r="E231" s="311">
        <f>'D) Ecrêtage'!C230</f>
        <v>87589.078285934462</v>
      </c>
      <c r="F231" s="315">
        <f>'E) Part. coh. soc.'!G236</f>
        <v>2338211.5487717055</v>
      </c>
      <c r="G231" s="312">
        <f>'H) Péréquation directe'!I241</f>
        <v>-1428980.5247614963</v>
      </c>
      <c r="H231" s="315">
        <f>+'I) Dépenses thématiques'!O230</f>
        <v>-2165141.4396890551</v>
      </c>
      <c r="I231" s="312">
        <f>'K) Plafonnement aide'!J230</f>
        <v>0</v>
      </c>
      <c r="J231" s="315">
        <f>'J) Plafonnement effort'!J230</f>
        <v>0</v>
      </c>
      <c r="K231" s="315">
        <f>'L) Plafonnement taux'!Q231</f>
        <v>0</v>
      </c>
      <c r="L231" s="310">
        <f t="shared" si="12"/>
        <v>-1255910.415678846</v>
      </c>
      <c r="M231" s="234">
        <f>'M) Police'!O231</f>
        <v>274305.80036444374</v>
      </c>
      <c r="N231" s="234">
        <f t="shared" si="9"/>
        <v>-981604.61531440215</v>
      </c>
      <c r="P231" s="317"/>
    </row>
    <row r="232" spans="1:16" s="154" customFormat="1" x14ac:dyDescent="0.25">
      <c r="A232" s="151">
        <f>'B) D RI'!A233</f>
        <v>5765</v>
      </c>
      <c r="B232" s="152" t="str">
        <f>'B) D RI'!B233</f>
        <v>Vaulion</v>
      </c>
      <c r="C232" s="313">
        <f>'B) D RI'!S233</f>
        <v>81</v>
      </c>
      <c r="D232" s="153">
        <f>'B) D RI'!AA233</f>
        <v>496</v>
      </c>
      <c r="E232" s="311">
        <f>'D) Ecrêtage'!C231</f>
        <v>11954.157309155948</v>
      </c>
      <c r="F232" s="315">
        <f>'E) Part. coh. soc.'!G237</f>
        <v>233376.56573660375</v>
      </c>
      <c r="G232" s="312">
        <f>'H) Péréquation directe'!I242</f>
        <v>-108811.14647842254</v>
      </c>
      <c r="H232" s="315">
        <f>+'I) Dépenses thématiques'!O231</f>
        <v>-127864.95118712478</v>
      </c>
      <c r="I232" s="312">
        <f>'K) Plafonnement aide'!J231</f>
        <v>0</v>
      </c>
      <c r="J232" s="315">
        <f>'J) Plafonnement effort'!J231</f>
        <v>0</v>
      </c>
      <c r="K232" s="315">
        <f>'L) Plafonnement taux'!Q232</f>
        <v>0</v>
      </c>
      <c r="L232" s="310">
        <f t="shared" si="12"/>
        <v>-3299.531928943572</v>
      </c>
      <c r="M232" s="234">
        <f>'M) Police'!O232</f>
        <v>37701.382605593775</v>
      </c>
      <c r="N232" s="234">
        <f t="shared" si="9"/>
        <v>34401.850676650203</v>
      </c>
      <c r="P232" s="317"/>
    </row>
    <row r="233" spans="1:16" s="154" customFormat="1" x14ac:dyDescent="0.25">
      <c r="A233" s="151">
        <f>'B) D RI'!A234</f>
        <v>5766</v>
      </c>
      <c r="B233" s="152" t="str">
        <f>'B) D RI'!B234</f>
        <v>Vuiteboeuf</v>
      </c>
      <c r="C233" s="313">
        <f>'B) D RI'!S234</f>
        <v>77</v>
      </c>
      <c r="D233" s="153">
        <f>'B) D RI'!AA234</f>
        <v>576</v>
      </c>
      <c r="E233" s="311">
        <f>'D) Ecrêtage'!C232</f>
        <v>13945.258329251963</v>
      </c>
      <c r="F233" s="315">
        <f>'E) Part. coh. soc.'!G238</f>
        <v>261372.20552818841</v>
      </c>
      <c r="G233" s="312">
        <f>'H) Péréquation directe'!I243</f>
        <v>-92171.706096696667</v>
      </c>
      <c r="H233" s="315">
        <f>+'I) Dépenses thématiques'!O232</f>
        <v>-93402.451281498565</v>
      </c>
      <c r="I233" s="312">
        <f>'K) Plafonnement aide'!J232</f>
        <v>0</v>
      </c>
      <c r="J233" s="315">
        <f>'J) Plafonnement effort'!J232</f>
        <v>0</v>
      </c>
      <c r="K233" s="315">
        <f>'L) Plafonnement taux'!Q233</f>
        <v>0</v>
      </c>
      <c r="L233" s="310">
        <f t="shared" si="12"/>
        <v>75798.048149993178</v>
      </c>
      <c r="M233" s="234">
        <f>'M) Police'!O233</f>
        <v>43612.861790828705</v>
      </c>
      <c r="N233" s="234">
        <f t="shared" si="9"/>
        <v>119410.90994082188</v>
      </c>
      <c r="P233" s="317"/>
    </row>
    <row r="234" spans="1:16" s="154" customFormat="1" x14ac:dyDescent="0.25">
      <c r="A234" s="151">
        <f>'B) D RI'!A235</f>
        <v>5785</v>
      </c>
      <c r="B234" s="152" t="str">
        <f>'B) D RI'!B235</f>
        <v>Corcelles-le-Jorat</v>
      </c>
      <c r="C234" s="313">
        <f>'B) D RI'!S235</f>
        <v>77</v>
      </c>
      <c r="D234" s="153">
        <f>'B) D RI'!AA235</f>
        <v>458</v>
      </c>
      <c r="E234" s="311">
        <f>'D) Ecrêtage'!C233</f>
        <v>16950.059611084645</v>
      </c>
      <c r="F234" s="315">
        <f>'E) Part. coh. soc.'!G239</f>
        <v>305399.19442707003</v>
      </c>
      <c r="G234" s="312">
        <f>'H) Péréquation directe'!I244</f>
        <v>179103.33504620037</v>
      </c>
      <c r="H234" s="315">
        <f>+'I) Dépenses thématiques'!O233</f>
        <v>-73413.558042028963</v>
      </c>
      <c r="I234" s="312">
        <f>'K) Plafonnement aide'!J233</f>
        <v>0</v>
      </c>
      <c r="J234" s="315">
        <f>'J) Plafonnement effort'!J233</f>
        <v>0</v>
      </c>
      <c r="K234" s="315">
        <f>'L) Plafonnement taux'!Q234</f>
        <v>0</v>
      </c>
      <c r="L234" s="310">
        <f t="shared" si="12"/>
        <v>411088.97143124143</v>
      </c>
      <c r="M234" s="234">
        <f>'M) Police'!O234</f>
        <v>53846.881682774096</v>
      </c>
      <c r="N234" s="234">
        <f t="shared" si="9"/>
        <v>464935.85311401554</v>
      </c>
      <c r="P234" s="317"/>
    </row>
    <row r="235" spans="1:16" s="154" customFormat="1" x14ac:dyDescent="0.25">
      <c r="A235" s="151">
        <f>'B) D RI'!A236</f>
        <v>5788</v>
      </c>
      <c r="B235" s="152" t="str">
        <f>'B) D RI'!B236</f>
        <v>Essertes</v>
      </c>
      <c r="C235" s="313">
        <f>'B) D RI'!S236</f>
        <v>72</v>
      </c>
      <c r="D235" s="153">
        <f>'B) D RI'!AA236</f>
        <v>380</v>
      </c>
      <c r="E235" s="311">
        <f>'D) Ecrêtage'!C234</f>
        <v>12357.652912226366</v>
      </c>
      <c r="F235" s="315">
        <f>'E) Part. coh. soc.'!G240</f>
        <v>239143.65811792892</v>
      </c>
      <c r="G235" s="312">
        <f>'H) Péréquation directe'!I245</f>
        <v>90223.788563930633</v>
      </c>
      <c r="H235" s="315">
        <f>+'I) Dépenses thématiques'!O234</f>
        <v>-30923.80340002969</v>
      </c>
      <c r="I235" s="312">
        <f>'K) Plafonnement aide'!J234</f>
        <v>0</v>
      </c>
      <c r="J235" s="315">
        <f>'J) Plafonnement effort'!J234</f>
        <v>0</v>
      </c>
      <c r="K235" s="315">
        <f>'L) Plafonnement taux'!Q235</f>
        <v>0</v>
      </c>
      <c r="L235" s="310">
        <f t="shared" si="12"/>
        <v>298443.64328182989</v>
      </c>
      <c r="M235" s="234">
        <f>'M) Police'!O235</f>
        <v>38482.90114690199</v>
      </c>
      <c r="N235" s="234">
        <f t="shared" si="9"/>
        <v>336926.5444287319</v>
      </c>
      <c r="P235" s="317"/>
    </row>
    <row r="236" spans="1:16" s="154" customFormat="1" x14ac:dyDescent="0.25">
      <c r="A236" s="151">
        <f>'B) D RI'!A237</f>
        <v>5790</v>
      </c>
      <c r="B236" s="152" t="str">
        <f>'B) D RI'!B237</f>
        <v>Maracon</v>
      </c>
      <c r="C236" s="313">
        <f>'B) D RI'!S237</f>
        <v>76</v>
      </c>
      <c r="D236" s="153">
        <f>'B) D RI'!AA237</f>
        <v>538</v>
      </c>
      <c r="E236" s="311">
        <f>'D) Ecrêtage'!C235</f>
        <v>14432.201593410035</v>
      </c>
      <c r="F236" s="315">
        <f>'E) Part. coh. soc.'!G241</f>
        <v>343023.98661585135</v>
      </c>
      <c r="G236" s="312">
        <f>'H) Péréquation directe'!I246</f>
        <v>-19278.392557838582</v>
      </c>
      <c r="H236" s="315">
        <f>+'I) Dépenses thématiques'!O235</f>
        <v>-93788.928621098807</v>
      </c>
      <c r="I236" s="312">
        <f>'K) Plafonnement aide'!J235</f>
        <v>0</v>
      </c>
      <c r="J236" s="315">
        <f>'J) Plafonnement effort'!J235</f>
        <v>0</v>
      </c>
      <c r="K236" s="315">
        <f>'L) Plafonnement taux'!Q236</f>
        <v>0</v>
      </c>
      <c r="L236" s="310">
        <f t="shared" si="12"/>
        <v>229956.66543691396</v>
      </c>
      <c r="M236" s="234">
        <f>'M) Police'!O236</f>
        <v>45259.374730486612</v>
      </c>
      <c r="N236" s="234">
        <f t="shared" si="9"/>
        <v>275216.04016740056</v>
      </c>
      <c r="P236" s="317"/>
    </row>
    <row r="237" spans="1:16" s="154" customFormat="1" x14ac:dyDescent="0.25">
      <c r="A237" s="151">
        <f>'B) D RI'!A238</f>
        <v>5792</v>
      </c>
      <c r="B237" s="152" t="str">
        <f>'B) D RI'!B238</f>
        <v>Montpreveyres</v>
      </c>
      <c r="C237" s="313">
        <f>'B) D RI'!S238</f>
        <v>77</v>
      </c>
      <c r="D237" s="153">
        <f>'B) D RI'!AA238</f>
        <v>657</v>
      </c>
      <c r="E237" s="311">
        <f>'D) Ecrêtage'!C236</f>
        <v>20198.938593400278</v>
      </c>
      <c r="F237" s="315">
        <f>'E) Part. coh. soc.'!G242</f>
        <v>370270.66418552719</v>
      </c>
      <c r="G237" s="312">
        <f>'H) Péréquation directe'!I247</f>
        <v>79700.134923156118</v>
      </c>
      <c r="H237" s="315">
        <f>+'I) Dépenses thématiques'!O236</f>
        <v>-123114.38345528311</v>
      </c>
      <c r="I237" s="312">
        <f>'K) Plafonnement aide'!J236</f>
        <v>0</v>
      </c>
      <c r="J237" s="315">
        <f>'J) Plafonnement effort'!J236</f>
        <v>0</v>
      </c>
      <c r="K237" s="315">
        <f>'L) Plafonnement taux'!Q237</f>
        <v>0</v>
      </c>
      <c r="L237" s="310">
        <f t="shared" si="12"/>
        <v>326856.41565340018</v>
      </c>
      <c r="M237" s="234">
        <f>'M) Police'!O237</f>
        <v>63298.082864161202</v>
      </c>
      <c r="N237" s="234">
        <f t="shared" si="9"/>
        <v>390154.49851756135</v>
      </c>
      <c r="P237" s="317"/>
    </row>
    <row r="238" spans="1:16" s="154" customFormat="1" x14ac:dyDescent="0.25">
      <c r="A238" s="151">
        <f>'B) D RI'!A239</f>
        <v>5798</v>
      </c>
      <c r="B238" s="152" t="str">
        <f>'B) D RI'!B239</f>
        <v>Ropraz</v>
      </c>
      <c r="C238" s="313">
        <f>'B) D RI'!S239</f>
        <v>77.5</v>
      </c>
      <c r="D238" s="153">
        <f>'B) D RI'!AA239</f>
        <v>488</v>
      </c>
      <c r="E238" s="311">
        <f>'D) Ecrêtage'!C237</f>
        <v>14359.812261053485</v>
      </c>
      <c r="F238" s="315">
        <f>'E) Part. coh. soc.'!G243</f>
        <v>228512.31469662162</v>
      </c>
      <c r="G238" s="312">
        <f>'H) Péréquation directe'!I248</f>
        <v>29029.952966077864</v>
      </c>
      <c r="H238" s="315">
        <f>+'I) Dépenses thématiques'!O237</f>
        <v>-53658.785909051658</v>
      </c>
      <c r="I238" s="312">
        <f>'K) Plafonnement aide'!J237</f>
        <v>0</v>
      </c>
      <c r="J238" s="315">
        <f>'J) Plafonnement effort'!J237</f>
        <v>0</v>
      </c>
      <c r="K238" s="315">
        <f>'L) Plafonnement taux'!Q238</f>
        <v>0</v>
      </c>
      <c r="L238" s="310">
        <f t="shared" si="12"/>
        <v>203883.48175364782</v>
      </c>
      <c r="M238" s="234">
        <f>'M) Police'!O238</f>
        <v>45084.584405125599</v>
      </c>
      <c r="N238" s="234">
        <f t="shared" si="9"/>
        <v>248968.06615877344</v>
      </c>
      <c r="P238" s="317"/>
    </row>
    <row r="239" spans="1:16" s="154" customFormat="1" x14ac:dyDescent="0.25">
      <c r="A239" s="151">
        <f>'B) D RI'!A240</f>
        <v>5799</v>
      </c>
      <c r="B239" s="152" t="str">
        <f>'B) D RI'!B240</f>
        <v>Servion</v>
      </c>
      <c r="C239" s="313">
        <f>'B) D RI'!S240</f>
        <v>69</v>
      </c>
      <c r="D239" s="153">
        <f>'B) D RI'!AA240</f>
        <v>1997</v>
      </c>
      <c r="E239" s="311">
        <f>'D) Ecrêtage'!C238</f>
        <v>70991.881594202918</v>
      </c>
      <c r="F239" s="315">
        <f>'E) Part. coh. soc.'!G244</f>
        <v>1310869.7883841339</v>
      </c>
      <c r="G239" s="312">
        <f>'H) Péréquation directe'!I249</f>
        <v>526227.7308476374</v>
      </c>
      <c r="H239" s="315">
        <f>+'I) Dépenses thématiques'!O238</f>
        <v>-239673.82602330172</v>
      </c>
      <c r="I239" s="312">
        <f>'K) Plafonnement aide'!J238</f>
        <v>0</v>
      </c>
      <c r="J239" s="315">
        <f>'J) Plafonnement effort'!J238</f>
        <v>0</v>
      </c>
      <c r="K239" s="315">
        <f>'L) Plafonnement taux'!Q239</f>
        <v>0</v>
      </c>
      <c r="L239" s="310">
        <f t="shared" si="12"/>
        <v>1597423.6932084695</v>
      </c>
      <c r="M239" s="234">
        <f>'M) Police'!O239</f>
        <v>221001.12746983243</v>
      </c>
      <c r="N239" s="234">
        <f t="shared" si="9"/>
        <v>1818424.8206783021</v>
      </c>
      <c r="P239" s="317"/>
    </row>
    <row r="240" spans="1:16" s="154" customFormat="1" x14ac:dyDescent="0.25">
      <c r="A240" s="151">
        <f>'B) D RI'!A241</f>
        <v>5803</v>
      </c>
      <c r="B240" s="152" t="str">
        <f>'B) D RI'!B241</f>
        <v>Vulliens</v>
      </c>
      <c r="C240" s="313">
        <f>'B) D RI'!S241</f>
        <v>78</v>
      </c>
      <c r="D240" s="153">
        <f>'B) D RI'!AA241</f>
        <v>614</v>
      </c>
      <c r="E240" s="311">
        <f>'D) Ecrêtage'!C239</f>
        <v>17439.644358974365</v>
      </c>
      <c r="F240" s="315">
        <f>'E) Part. coh. soc.'!G245</f>
        <v>277622.37224927417</v>
      </c>
      <c r="G240" s="312">
        <f>'H) Péréquation directe'!I250</f>
        <v>5983.963454837387</v>
      </c>
      <c r="H240" s="315">
        <f>+'I) Dépenses thématiques'!O239</f>
        <v>-100906.09465380895</v>
      </c>
      <c r="I240" s="312">
        <f>'K) Plafonnement aide'!J239</f>
        <v>0</v>
      </c>
      <c r="J240" s="315">
        <f>'J) Plafonnement effort'!J239</f>
        <v>0</v>
      </c>
      <c r="K240" s="315">
        <f>'L) Plafonnement taux'!Q240</f>
        <v>0</v>
      </c>
      <c r="L240" s="310">
        <f t="shared" si="12"/>
        <v>182700.2410503026</v>
      </c>
      <c r="M240" s="234">
        <f>'M) Police'!O240</f>
        <v>54604.46782710353</v>
      </c>
      <c r="N240" s="234">
        <f t="shared" si="9"/>
        <v>237304.70887740614</v>
      </c>
      <c r="P240" s="317"/>
    </row>
    <row r="241" spans="1:16" s="154" customFormat="1" x14ac:dyDescent="0.25">
      <c r="A241" s="151">
        <f>'B) D RI'!A242</f>
        <v>5804</v>
      </c>
      <c r="B241" s="152" t="str">
        <f>'B) D RI'!B242</f>
        <v>Jorat-Menthue</v>
      </c>
      <c r="C241" s="313">
        <f>'B) D RI'!S242</f>
        <v>72</v>
      </c>
      <c r="D241" s="153">
        <f>'B) D RI'!AA242</f>
        <v>1591</v>
      </c>
      <c r="E241" s="311">
        <f>'D) Ecrêtage'!C240</f>
        <v>44226.697072071111</v>
      </c>
      <c r="F241" s="315">
        <f>'E) Part. coh. soc.'!G246</f>
        <v>768532.72724178445</v>
      </c>
      <c r="G241" s="312">
        <f>'H) Péréquation directe'!I251</f>
        <v>-57282.754961938364</v>
      </c>
      <c r="H241" s="315">
        <f>+'I) Dépenses thématiques'!O240</f>
        <v>-1153179.5946073695</v>
      </c>
      <c r="I241" s="312">
        <f>'K) Plafonnement aide'!J240</f>
        <v>0</v>
      </c>
      <c r="J241" s="315">
        <f>'J) Plafonnement effort'!J240</f>
        <v>0</v>
      </c>
      <c r="K241" s="315">
        <f>'L) Plafonnement taux'!Q241</f>
        <v>0</v>
      </c>
      <c r="L241" s="310">
        <f>F241+G241+H241+I241+J241+K241</f>
        <v>-441929.62232752342</v>
      </c>
      <c r="M241" s="234">
        <f>'M) Police'!O241</f>
        <v>137722.55366893558</v>
      </c>
      <c r="N241" s="234">
        <f t="shared" si="9"/>
        <v>-304207.06865858787</v>
      </c>
      <c r="P241" s="317"/>
    </row>
    <row r="242" spans="1:16" s="154" customFormat="1" x14ac:dyDescent="0.25">
      <c r="A242" s="151">
        <f>'B) D RI'!A243</f>
        <v>5805</v>
      </c>
      <c r="B242" s="152" t="str">
        <f>'B) D RI'!B243</f>
        <v>Oron</v>
      </c>
      <c r="C242" s="313">
        <f>'B) D RI'!S243</f>
        <v>69</v>
      </c>
      <c r="D242" s="153">
        <f>'B) D RI'!AA243</f>
        <v>5669</v>
      </c>
      <c r="E242" s="311">
        <f>'D) Ecrêtage'!C241</f>
        <v>157769.23671351318</v>
      </c>
      <c r="F242" s="315">
        <f>'E) Part. coh. soc.'!G247</f>
        <v>3101951.1224858621</v>
      </c>
      <c r="G242" s="312">
        <f>'H) Péréquation directe'!I252</f>
        <v>-1073979.0348975579</v>
      </c>
      <c r="H242" s="315">
        <f>+'I) Dépenses thématiques'!O241</f>
        <v>-774422.69390727812</v>
      </c>
      <c r="I242" s="312">
        <f>'K) Plafonnement aide'!J241</f>
        <v>0</v>
      </c>
      <c r="J242" s="315">
        <f>'J) Plafonnement effort'!J241</f>
        <v>0</v>
      </c>
      <c r="K242" s="315">
        <f>'L) Plafonnement taux'!Q242</f>
        <v>0</v>
      </c>
      <c r="L242" s="310">
        <f>F242+G242+H242+I242+J242+K242</f>
        <v>1253549.3936810261</v>
      </c>
      <c r="M242" s="234">
        <f>'M) Police'!O242</f>
        <v>490133.72157530522</v>
      </c>
      <c r="N242" s="234">
        <f t="shared" si="9"/>
        <v>1743683.1152563314</v>
      </c>
      <c r="P242" s="317"/>
    </row>
    <row r="243" spans="1:16" s="154" customFormat="1" x14ac:dyDescent="0.25">
      <c r="A243" s="151">
        <f>'B) D RI'!A244</f>
        <v>5806</v>
      </c>
      <c r="B243" s="152" t="str">
        <f>'B) D RI'!B244</f>
        <v>Jorat-Mézières</v>
      </c>
      <c r="C243" s="313">
        <f>'B) D RI'!S244</f>
        <v>76</v>
      </c>
      <c r="D243" s="153">
        <f>'B) D RI'!AA244</f>
        <v>2949</v>
      </c>
      <c r="E243" s="311">
        <f>'D) Ecrêtage'!C242</f>
        <v>91829.883122314393</v>
      </c>
      <c r="F243" s="315">
        <f>'E) Part. coh. soc.'!G248</f>
        <v>1588069.4717617128</v>
      </c>
      <c r="G243" s="312">
        <f>'H) Péréquation directe'!I253</f>
        <v>-6341.7962878940161</v>
      </c>
      <c r="H243" s="315">
        <f>+'I) Dépenses thématiques'!O242</f>
        <v>-335779.694063231</v>
      </c>
      <c r="I243" s="312">
        <f>'K) Plafonnement aide'!J242</f>
        <v>0</v>
      </c>
      <c r="J243" s="315">
        <f>'J) Plafonnement effort'!J242</f>
        <v>0</v>
      </c>
      <c r="K243" s="315">
        <f>'L) Plafonnement taux'!Q243</f>
        <v>0</v>
      </c>
      <c r="L243" s="310">
        <f>F243+G243+H243+I243+J243+K243</f>
        <v>1245947.9814105877</v>
      </c>
      <c r="M243" s="234">
        <f>'M) Police'!O243</f>
        <v>287934.29937478225</v>
      </c>
      <c r="N243" s="234">
        <f t="shared" ref="N243" si="13">L243+M243</f>
        <v>1533882.2807853699</v>
      </c>
      <c r="P243" s="317"/>
    </row>
    <row r="244" spans="1:16" s="154" customFormat="1" x14ac:dyDescent="0.25">
      <c r="A244" s="151">
        <f>'B) D RI'!A245</f>
        <v>5812</v>
      </c>
      <c r="B244" s="152" t="str">
        <f>'B) D RI'!B245</f>
        <v>Champtauroz</v>
      </c>
      <c r="C244" s="313">
        <f>'B) D RI'!S245</f>
        <v>77</v>
      </c>
      <c r="D244" s="153">
        <f>'B) D RI'!AA245</f>
        <v>130</v>
      </c>
      <c r="E244" s="311">
        <f>'D) Ecrêtage'!C243</f>
        <v>3710.6575152359092</v>
      </c>
      <c r="F244" s="315">
        <f>'E) Part. coh. soc.'!G249</f>
        <v>88109.32131307837</v>
      </c>
      <c r="G244" s="312">
        <f>'H) Péréquation directe'!I254</f>
        <v>3451.7032270077761</v>
      </c>
      <c r="H244" s="315">
        <f>+'I) Dépenses thématiques'!O243</f>
        <v>-12882.81754282885</v>
      </c>
      <c r="I244" s="312">
        <f>'K) Plafonnement aide'!J243</f>
        <v>0</v>
      </c>
      <c r="J244" s="315">
        <f>'J) Plafonnement effort'!J243</f>
        <v>0</v>
      </c>
      <c r="K244" s="315">
        <f>'L) Plafonnement taux'!Q244</f>
        <v>-6354.4728311884946</v>
      </c>
      <c r="L244" s="310">
        <f t="shared" si="12"/>
        <v>72323.734166068796</v>
      </c>
      <c r="M244" s="234">
        <f>'M) Police'!O244</f>
        <v>11690.61221289959</v>
      </c>
      <c r="N244" s="234">
        <f t="shared" si="9"/>
        <v>84014.346378968388</v>
      </c>
      <c r="P244" s="317"/>
    </row>
    <row r="245" spans="1:16" s="154" customFormat="1" x14ac:dyDescent="0.25">
      <c r="A245" s="151">
        <f>'B) D RI'!A246</f>
        <v>5813</v>
      </c>
      <c r="B245" s="152" t="str">
        <f>'B) D RI'!B246</f>
        <v>Chevroux</v>
      </c>
      <c r="C245" s="313">
        <f>'B) D RI'!S246</f>
        <v>70</v>
      </c>
      <c r="D245" s="153">
        <f>'B) D RI'!AA246</f>
        <v>492</v>
      </c>
      <c r="E245" s="311">
        <f>'D) Ecrêtage'!C244</f>
        <v>14709.945528749027</v>
      </c>
      <c r="F245" s="315">
        <f>'E) Part. coh. soc.'!G250</f>
        <v>245601.49012729418</v>
      </c>
      <c r="G245" s="312">
        <f>'H) Péréquation directe'!I255</f>
        <v>73950.334809108899</v>
      </c>
      <c r="H245" s="315">
        <f>+'I) Dépenses thématiques'!O244</f>
        <v>-49131.576496065965</v>
      </c>
      <c r="I245" s="312">
        <f>'K) Plafonnement aide'!J244</f>
        <v>0</v>
      </c>
      <c r="J245" s="315">
        <f>'J) Plafonnement effort'!J244</f>
        <v>0</v>
      </c>
      <c r="K245" s="315">
        <f>'L) Plafonnement taux'!Q245</f>
        <v>0</v>
      </c>
      <c r="L245" s="310">
        <f t="shared" si="12"/>
        <v>270420.24844033713</v>
      </c>
      <c r="M245" s="234">
        <f>'M) Police'!O245</f>
        <v>45656.0211726501</v>
      </c>
      <c r="N245" s="234">
        <f t="shared" si="9"/>
        <v>316076.26961298723</v>
      </c>
      <c r="P245" s="317"/>
    </row>
    <row r="246" spans="1:16" s="154" customFormat="1" x14ac:dyDescent="0.25">
      <c r="A246" s="151">
        <f>'B) D RI'!A247</f>
        <v>5816</v>
      </c>
      <c r="B246" s="152" t="str">
        <f>'B) D RI'!B247</f>
        <v>Corcelles-près-Payerne</v>
      </c>
      <c r="C246" s="313">
        <f>'B) D RI'!S247</f>
        <v>70</v>
      </c>
      <c r="D246" s="153">
        <f>'B) D RI'!AA247</f>
        <v>2571</v>
      </c>
      <c r="E246" s="311">
        <f>'D) Ecrêtage'!C245</f>
        <v>60414.642640490056</v>
      </c>
      <c r="F246" s="315">
        <f>'E) Part. coh. soc.'!G251</f>
        <v>1035001.5711514332</v>
      </c>
      <c r="G246" s="312">
        <f>'H) Péréquation directe'!I256</f>
        <v>-610441.65706923534</v>
      </c>
      <c r="H246" s="315">
        <f>+'I) Dépenses thématiques'!O245</f>
        <v>-457128.74552552949</v>
      </c>
      <c r="I246" s="312">
        <f>'K) Plafonnement aide'!J245</f>
        <v>0</v>
      </c>
      <c r="J246" s="315">
        <f>'J) Plafonnement effort'!J245</f>
        <v>0</v>
      </c>
      <c r="K246" s="315">
        <f>'L) Plafonnement taux'!Q246</f>
        <v>0</v>
      </c>
      <c r="L246" s="310">
        <f t="shared" si="12"/>
        <v>-32568.83144333167</v>
      </c>
      <c r="M246" s="234">
        <f>'M) Police'!O246</f>
        <v>187444.63896268979</v>
      </c>
      <c r="N246" s="234">
        <f t="shared" si="9"/>
        <v>154875.80751935812</v>
      </c>
      <c r="P246" s="317"/>
    </row>
    <row r="247" spans="1:16" s="154" customFormat="1" x14ac:dyDescent="0.25">
      <c r="A247" s="151">
        <f>'B) D RI'!A248</f>
        <v>5817</v>
      </c>
      <c r="B247" s="152" t="str">
        <f>'B) D RI'!B248</f>
        <v>Grandcour</v>
      </c>
      <c r="C247" s="313">
        <f>'B) D RI'!S248</f>
        <v>77</v>
      </c>
      <c r="D247" s="153">
        <f>'B) D RI'!AA248</f>
        <v>953</v>
      </c>
      <c r="E247" s="311">
        <f>'D) Ecrêtage'!C246</f>
        <v>21808.970149396955</v>
      </c>
      <c r="F247" s="315">
        <f>'E) Part. coh. soc.'!G252</f>
        <v>358362.645434101</v>
      </c>
      <c r="G247" s="312">
        <f>'H) Péréquation directe'!I257</f>
        <v>-206910.1985262814</v>
      </c>
      <c r="H247" s="315">
        <f>+'I) Dépenses thématiques'!O246</f>
        <v>-146226.72703682139</v>
      </c>
      <c r="I247" s="312">
        <f>'K) Plafonnement aide'!J246</f>
        <v>0</v>
      </c>
      <c r="J247" s="315">
        <f>'J) Plafonnement effort'!J246</f>
        <v>0</v>
      </c>
      <c r="K247" s="315">
        <f>'L) Plafonnement taux'!Q247</f>
        <v>0</v>
      </c>
      <c r="L247" s="310">
        <f t="shared" si="12"/>
        <v>5225.719870998204</v>
      </c>
      <c r="M247" s="234">
        <f>'M) Police'!O247</f>
        <v>68087.160430059026</v>
      </c>
      <c r="N247" s="234">
        <f t="shared" si="9"/>
        <v>73312.88030105723</v>
      </c>
      <c r="P247" s="317"/>
    </row>
    <row r="248" spans="1:16" s="154" customFormat="1" x14ac:dyDescent="0.25">
      <c r="A248" s="151">
        <f>'B) D RI'!A249</f>
        <v>5819</v>
      </c>
      <c r="B248" s="152" t="str">
        <f>'B) D RI'!B249</f>
        <v>Henniez</v>
      </c>
      <c r="C248" s="313">
        <f>'B) D RI'!S249</f>
        <v>69</v>
      </c>
      <c r="D248" s="153">
        <f>'B) D RI'!AA249</f>
        <v>376</v>
      </c>
      <c r="E248" s="311">
        <f>'D) Ecrêtage'!C247</f>
        <v>11876.79478923147</v>
      </c>
      <c r="F248" s="315">
        <f>'E) Part. coh. soc.'!G253</f>
        <v>214151.05518753466</v>
      </c>
      <c r="G248" s="312">
        <f>'H) Péréquation directe'!I258</f>
        <v>84253.18457308918</v>
      </c>
      <c r="H248" s="315">
        <f>+'I) Dépenses thématiques'!O247</f>
        <v>-76324.218888965843</v>
      </c>
      <c r="I248" s="312">
        <f>'K) Plafonnement aide'!J247</f>
        <v>0</v>
      </c>
      <c r="J248" s="315">
        <f>'J) Plafonnement effort'!J247</f>
        <v>0</v>
      </c>
      <c r="K248" s="315">
        <f>'L) Plafonnement taux'!Q248</f>
        <v>0</v>
      </c>
      <c r="L248" s="310">
        <f t="shared" si="12"/>
        <v>222080.02087165799</v>
      </c>
      <c r="M248" s="234">
        <f>'M) Police'!O248</f>
        <v>36556.343239684145</v>
      </c>
      <c r="N248" s="234">
        <f t="shared" si="9"/>
        <v>258636.36411134215</v>
      </c>
      <c r="P248" s="317"/>
    </row>
    <row r="249" spans="1:16" s="154" customFormat="1" x14ac:dyDescent="0.25">
      <c r="A249" s="151">
        <f>'B) D RI'!A250</f>
        <v>5821</v>
      </c>
      <c r="B249" s="152" t="str">
        <f>'B) D RI'!B250</f>
        <v>Missy</v>
      </c>
      <c r="C249" s="313">
        <f>'B) D RI'!S250</f>
        <v>72</v>
      </c>
      <c r="D249" s="153">
        <f>'B) D RI'!AA250</f>
        <v>362</v>
      </c>
      <c r="E249" s="311">
        <f>'D) Ecrêtage'!C248</f>
        <v>8348.6455555555567</v>
      </c>
      <c r="F249" s="315">
        <f>'E) Part. coh. soc.'!G254</f>
        <v>129824.35399238495</v>
      </c>
      <c r="G249" s="312">
        <f>'H) Péréquation directe'!I259</f>
        <v>-51395.802668547723</v>
      </c>
      <c r="H249" s="315">
        <f>+'I) Dépenses thématiques'!O248</f>
        <v>-17873.781672469133</v>
      </c>
      <c r="I249" s="312">
        <f>'K) Plafonnement aide'!J248</f>
        <v>0</v>
      </c>
      <c r="J249" s="315">
        <f>'J) Plafonnement effort'!J248</f>
        <v>0</v>
      </c>
      <c r="K249" s="315">
        <f>'L) Plafonnement taux'!Q249</f>
        <v>0</v>
      </c>
      <c r="L249" s="310">
        <f t="shared" si="12"/>
        <v>60554.769651368086</v>
      </c>
      <c r="M249" s="234">
        <f>'M) Police'!O249</f>
        <v>25929.085111209733</v>
      </c>
      <c r="N249" s="234">
        <f t="shared" si="9"/>
        <v>86483.854762577816</v>
      </c>
      <c r="P249" s="317"/>
    </row>
    <row r="250" spans="1:16" s="154" customFormat="1" x14ac:dyDescent="0.25">
      <c r="A250" s="151">
        <f>'B) D RI'!A251</f>
        <v>5822</v>
      </c>
      <c r="B250" s="152" t="str">
        <f>'B) D RI'!B251</f>
        <v>Payerne</v>
      </c>
      <c r="C250" s="313">
        <f>'B) D RI'!S251</f>
        <v>75</v>
      </c>
      <c r="D250" s="153">
        <f>'B) D RI'!AA251</f>
        <v>10072</v>
      </c>
      <c r="E250" s="311">
        <f>'D) Ecrêtage'!C249</f>
        <v>243639.04906619081</v>
      </c>
      <c r="F250" s="315">
        <f>'E) Part. coh. soc.'!G255</f>
        <v>4343125.7299065199</v>
      </c>
      <c r="G250" s="312">
        <f>'H) Péréquation directe'!I260</f>
        <v>-5253760.7138372334</v>
      </c>
      <c r="H250" s="315">
        <f>+'I) Dépenses thématiques'!O249</f>
        <v>-1650851.1889814371</v>
      </c>
      <c r="I250" s="312">
        <f>'K) Plafonnement aide'!J249</f>
        <v>0</v>
      </c>
      <c r="J250" s="315">
        <f>'J) Plafonnement effort'!J249</f>
        <v>0</v>
      </c>
      <c r="K250" s="315">
        <f>'L) Plafonnement taux'!Q250</f>
        <v>0</v>
      </c>
      <c r="L250" s="310">
        <f t="shared" si="12"/>
        <v>-2561486.1729121506</v>
      </c>
      <c r="M250" s="234">
        <f>'M) Police'!O250</f>
        <v>757329.16193860094</v>
      </c>
      <c r="N250" s="234">
        <f t="shared" si="9"/>
        <v>-1804157.0109735497</v>
      </c>
      <c r="P250" s="317"/>
    </row>
    <row r="251" spans="1:16" s="154" customFormat="1" x14ac:dyDescent="0.25">
      <c r="A251" s="151">
        <f>'B) D RI'!A252</f>
        <v>5827</v>
      </c>
      <c r="B251" s="152" t="str">
        <f>'B) D RI'!B252</f>
        <v>Trey</v>
      </c>
      <c r="C251" s="313">
        <f>'B) D RI'!S252</f>
        <v>80</v>
      </c>
      <c r="D251" s="153">
        <f>'B) D RI'!AA252</f>
        <v>285</v>
      </c>
      <c r="E251" s="311">
        <f>'D) Ecrêtage'!C250</f>
        <v>6759.3804152474768</v>
      </c>
      <c r="F251" s="315">
        <f>'E) Part. coh. soc.'!G256</f>
        <v>113787.58313018402</v>
      </c>
      <c r="G251" s="312">
        <f>'H) Péréquation directe'!I261</f>
        <v>-63470.850031709182</v>
      </c>
      <c r="H251" s="315">
        <f>+'I) Dépenses thématiques'!O250</f>
        <v>-51942.161589521696</v>
      </c>
      <c r="I251" s="312">
        <f>'K) Plafonnement aide'!J250</f>
        <v>0</v>
      </c>
      <c r="J251" s="315">
        <f>'J) Plafonnement effort'!J250</f>
        <v>0</v>
      </c>
      <c r="K251" s="315">
        <f>'L) Plafonnement taux'!Q251</f>
        <v>0</v>
      </c>
      <c r="L251" s="310">
        <f t="shared" si="12"/>
        <v>-1625.4284910468559</v>
      </c>
      <c r="M251" s="234">
        <f>'M) Police'!O251</f>
        <v>21244.998659113393</v>
      </c>
      <c r="N251" s="234">
        <f t="shared" si="9"/>
        <v>19619.570168066537</v>
      </c>
      <c r="P251" s="317"/>
    </row>
    <row r="252" spans="1:16" s="154" customFormat="1" x14ac:dyDescent="0.25">
      <c r="A252" s="151">
        <f>'B) D RI'!A253</f>
        <v>5828</v>
      </c>
      <c r="B252" s="152" t="str">
        <f>'B) D RI'!B253</f>
        <v>Treytorrens (Payerne)</v>
      </c>
      <c r="C252" s="313">
        <f>'B) D RI'!S253</f>
        <v>84</v>
      </c>
      <c r="D252" s="153">
        <f>'B) D RI'!AA253</f>
        <v>111</v>
      </c>
      <c r="E252" s="311">
        <f>'D) Ecrêtage'!C251</f>
        <v>2423.0145634920641</v>
      </c>
      <c r="F252" s="315">
        <f>'E) Part. coh. soc.'!G257</f>
        <v>53132.132993995794</v>
      </c>
      <c r="G252" s="312">
        <f>'H) Péréquation directe'!I262</f>
        <v>-41083.796341880014</v>
      </c>
      <c r="H252" s="315">
        <f>+'I) Dépenses thématiques'!O251</f>
        <v>-30919.549312713061</v>
      </c>
      <c r="I252" s="312">
        <f>'K) Plafonnement aide'!J251</f>
        <v>0</v>
      </c>
      <c r="J252" s="315">
        <f>'J) Plafonnement effort'!J251</f>
        <v>0</v>
      </c>
      <c r="K252" s="315">
        <f>'L) Plafonnement taux'!Q252</f>
        <v>0</v>
      </c>
      <c r="L252" s="310">
        <f t="shared" si="12"/>
        <v>-18871.212660597281</v>
      </c>
      <c r="M252" s="234">
        <f>'M) Police'!O252</f>
        <v>7585.4349982456906</v>
      </c>
      <c r="N252" s="234">
        <f t="shared" si="9"/>
        <v>-11285.777662351589</v>
      </c>
      <c r="P252" s="317"/>
    </row>
    <row r="253" spans="1:16" s="154" customFormat="1" x14ac:dyDescent="0.25">
      <c r="A253" s="151">
        <f>'B) D RI'!A254</f>
        <v>5830</v>
      </c>
      <c r="B253" s="152" t="str">
        <f>'B) D RI'!B254</f>
        <v>Villarzel</v>
      </c>
      <c r="C253" s="313">
        <f>'B) D RI'!S254</f>
        <v>77</v>
      </c>
      <c r="D253" s="153">
        <f>'B) D RI'!AA254</f>
        <v>451</v>
      </c>
      <c r="E253" s="311">
        <f>'D) Ecrêtage'!C252</f>
        <v>13663.209789449775</v>
      </c>
      <c r="F253" s="315">
        <f>'E) Part. coh. soc.'!G258</f>
        <v>250310.19473735071</v>
      </c>
      <c r="G253" s="312">
        <f>'H) Péréquation directe'!I263</f>
        <v>45994.405656816816</v>
      </c>
      <c r="H253" s="315">
        <f>+'I) Dépenses thématiques'!O252</f>
        <v>-85076.597257651287</v>
      </c>
      <c r="I253" s="312">
        <f>'K) Plafonnement aide'!J252</f>
        <v>0</v>
      </c>
      <c r="J253" s="315">
        <f>'J) Plafonnement effort'!J252</f>
        <v>0</v>
      </c>
      <c r="K253" s="315">
        <f>'L) Plafonnement taux'!Q253</f>
        <v>0</v>
      </c>
      <c r="L253" s="310">
        <f t="shared" si="12"/>
        <v>211228.00313651626</v>
      </c>
      <c r="M253" s="234">
        <f>'M) Police'!O253</f>
        <v>43344.377671295631</v>
      </c>
      <c r="N253" s="234">
        <f t="shared" si="9"/>
        <v>254572.38080781189</v>
      </c>
      <c r="P253" s="317"/>
    </row>
    <row r="254" spans="1:16" s="154" customFormat="1" x14ac:dyDescent="0.25">
      <c r="A254" s="151">
        <f>'B) D RI'!A255</f>
        <v>5831</v>
      </c>
      <c r="B254" s="152" t="str">
        <f>'B) D RI'!B255</f>
        <v>Valbroye</v>
      </c>
      <c r="C254" s="313">
        <f>'B) D RI'!S255</f>
        <v>73</v>
      </c>
      <c r="D254" s="153">
        <f>'B) D RI'!AA255</f>
        <v>3296</v>
      </c>
      <c r="E254" s="311">
        <f>'D) Ecrêtage'!C253</f>
        <v>90456.809812842344</v>
      </c>
      <c r="F254" s="315">
        <f>'E) Part. coh. soc.'!G259</f>
        <v>1682121.7091504212</v>
      </c>
      <c r="G254" s="312">
        <f>'H) Péréquation directe'!I264</f>
        <v>-487402.01478475216</v>
      </c>
      <c r="H254" s="315">
        <f>+'I) Dépenses thématiques'!O253</f>
        <v>-866516.56728786847</v>
      </c>
      <c r="I254" s="312">
        <f>'K) Plafonnement aide'!J253</f>
        <v>0</v>
      </c>
      <c r="J254" s="315">
        <f>'J) Plafonnement effort'!J253</f>
        <v>0</v>
      </c>
      <c r="K254" s="315">
        <f>'L) Plafonnement taux'!Q254</f>
        <v>0</v>
      </c>
      <c r="L254" s="310">
        <f>F254+G254+H254+I254+J254+K254</f>
        <v>328203.12707780057</v>
      </c>
      <c r="M254" s="234">
        <f>'M) Police'!O254</f>
        <v>275597.20435186435</v>
      </c>
      <c r="N254" s="234">
        <f t="shared" ref="N254:N313" si="14">L254+M254</f>
        <v>603800.33142966498</v>
      </c>
      <c r="P254" s="317"/>
    </row>
    <row r="255" spans="1:16" s="154" customFormat="1" x14ac:dyDescent="0.25">
      <c r="A255" s="151">
        <f>'B) D RI'!A256</f>
        <v>5841</v>
      </c>
      <c r="B255" s="152" t="str">
        <f>'B) D RI'!B256</f>
        <v>Château-d'Oex</v>
      </c>
      <c r="C255" s="313">
        <f>'B) D RI'!S256</f>
        <v>83</v>
      </c>
      <c r="D255" s="153">
        <f>'B) D RI'!AA256</f>
        <v>3468</v>
      </c>
      <c r="E255" s="311">
        <f>'D) Ecrêtage'!C254</f>
        <v>118378.66757105118</v>
      </c>
      <c r="F255" s="315">
        <f>'E) Part. coh. soc.'!G260</f>
        <v>2156967.8616806795</v>
      </c>
      <c r="G255" s="312">
        <f>'H) Péréquation directe'!I265</f>
        <v>142344.8961040182</v>
      </c>
      <c r="H255" s="315">
        <f>+'I) Dépenses thématiques'!O254</f>
        <v>-2053471.9511198048</v>
      </c>
      <c r="I255" s="312">
        <f>'K) Plafonnement aide'!J254</f>
        <v>0</v>
      </c>
      <c r="J255" s="315">
        <f>'J) Plafonnement effort'!J254</f>
        <v>0</v>
      </c>
      <c r="K255" s="315">
        <f>'L) Plafonnement taux'!Q255</f>
        <v>0</v>
      </c>
      <c r="L255" s="310">
        <f t="shared" si="12"/>
        <v>245840.80666489294</v>
      </c>
      <c r="M255" s="234">
        <f>'M) Police'!O255</f>
        <v>364360.67695391277</v>
      </c>
      <c r="N255" s="234">
        <f t="shared" si="14"/>
        <v>610201.48361880565</v>
      </c>
      <c r="P255" s="317"/>
    </row>
    <row r="256" spans="1:16" s="154" customFormat="1" x14ac:dyDescent="0.25">
      <c r="A256" s="151">
        <f>'B) D RI'!A257</f>
        <v>5842</v>
      </c>
      <c r="B256" s="152" t="str">
        <f>'B) D RI'!B257</f>
        <v>Rossinière</v>
      </c>
      <c r="C256" s="313">
        <f>'B) D RI'!S257</f>
        <v>81</v>
      </c>
      <c r="D256" s="153">
        <f>'B) D RI'!AA257</f>
        <v>548</v>
      </c>
      <c r="E256" s="311">
        <f>'D) Ecrêtage'!C255</f>
        <v>13768.598420203307</v>
      </c>
      <c r="F256" s="315">
        <f>'E) Part. coh. soc.'!G261</f>
        <v>235003.03820593684</v>
      </c>
      <c r="G256" s="312">
        <f>'H) Péréquation directe'!I266</f>
        <v>-94654.824169985019</v>
      </c>
      <c r="H256" s="315">
        <f>+'I) Dépenses thématiques'!O255</f>
        <v>-270325.06986568734</v>
      </c>
      <c r="I256" s="312">
        <f>'K) Plafonnement aide'!J255</f>
        <v>0</v>
      </c>
      <c r="J256" s="315">
        <f>'J) Plafonnement effort'!J255</f>
        <v>0</v>
      </c>
      <c r="K256" s="315">
        <f>'L) Plafonnement taux'!Q256</f>
        <v>0</v>
      </c>
      <c r="L256" s="310">
        <f t="shared" si="12"/>
        <v>-129976.85582973552</v>
      </c>
      <c r="M256" s="234">
        <f>'M) Police'!O256</f>
        <v>42882.855081993403</v>
      </c>
      <c r="N256" s="234">
        <f t="shared" si="14"/>
        <v>-87094.000747742117</v>
      </c>
      <c r="P256" s="317"/>
    </row>
    <row r="257" spans="1:16" s="154" customFormat="1" x14ac:dyDescent="0.25">
      <c r="A257" s="151">
        <f>'B) D RI'!A258</f>
        <v>5843</v>
      </c>
      <c r="B257" s="152" t="str">
        <f>'B) D RI'!B258</f>
        <v>Rougemont</v>
      </c>
      <c r="C257" s="313">
        <f>'B) D RI'!S258</f>
        <v>74</v>
      </c>
      <c r="D257" s="153">
        <f>'B) D RI'!AA258</f>
        <v>858</v>
      </c>
      <c r="E257" s="311">
        <f>'D) Ecrêtage'!C256</f>
        <v>85900.087382527112</v>
      </c>
      <c r="F257" s="315">
        <f>'E) Part. coh. soc.'!G262</f>
        <v>3445059.8118482009</v>
      </c>
      <c r="G257" s="312">
        <f>'H) Péréquation directe'!I267</f>
        <v>1580037.5755192316</v>
      </c>
      <c r="H257" s="315">
        <f>+'I) Dépenses thématiques'!O256</f>
        <v>-324739.64508517744</v>
      </c>
      <c r="I257" s="312">
        <f>'K) Plafonnement aide'!J256</f>
        <v>0</v>
      </c>
      <c r="J257" s="315">
        <f>'J) Plafonnement effort'!J256</f>
        <v>0</v>
      </c>
      <c r="K257" s="315">
        <f>'L) Plafonnement taux'!Q257</f>
        <v>0</v>
      </c>
      <c r="L257" s="310">
        <f t="shared" si="12"/>
        <v>4700357.7422822556</v>
      </c>
      <c r="M257" s="234">
        <f>'M) Police'!O257</f>
        <v>183436.94594599481</v>
      </c>
      <c r="N257" s="234">
        <f t="shared" si="14"/>
        <v>4883794.6882282505</v>
      </c>
      <c r="P257" s="317"/>
    </row>
    <row r="258" spans="1:16" s="154" customFormat="1" x14ac:dyDescent="0.25">
      <c r="A258" s="151">
        <f>'B) D RI'!A259</f>
        <v>5851</v>
      </c>
      <c r="B258" s="152" t="str">
        <f>'B) D RI'!B259</f>
        <v>Allaman</v>
      </c>
      <c r="C258" s="313">
        <f>'B) D RI'!S259</f>
        <v>62</v>
      </c>
      <c r="D258" s="153">
        <f>'B) D RI'!AA259</f>
        <v>451</v>
      </c>
      <c r="E258" s="311">
        <f>'D) Ecrêtage'!C257</f>
        <v>23250.654215447554</v>
      </c>
      <c r="F258" s="315">
        <f>'E) Part. coh. soc.'!G263</f>
        <v>584420.6802248084</v>
      </c>
      <c r="G258" s="312">
        <f>'H) Péréquation directe'!I268</f>
        <v>400187.09855818766</v>
      </c>
      <c r="H258" s="315">
        <f>+'I) Dépenses thématiques'!O257</f>
        <v>0</v>
      </c>
      <c r="I258" s="312">
        <f>'K) Plafonnement aide'!J257</f>
        <v>0</v>
      </c>
      <c r="J258" s="315">
        <f>'J) Plafonnement effort'!J257</f>
        <v>0</v>
      </c>
      <c r="K258" s="315">
        <f>'L) Plafonnement taux'!Q258</f>
        <v>0</v>
      </c>
      <c r="L258" s="310">
        <f t="shared" si="12"/>
        <v>984607.77878299612</v>
      </c>
      <c r="M258" s="234">
        <f>'M) Police'!O258</f>
        <v>68275.843984436346</v>
      </c>
      <c r="N258" s="234">
        <f t="shared" si="14"/>
        <v>1052883.6227674324</v>
      </c>
      <c r="P258" s="317"/>
    </row>
    <row r="259" spans="1:16" s="154" customFormat="1" x14ac:dyDescent="0.25">
      <c r="A259" s="151">
        <f>'B) D RI'!A260</f>
        <v>5852</v>
      </c>
      <c r="B259" s="152" t="str">
        <f>'B) D RI'!B260</f>
        <v>Bursinel</v>
      </c>
      <c r="C259" s="313">
        <f>'B) D RI'!S260</f>
        <v>65.5</v>
      </c>
      <c r="D259" s="153">
        <f>'B) D RI'!AA260</f>
        <v>473</v>
      </c>
      <c r="E259" s="311">
        <f>'D) Ecrêtage'!C258</f>
        <v>39678.838013791166</v>
      </c>
      <c r="F259" s="315">
        <f>'E) Part. coh. soc.'!G264</f>
        <v>1211268.5554570733</v>
      </c>
      <c r="G259" s="312">
        <f>'H) Péréquation directe'!I269</f>
        <v>720216.10601585824</v>
      </c>
      <c r="H259" s="315">
        <f>+'I) Dépenses thématiques'!O258</f>
        <v>0</v>
      </c>
      <c r="I259" s="312">
        <f>'K) Plafonnement aide'!J258</f>
        <v>0</v>
      </c>
      <c r="J259" s="315">
        <f>'J) Plafonnement effort'!J258</f>
        <v>0</v>
      </c>
      <c r="K259" s="315">
        <f>'L) Plafonnement taux'!Q259</f>
        <v>0</v>
      </c>
      <c r="L259" s="310">
        <f t="shared" si="12"/>
        <v>1931484.6614729315</v>
      </c>
      <c r="M259" s="234">
        <f>'M) Police'!O259</f>
        <v>91260.655491359445</v>
      </c>
      <c r="N259" s="234">
        <f t="shared" si="14"/>
        <v>2022745.316964291</v>
      </c>
      <c r="P259" s="317"/>
    </row>
    <row r="260" spans="1:16" s="154" customFormat="1" x14ac:dyDescent="0.25">
      <c r="A260" s="151">
        <f>'B) D RI'!A261</f>
        <v>5853</v>
      </c>
      <c r="B260" s="152" t="str">
        <f>'B) D RI'!B261</f>
        <v>Bursins</v>
      </c>
      <c r="C260" s="313">
        <f>'B) D RI'!S261</f>
        <v>71</v>
      </c>
      <c r="D260" s="153">
        <f>'B) D RI'!AA261</f>
        <v>782</v>
      </c>
      <c r="E260" s="311">
        <f>'D) Ecrêtage'!C259</f>
        <v>36264.072017403523</v>
      </c>
      <c r="F260" s="315">
        <f>'E) Part. coh. soc.'!G265</f>
        <v>741179.51991488878</v>
      </c>
      <c r="G260" s="312">
        <f>'H) Péréquation directe'!I270</f>
        <v>614301.02251696051</v>
      </c>
      <c r="H260" s="315">
        <f>+'I) Dépenses thématiques'!O259</f>
        <v>-25530.075838627286</v>
      </c>
      <c r="I260" s="312">
        <f>'K) Plafonnement aide'!J259</f>
        <v>0</v>
      </c>
      <c r="J260" s="315">
        <f>'J) Plafonnement effort'!J259</f>
        <v>0</v>
      </c>
      <c r="K260" s="315">
        <f>'L) Plafonnement taux'!Q260</f>
        <v>0</v>
      </c>
      <c r="L260" s="310">
        <f t="shared" si="12"/>
        <v>1329950.466593222</v>
      </c>
      <c r="M260" s="234">
        <f>'M) Police'!O260</f>
        <v>113111.63388386983</v>
      </c>
      <c r="N260" s="234">
        <f t="shared" si="14"/>
        <v>1443062.1004770917</v>
      </c>
      <c r="P260" s="317"/>
    </row>
    <row r="261" spans="1:16" s="154" customFormat="1" x14ac:dyDescent="0.25">
      <c r="A261" s="151">
        <f>'B) D RI'!A262</f>
        <v>5854</v>
      </c>
      <c r="B261" s="152" t="str">
        <f>'B) D RI'!B262</f>
        <v>Burtigny</v>
      </c>
      <c r="C261" s="313">
        <f>'B) D RI'!S262</f>
        <v>80</v>
      </c>
      <c r="D261" s="153">
        <f>'B) D RI'!AA262</f>
        <v>390</v>
      </c>
      <c r="E261" s="311">
        <f>'D) Ecrêtage'!C260</f>
        <v>11037.411333333333</v>
      </c>
      <c r="F261" s="315">
        <f>'E) Part. coh. soc.'!G266</f>
        <v>266967.91672117676</v>
      </c>
      <c r="G261" s="312">
        <f>'H) Péréquation directe'!I271</f>
        <v>-6553.4437403371267</v>
      </c>
      <c r="H261" s="315">
        <f>+'I) Dépenses thématiques'!O260</f>
        <v>-51320.529593094485</v>
      </c>
      <c r="I261" s="312">
        <f>'K) Plafonnement aide'!J260</f>
        <v>0</v>
      </c>
      <c r="J261" s="315">
        <f>'J) Plafonnement effort'!J260</f>
        <v>0</v>
      </c>
      <c r="K261" s="315">
        <f>'L) Plafonnement taux'!Q261</f>
        <v>0</v>
      </c>
      <c r="L261" s="310">
        <f t="shared" si="12"/>
        <v>209093.94338774515</v>
      </c>
      <c r="M261" s="234">
        <f>'M) Police'!O261</f>
        <v>34474.331555910881</v>
      </c>
      <c r="N261" s="234">
        <f t="shared" si="14"/>
        <v>243568.27494365603</v>
      </c>
      <c r="P261" s="317"/>
    </row>
    <row r="262" spans="1:16" s="154" customFormat="1" x14ac:dyDescent="0.25">
      <c r="A262" s="151">
        <f>'B) D RI'!A263</f>
        <v>5855</v>
      </c>
      <c r="B262" s="152" t="str">
        <f>'B) D RI'!B263</f>
        <v>Dully</v>
      </c>
      <c r="C262" s="313">
        <f>'B) D RI'!S263</f>
        <v>49</v>
      </c>
      <c r="D262" s="153">
        <f>'B) D RI'!AA263</f>
        <v>639</v>
      </c>
      <c r="E262" s="311">
        <f>'D) Ecrêtage'!C261</f>
        <v>79587.82351399264</v>
      </c>
      <c r="F262" s="315">
        <f>'E) Part. coh. soc.'!G267</f>
        <v>2494720.2095259842</v>
      </c>
      <c r="G262" s="312">
        <f>'H) Péréquation directe'!I272</f>
        <v>1483522.3495471298</v>
      </c>
      <c r="H262" s="315">
        <f>+'I) Dépenses thématiques'!O261</f>
        <v>0</v>
      </c>
      <c r="I262" s="312">
        <f>'K) Plafonnement aide'!J261</f>
        <v>0</v>
      </c>
      <c r="J262" s="315">
        <f>'J) Plafonnement effort'!J261</f>
        <v>0</v>
      </c>
      <c r="K262" s="315">
        <f>'L) Plafonnement taux'!Q262</f>
        <v>0</v>
      </c>
      <c r="L262" s="310">
        <f t="shared" si="12"/>
        <v>3978242.5590731138</v>
      </c>
      <c r="M262" s="234">
        <f>'M) Police'!O262</f>
        <v>156680.21253317044</v>
      </c>
      <c r="N262" s="234">
        <f t="shared" si="14"/>
        <v>4134922.7716062842</v>
      </c>
      <c r="P262" s="317"/>
    </row>
    <row r="263" spans="1:16" s="154" customFormat="1" x14ac:dyDescent="0.25">
      <c r="A263" s="151">
        <f>'B) D RI'!A264</f>
        <v>5856</v>
      </c>
      <c r="B263" s="152" t="str">
        <f>'B) D RI'!B264</f>
        <v>Essertines-sur-Rolle</v>
      </c>
      <c r="C263" s="313">
        <f>'B) D RI'!S264</f>
        <v>68</v>
      </c>
      <c r="D263" s="153">
        <f>'B) D RI'!AA264</f>
        <v>722</v>
      </c>
      <c r="E263" s="311">
        <f>'D) Ecrêtage'!C262</f>
        <v>36512.686266191689</v>
      </c>
      <c r="F263" s="315">
        <f>'E) Part. coh. soc.'!G268</f>
        <v>668774.3227134879</v>
      </c>
      <c r="G263" s="312">
        <f>'H) Péréquation directe'!I273</f>
        <v>626723.7014985499</v>
      </c>
      <c r="H263" s="315">
        <f>+'I) Dépenses thématiques'!O262</f>
        <v>0</v>
      </c>
      <c r="I263" s="312">
        <f>'K) Plafonnement aide'!J262</f>
        <v>0</v>
      </c>
      <c r="J263" s="315">
        <f>'J) Plafonnement effort'!J262</f>
        <v>0</v>
      </c>
      <c r="K263" s="315">
        <f>'L) Plafonnement taux'!Q263</f>
        <v>0</v>
      </c>
      <c r="L263" s="310">
        <f t="shared" si="12"/>
        <v>1295498.0242120377</v>
      </c>
      <c r="M263" s="234">
        <f>'M) Police'!O263</f>
        <v>108390.79484531717</v>
      </c>
      <c r="N263" s="234">
        <f t="shared" si="14"/>
        <v>1403888.8190573549</v>
      </c>
      <c r="P263" s="317"/>
    </row>
    <row r="264" spans="1:16" s="154" customFormat="1" x14ac:dyDescent="0.25">
      <c r="A264" s="151">
        <f>'B) D RI'!A265</f>
        <v>5857</v>
      </c>
      <c r="B264" s="152" t="str">
        <f>'B) D RI'!B265</f>
        <v>Gilly</v>
      </c>
      <c r="C264" s="313">
        <f>'B) D RI'!S265</f>
        <v>66</v>
      </c>
      <c r="D264" s="153">
        <f>'B) D RI'!AA265</f>
        <v>1370</v>
      </c>
      <c r="E264" s="311">
        <f>'D) Ecrêtage'!C263</f>
        <v>85445.15246923732</v>
      </c>
      <c r="F264" s="315">
        <f>'E) Part. coh. soc.'!G269</f>
        <v>1904765.0070852141</v>
      </c>
      <c r="G264" s="312">
        <f>'H) Péréquation directe'!I274</f>
        <v>1423107.9910492732</v>
      </c>
      <c r="H264" s="315">
        <f>+'I) Dépenses thématiques'!O263</f>
        <v>0</v>
      </c>
      <c r="I264" s="312">
        <f>'K) Plafonnement aide'!J263</f>
        <v>0</v>
      </c>
      <c r="J264" s="315">
        <f>'J) Plafonnement effort'!J263</f>
        <v>0</v>
      </c>
      <c r="K264" s="315">
        <f>'L) Plafonnement taux'!Q264</f>
        <v>0</v>
      </c>
      <c r="L264" s="310">
        <f t="shared" si="12"/>
        <v>3327872.9981344873</v>
      </c>
      <c r="M264" s="234">
        <f>'M) Police'!O264</f>
        <v>226442.12305234844</v>
      </c>
      <c r="N264" s="234">
        <f t="shared" si="14"/>
        <v>3554315.1211868357</v>
      </c>
      <c r="P264" s="317"/>
    </row>
    <row r="265" spans="1:16" s="154" customFormat="1" x14ac:dyDescent="0.25">
      <c r="A265" s="151">
        <f>'B) D RI'!A266</f>
        <v>5858</v>
      </c>
      <c r="B265" s="152" t="str">
        <f>'B) D RI'!B266</f>
        <v>Luins</v>
      </c>
      <c r="C265" s="313">
        <f>'B) D RI'!S266</f>
        <v>60</v>
      </c>
      <c r="D265" s="153">
        <f>'B) D RI'!AA266</f>
        <v>621</v>
      </c>
      <c r="E265" s="311">
        <f>'D) Ecrêtage'!C264</f>
        <v>46686.611465586961</v>
      </c>
      <c r="F265" s="315">
        <f>'E) Part. coh. soc.'!G270</f>
        <v>1055710.9922344123</v>
      </c>
      <c r="G265" s="312">
        <f>'H) Péréquation directe'!I275</f>
        <v>839316.85031258431</v>
      </c>
      <c r="H265" s="315">
        <f>+'I) Dépenses thématiques'!O264</f>
        <v>0</v>
      </c>
      <c r="I265" s="312">
        <f>'K) Plafonnement aide'!J264</f>
        <v>0</v>
      </c>
      <c r="J265" s="315">
        <f>'J) Plafonnement effort'!J264</f>
        <v>0</v>
      </c>
      <c r="K265" s="315">
        <f>'L) Plafonnement taux'!Q265</f>
        <v>0</v>
      </c>
      <c r="L265" s="310">
        <f t="shared" ref="L265:L314" si="15">F265+G265+H265+I265+J265+K265</f>
        <v>1895027.8425469967</v>
      </c>
      <c r="M265" s="234">
        <f>'M) Police'!O265</f>
        <v>112866.50521729147</v>
      </c>
      <c r="N265" s="234">
        <f t="shared" si="14"/>
        <v>2007894.3477642881</v>
      </c>
      <c r="P265" s="317"/>
    </row>
    <row r="266" spans="1:16" s="154" customFormat="1" x14ac:dyDescent="0.25">
      <c r="A266" s="151">
        <f>'B) D RI'!A267</f>
        <v>5859</v>
      </c>
      <c r="B266" s="152" t="str">
        <f>'B) D RI'!B267</f>
        <v>Mont-sur-Rolle</v>
      </c>
      <c r="C266" s="313">
        <f>'B) D RI'!S267</f>
        <v>65</v>
      </c>
      <c r="D266" s="153">
        <f>'B) D RI'!AA267</f>
        <v>2677</v>
      </c>
      <c r="E266" s="311">
        <f>'D) Ecrêtage'!C265</f>
        <v>136353.72580116385</v>
      </c>
      <c r="F266" s="315">
        <f>'E) Part. coh. soc.'!G271</f>
        <v>2940586.2008493673</v>
      </c>
      <c r="G266" s="312">
        <f>'H) Péréquation directe'!I276</f>
        <v>1963645.4140143935</v>
      </c>
      <c r="H266" s="315">
        <f>+'I) Dépenses thématiques'!O265</f>
        <v>0</v>
      </c>
      <c r="I266" s="312">
        <f>'K) Plafonnement aide'!J265</f>
        <v>0</v>
      </c>
      <c r="J266" s="315">
        <f>'J) Plafonnement effort'!J265</f>
        <v>0</v>
      </c>
      <c r="K266" s="315">
        <f>'L) Plafonnement taux'!Q266</f>
        <v>0</v>
      </c>
      <c r="L266" s="310">
        <f t="shared" si="15"/>
        <v>4904231.6148637608</v>
      </c>
      <c r="M266" s="234">
        <f>'M) Police'!O266</f>
        <v>403137.79736905126</v>
      </c>
      <c r="N266" s="234">
        <f t="shared" si="14"/>
        <v>5307369.4122328125</v>
      </c>
      <c r="P266" s="317"/>
    </row>
    <row r="267" spans="1:16" s="154" customFormat="1" x14ac:dyDescent="0.25">
      <c r="A267" s="151">
        <f>'B) D RI'!A268</f>
        <v>5860</v>
      </c>
      <c r="B267" s="152" t="str">
        <f>'B) D RI'!B268</f>
        <v>Perroy</v>
      </c>
      <c r="C267" s="313">
        <f>'B) D RI'!S268</f>
        <v>60</v>
      </c>
      <c r="D267" s="153">
        <f>'B) D RI'!AA268</f>
        <v>1497</v>
      </c>
      <c r="E267" s="311">
        <f>'D) Ecrêtage'!C266</f>
        <v>102639.35399012771</v>
      </c>
      <c r="F267" s="315">
        <f>'E) Part. coh. soc.'!G272</f>
        <v>2340978.422270217</v>
      </c>
      <c r="G267" s="312">
        <f>'H) Péréquation directe'!I277</f>
        <v>1716278.510353839</v>
      </c>
      <c r="H267" s="315">
        <f>+'I) Dépenses thématiques'!O266</f>
        <v>-1956596.6718242972</v>
      </c>
      <c r="I267" s="312">
        <f>'K) Plafonnement aide'!J266</f>
        <v>0</v>
      </c>
      <c r="J267" s="315">
        <f>'J) Plafonnement effort'!J266</f>
        <v>0</v>
      </c>
      <c r="K267" s="315">
        <f>'L) Plafonnement taux'!Q267</f>
        <v>0</v>
      </c>
      <c r="L267" s="310">
        <f t="shared" si="15"/>
        <v>2100660.2607997591</v>
      </c>
      <c r="M267" s="234">
        <f>'M) Police'!O267</f>
        <v>259350.65877945794</v>
      </c>
      <c r="N267" s="234">
        <f t="shared" si="14"/>
        <v>2360010.9195792172</v>
      </c>
      <c r="P267" s="317"/>
    </row>
    <row r="268" spans="1:16" s="154" customFormat="1" x14ac:dyDescent="0.25">
      <c r="A268" s="151">
        <f>'B) D RI'!A269</f>
        <v>5861</v>
      </c>
      <c r="B268" s="152" t="str">
        <f>'B) D RI'!B269</f>
        <v>Rolle</v>
      </c>
      <c r="C268" s="313">
        <f>'B) D RI'!S269</f>
        <v>59.5</v>
      </c>
      <c r="D268" s="153">
        <f>'B) D RI'!AA269</f>
        <v>6245</v>
      </c>
      <c r="E268" s="311">
        <f>'D) Ecrêtage'!C267</f>
        <v>542281.32528677804</v>
      </c>
      <c r="F268" s="315">
        <f>'E) Part. coh. soc.'!G273</f>
        <v>14676409.509460783</v>
      </c>
      <c r="G268" s="312">
        <f>'H) Péréquation directe'!I278</f>
        <v>8070198.17404259</v>
      </c>
      <c r="H268" s="315">
        <f>+'I) Dépenses thématiques'!O267</f>
        <v>0</v>
      </c>
      <c r="I268" s="312">
        <f>'K) Plafonnement aide'!J267</f>
        <v>0</v>
      </c>
      <c r="J268" s="315">
        <f>'J) Plafonnement effort'!J267</f>
        <v>0</v>
      </c>
      <c r="K268" s="315">
        <f>'L) Plafonnement taux'!Q268</f>
        <v>0</v>
      </c>
      <c r="L268" s="310">
        <f t="shared" si="15"/>
        <v>22746607.683503374</v>
      </c>
      <c r="M268" s="234">
        <f>'M) Police'!O268</f>
        <v>1228560.6947761048</v>
      </c>
      <c r="N268" s="234">
        <f t="shared" si="14"/>
        <v>23975168.378279477</v>
      </c>
      <c r="P268" s="317"/>
    </row>
    <row r="269" spans="1:16" s="154" customFormat="1" x14ac:dyDescent="0.25">
      <c r="A269" s="151">
        <f>'B) D RI'!A270</f>
        <v>5862</v>
      </c>
      <c r="B269" s="152" t="str">
        <f>'B) D RI'!B270</f>
        <v>Tartegnin</v>
      </c>
      <c r="C269" s="313">
        <f>'B) D RI'!S270</f>
        <v>81</v>
      </c>
      <c r="D269" s="153">
        <f>'B) D RI'!AA270</f>
        <v>233</v>
      </c>
      <c r="E269" s="311">
        <f>'D) Ecrêtage'!C268</f>
        <v>10952.855675530331</v>
      </c>
      <c r="F269" s="315">
        <f>'E) Part. coh. soc.'!G274</f>
        <v>174853.01543037046</v>
      </c>
      <c r="G269" s="312">
        <f>'H) Péréquation directe'!I279</f>
        <v>185938.1282762794</v>
      </c>
      <c r="H269" s="315">
        <f>+'I) Dépenses thématiques'!O268</f>
        <v>0</v>
      </c>
      <c r="I269" s="312">
        <f>'K) Plafonnement aide'!J268</f>
        <v>0</v>
      </c>
      <c r="J269" s="315">
        <f>'J) Plafonnement effort'!J268</f>
        <v>0</v>
      </c>
      <c r="K269" s="315">
        <f>'L) Plafonnement taux'!Q269</f>
        <v>0</v>
      </c>
      <c r="L269" s="310">
        <f t="shared" si="15"/>
        <v>360791.14370664989</v>
      </c>
      <c r="M269" s="234">
        <f>'M) Police'!O269</f>
        <v>33912.253535347372</v>
      </c>
      <c r="N269" s="234">
        <f t="shared" si="14"/>
        <v>394703.39724199724</v>
      </c>
      <c r="P269" s="317"/>
    </row>
    <row r="270" spans="1:16" s="154" customFormat="1" x14ac:dyDescent="0.25">
      <c r="A270" s="151">
        <f>'B) D RI'!A271</f>
        <v>5863</v>
      </c>
      <c r="B270" s="152" t="str">
        <f>'B) D RI'!B271</f>
        <v>Vinzel</v>
      </c>
      <c r="C270" s="313">
        <f>'B) D RI'!S271</f>
        <v>67</v>
      </c>
      <c r="D270" s="153">
        <f>'B) D RI'!AA271</f>
        <v>355</v>
      </c>
      <c r="E270" s="311">
        <f>'D) Ecrêtage'!C269</f>
        <v>17853.344314731814</v>
      </c>
      <c r="F270" s="315">
        <f>'E) Part. coh. soc.'!G275</f>
        <v>343226.23523043201</v>
      </c>
      <c r="G270" s="312">
        <f>'H) Péréquation directe'!I280</f>
        <v>306197.21104707377</v>
      </c>
      <c r="H270" s="315">
        <f>+'I) Dépenses thématiques'!O269</f>
        <v>0</v>
      </c>
      <c r="I270" s="312">
        <f>'K) Plafonnement aide'!J269</f>
        <v>0</v>
      </c>
      <c r="J270" s="315">
        <f>'J) Plafonnement effort'!J269</f>
        <v>0</v>
      </c>
      <c r="K270" s="315">
        <f>'L) Plafonnement taux'!Q270</f>
        <v>0</v>
      </c>
      <c r="L270" s="310">
        <f t="shared" si="15"/>
        <v>649423.44627750572</v>
      </c>
      <c r="M270" s="234">
        <f>'M) Police'!O270</f>
        <v>53166.68668333596</v>
      </c>
      <c r="N270" s="234">
        <f t="shared" si="14"/>
        <v>702590.13296084164</v>
      </c>
      <c r="P270" s="317"/>
    </row>
    <row r="271" spans="1:16" s="154" customFormat="1" x14ac:dyDescent="0.25">
      <c r="A271" s="151">
        <f>'B) D RI'!A272</f>
        <v>5871</v>
      </c>
      <c r="B271" s="152" t="str">
        <f>'B) D RI'!B272</f>
        <v>L'Abbaye</v>
      </c>
      <c r="C271" s="313">
        <f>'B) D RI'!S272</f>
        <v>77.599999999999994</v>
      </c>
      <c r="D271" s="153">
        <f>'B) D RI'!AA272</f>
        <v>1481</v>
      </c>
      <c r="E271" s="311">
        <f>'D) Ecrêtage'!C270</f>
        <v>46407.687824597124</v>
      </c>
      <c r="F271" s="315">
        <f>'E) Part. coh. soc.'!G276</f>
        <v>1041555.1115587964</v>
      </c>
      <c r="G271" s="312">
        <f>'H) Péréquation directe'!I281</f>
        <v>100633.78620178462</v>
      </c>
      <c r="H271" s="315">
        <f>+'I) Dépenses thématiques'!O270</f>
        <v>-383353.102130446</v>
      </c>
      <c r="I271" s="312">
        <f>'K) Plafonnement aide'!J270</f>
        <v>0</v>
      </c>
      <c r="J271" s="315">
        <f>'J) Plafonnement effort'!J270</f>
        <v>0</v>
      </c>
      <c r="K271" s="315">
        <f>'L) Plafonnement taux'!Q271</f>
        <v>0</v>
      </c>
      <c r="L271" s="310">
        <f t="shared" si="15"/>
        <v>758835.79563013499</v>
      </c>
      <c r="M271" s="234">
        <f>'M) Police'!O271</f>
        <v>145653.80688630856</v>
      </c>
      <c r="N271" s="234">
        <f t="shared" si="14"/>
        <v>904489.60251644359</v>
      </c>
      <c r="P271" s="317"/>
    </row>
    <row r="272" spans="1:16" s="154" customFormat="1" x14ac:dyDescent="0.25">
      <c r="A272" s="151">
        <f>'B) D RI'!A273</f>
        <v>5872</v>
      </c>
      <c r="B272" s="152" t="str">
        <f>'B) D RI'!B273</f>
        <v>Le Chenit</v>
      </c>
      <c r="C272" s="313">
        <f>'B) D RI'!S273</f>
        <v>68.39</v>
      </c>
      <c r="D272" s="153">
        <f>'B) D RI'!AA273</f>
        <v>4657</v>
      </c>
      <c r="E272" s="311">
        <f>'D) Ecrêtage'!C271</f>
        <v>253970.36617173007</v>
      </c>
      <c r="F272" s="315">
        <f>'E) Part. coh. soc.'!G277</f>
        <v>7105805.9462640854</v>
      </c>
      <c r="G272" s="312">
        <f>'H) Péréquation directe'!I282</f>
        <v>3328376.0883198599</v>
      </c>
      <c r="H272" s="315">
        <f>+'I) Dépenses thématiques'!O271</f>
        <v>-1234755.6210223401</v>
      </c>
      <c r="I272" s="312">
        <f>'K) Plafonnement aide'!J271</f>
        <v>0</v>
      </c>
      <c r="J272" s="315">
        <f>'J) Plafonnement effort'!J271</f>
        <v>0</v>
      </c>
      <c r="K272" s="315">
        <f>'L) Plafonnement taux'!Q272</f>
        <v>0</v>
      </c>
      <c r="L272" s="310">
        <f t="shared" si="15"/>
        <v>9199426.4135616049</v>
      </c>
      <c r="M272" s="234">
        <f>'M) Police'!O272</f>
        <v>722856.58221702627</v>
      </c>
      <c r="N272" s="234">
        <f t="shared" si="14"/>
        <v>9922282.9957786314</v>
      </c>
      <c r="P272" s="317"/>
    </row>
    <row r="273" spans="1:16" s="154" customFormat="1" x14ac:dyDescent="0.25">
      <c r="A273" s="151">
        <f>'B) D RI'!A274</f>
        <v>5873</v>
      </c>
      <c r="B273" s="152" t="str">
        <f>'B) D RI'!B274</f>
        <v>Le Lieu</v>
      </c>
      <c r="C273" s="313">
        <f>'B) D RI'!S274</f>
        <v>70</v>
      </c>
      <c r="D273" s="153">
        <f>'B) D RI'!AA274</f>
        <v>900</v>
      </c>
      <c r="E273" s="311">
        <f>'D) Ecrêtage'!C272</f>
        <v>28515.54687424951</v>
      </c>
      <c r="F273" s="315">
        <f>'E) Part. coh. soc.'!G278</f>
        <v>721493.82728844974</v>
      </c>
      <c r="G273" s="312">
        <f>'H) Péréquation directe'!I283</f>
        <v>197945.09222562675</v>
      </c>
      <c r="H273" s="315">
        <f>+'I) Dépenses thématiques'!O272</f>
        <v>-667092.14307061932</v>
      </c>
      <c r="I273" s="312">
        <f>'K) Plafonnement aide'!J272</f>
        <v>0</v>
      </c>
      <c r="J273" s="315">
        <f>'J) Plafonnement effort'!J272</f>
        <v>0</v>
      </c>
      <c r="K273" s="315">
        <f>'L) Plafonnement taux'!Q273</f>
        <v>0</v>
      </c>
      <c r="L273" s="310">
        <f t="shared" si="15"/>
        <v>252346.77644345723</v>
      </c>
      <c r="M273" s="234">
        <f>'M) Police'!O273</f>
        <v>89637.460060686935</v>
      </c>
      <c r="N273" s="234">
        <f t="shared" si="14"/>
        <v>341984.23650414415</v>
      </c>
      <c r="P273" s="317"/>
    </row>
    <row r="274" spans="1:16" s="154" customFormat="1" x14ac:dyDescent="0.25">
      <c r="A274" s="151">
        <f>'B) D RI'!A275</f>
        <v>5881</v>
      </c>
      <c r="B274" s="152" t="str">
        <f>'B) D RI'!B275</f>
        <v>Blonay</v>
      </c>
      <c r="C274" s="313">
        <f>'B) D RI'!S275</f>
        <v>70</v>
      </c>
      <c r="D274" s="153">
        <f>'B) D RI'!AA275</f>
        <v>6151</v>
      </c>
      <c r="E274" s="311">
        <f>'D) Ecrêtage'!C273</f>
        <v>355094.49330320884</v>
      </c>
      <c r="F274" s="315">
        <f>'E) Part. coh. soc.'!G279</f>
        <v>7904886.0976911858</v>
      </c>
      <c r="G274" s="312">
        <f>'H) Péréquation directe'!I284</f>
        <v>4448899.578665277</v>
      </c>
      <c r="H274" s="315">
        <f>+'I) Dépenses thématiques'!O273</f>
        <v>-569244.73264474398</v>
      </c>
      <c r="I274" s="312">
        <f>'K) Plafonnement aide'!J273</f>
        <v>0</v>
      </c>
      <c r="J274" s="315">
        <f>'J) Plafonnement effort'!J273</f>
        <v>0</v>
      </c>
      <c r="K274" s="315">
        <f>'L) Plafonnement taux'!Q274</f>
        <v>0</v>
      </c>
      <c r="L274" s="310">
        <f t="shared" si="15"/>
        <v>11784540.943711719</v>
      </c>
      <c r="M274" s="234">
        <f>'M) Police'!O274</f>
        <v>456330.91193259292</v>
      </c>
      <c r="N274" s="234">
        <f t="shared" si="14"/>
        <v>12240871.855644312</v>
      </c>
      <c r="P274" s="317"/>
    </row>
    <row r="275" spans="1:16" s="154" customFormat="1" x14ac:dyDescent="0.25">
      <c r="A275" s="151">
        <f>'B) D RI'!A276</f>
        <v>5882</v>
      </c>
      <c r="B275" s="152" t="str">
        <f>'B) D RI'!B276</f>
        <v>Chardonne</v>
      </c>
      <c r="C275" s="313">
        <f>'B) D RI'!S276</f>
        <v>68</v>
      </c>
      <c r="D275" s="153">
        <f>'B) D RI'!AA276</f>
        <v>3032</v>
      </c>
      <c r="E275" s="311">
        <f>'D) Ecrêtage'!C274</f>
        <v>184065.71182844636</v>
      </c>
      <c r="F275" s="315">
        <f>'E) Part. coh. soc.'!G280</f>
        <v>4711478.3172603659</v>
      </c>
      <c r="G275" s="312">
        <f>'H) Péréquation directe'!I285</f>
        <v>2771425.8884735205</v>
      </c>
      <c r="H275" s="315">
        <f>+'I) Dépenses thématiques'!O274</f>
        <v>-383858.46211438079</v>
      </c>
      <c r="I275" s="312">
        <f>'K) Plafonnement aide'!J274</f>
        <v>0</v>
      </c>
      <c r="J275" s="315">
        <f>'J) Plafonnement effort'!J274</f>
        <v>0</v>
      </c>
      <c r="K275" s="315">
        <f>'L) Plafonnement taux'!Q275</f>
        <v>0</v>
      </c>
      <c r="L275" s="310">
        <f t="shared" si="15"/>
        <v>7099045.7436195053</v>
      </c>
      <c r="M275" s="234">
        <f>'M) Police'!O275</f>
        <v>236542.31681502046</v>
      </c>
      <c r="N275" s="234">
        <f t="shared" si="14"/>
        <v>7335588.0604345258</v>
      </c>
      <c r="P275" s="317"/>
    </row>
    <row r="276" spans="1:16" s="154" customFormat="1" x14ac:dyDescent="0.25">
      <c r="A276" s="151">
        <f>'B) D RI'!A277</f>
        <v>5883</v>
      </c>
      <c r="B276" s="152" t="str">
        <f>'B) D RI'!B277</f>
        <v>Corseaux</v>
      </c>
      <c r="C276" s="313">
        <f>'B) D RI'!S277</f>
        <v>69</v>
      </c>
      <c r="D276" s="153">
        <f>'B) D RI'!AA277</f>
        <v>2287</v>
      </c>
      <c r="E276" s="311">
        <f>'D) Ecrêtage'!C275</f>
        <v>164452.64554996623</v>
      </c>
      <c r="F276" s="315">
        <f>'E) Part. coh. soc.'!G281</f>
        <v>3989778.6218227679</v>
      </c>
      <c r="G276" s="312">
        <f>'H) Péréquation directe'!I286</f>
        <v>2652939.937490514</v>
      </c>
      <c r="H276" s="315">
        <f>+'I) Dépenses thématiques'!O275</f>
        <v>0</v>
      </c>
      <c r="I276" s="312">
        <f>'K) Plafonnement aide'!J275</f>
        <v>0</v>
      </c>
      <c r="J276" s="315">
        <f>'J) Plafonnement effort'!J275</f>
        <v>0</v>
      </c>
      <c r="K276" s="315">
        <f>'L) Plafonnement taux'!Q276</f>
        <v>0</v>
      </c>
      <c r="L276" s="310">
        <f t="shared" si="15"/>
        <v>6642718.5593132824</v>
      </c>
      <c r="M276" s="234">
        <f>'M) Police'!O276</f>
        <v>211337.62175653939</v>
      </c>
      <c r="N276" s="234">
        <f t="shared" si="14"/>
        <v>6854056.1810698221</v>
      </c>
      <c r="P276" s="317"/>
    </row>
    <row r="277" spans="1:16" s="154" customFormat="1" x14ac:dyDescent="0.25">
      <c r="A277" s="151">
        <f>'B) D RI'!A278</f>
        <v>5884</v>
      </c>
      <c r="B277" s="152" t="str">
        <f>'B) D RI'!B278</f>
        <v>Corsier-sur-Vevey</v>
      </c>
      <c r="C277" s="313">
        <f>'B) D RI'!S278</f>
        <v>66</v>
      </c>
      <c r="D277" s="153">
        <f>'B) D RI'!AA278</f>
        <v>3363</v>
      </c>
      <c r="E277" s="311">
        <f>'D) Ecrêtage'!C276</f>
        <v>125116.33219250187</v>
      </c>
      <c r="F277" s="315">
        <f>'E) Part. coh. soc.'!G282</f>
        <v>2296171.8026586641</v>
      </c>
      <c r="G277" s="312">
        <f>'H) Péréquation directe'!I287</f>
        <v>938007.06391708739</v>
      </c>
      <c r="H277" s="315">
        <f>+'I) Dépenses thématiques'!O276</f>
        <v>-1387533.2090216421</v>
      </c>
      <c r="I277" s="312">
        <f>'K) Plafonnement aide'!J276</f>
        <v>0</v>
      </c>
      <c r="J277" s="315">
        <f>'J) Plafonnement effort'!J276</f>
        <v>0</v>
      </c>
      <c r="K277" s="315">
        <f>'L) Plafonnement taux'!Q277</f>
        <v>0</v>
      </c>
      <c r="L277" s="310">
        <f t="shared" si="15"/>
        <v>1846645.6575541093</v>
      </c>
      <c r="M277" s="234">
        <f>'M) Police'!O277</f>
        <v>160786.63860977895</v>
      </c>
      <c r="N277" s="234">
        <f t="shared" si="14"/>
        <v>2007432.2961638882</v>
      </c>
      <c r="P277" s="317"/>
    </row>
    <row r="278" spans="1:16" s="154" customFormat="1" x14ac:dyDescent="0.25">
      <c r="A278" s="151">
        <f>'B) D RI'!A279</f>
        <v>5885</v>
      </c>
      <c r="B278" s="152" t="str">
        <f>'B) D RI'!B279</f>
        <v>Jongny</v>
      </c>
      <c r="C278" s="313">
        <f>'B) D RI'!S279</f>
        <v>71</v>
      </c>
      <c r="D278" s="153">
        <f>'B) D RI'!AA279</f>
        <v>1544</v>
      </c>
      <c r="E278" s="311">
        <f>'D) Ecrêtage'!C277</f>
        <v>78645.92697183101</v>
      </c>
      <c r="F278" s="315">
        <f>'E) Part. coh. soc.'!G283</f>
        <v>1607615.4957783823</v>
      </c>
      <c r="G278" s="312">
        <f>'H) Péréquation directe'!I288</f>
        <v>1228305.5514588847</v>
      </c>
      <c r="H278" s="315">
        <f>+'I) Dépenses thématiques'!O277</f>
        <v>-115502.45306981054</v>
      </c>
      <c r="I278" s="312">
        <f>'K) Plafonnement aide'!J277</f>
        <v>0</v>
      </c>
      <c r="J278" s="315">
        <f>'J) Plafonnement effort'!J277</f>
        <v>0</v>
      </c>
      <c r="K278" s="315">
        <f>'L) Plafonnement taux'!Q278</f>
        <v>0</v>
      </c>
      <c r="L278" s="310">
        <f t="shared" si="15"/>
        <v>2720418.594167456</v>
      </c>
      <c r="M278" s="234">
        <f>'M) Police'!O278</f>
        <v>101067.65453046648</v>
      </c>
      <c r="N278" s="234">
        <f t="shared" si="14"/>
        <v>2821486.2486979226</v>
      </c>
      <c r="P278" s="317"/>
    </row>
    <row r="279" spans="1:16" s="154" customFormat="1" x14ac:dyDescent="0.25">
      <c r="A279" s="151">
        <f>'B) D RI'!A280</f>
        <v>5886</v>
      </c>
      <c r="B279" s="152" t="str">
        <f>'B) D RI'!B280</f>
        <v>Montreux</v>
      </c>
      <c r="C279" s="313">
        <f>'B) D RI'!S280</f>
        <v>65</v>
      </c>
      <c r="D279" s="153">
        <f>'B) D RI'!AA280</f>
        <v>26065</v>
      </c>
      <c r="E279" s="311">
        <f>'D) Ecrêtage'!C278</f>
        <v>1133766.4796882921</v>
      </c>
      <c r="F279" s="315">
        <f>'E) Part. coh. soc.'!G284</f>
        <v>25495100.122386526</v>
      </c>
      <c r="G279" s="312">
        <f>'H) Péréquation directe'!I289</f>
        <v>-312090.28921963274</v>
      </c>
      <c r="H279" s="315">
        <f>+'I) Dépenses thématiques'!O278</f>
        <v>-5196357.7264823336</v>
      </c>
      <c r="I279" s="312">
        <f>'K) Plafonnement aide'!J278</f>
        <v>0</v>
      </c>
      <c r="J279" s="315">
        <f>'J) Plafonnement effort'!J278</f>
        <v>0</v>
      </c>
      <c r="K279" s="315">
        <f>'L) Plafonnement taux'!Q279</f>
        <v>0</v>
      </c>
      <c r="L279" s="310">
        <f t="shared" si="15"/>
        <v>19986652.106684558</v>
      </c>
      <c r="M279" s="234">
        <f>'M) Police'!O279</f>
        <v>1457000.0418254547</v>
      </c>
      <c r="N279" s="234">
        <f t="shared" si="14"/>
        <v>21443652.148510013</v>
      </c>
      <c r="P279" s="317"/>
    </row>
    <row r="280" spans="1:16" s="154" customFormat="1" x14ac:dyDescent="0.25">
      <c r="A280" s="151">
        <f>'B) D RI'!A281</f>
        <v>5888</v>
      </c>
      <c r="B280" s="152" t="str">
        <f>'B) D RI'!B281</f>
        <v>Saint-Légier-La Chiésaz</v>
      </c>
      <c r="C280" s="313">
        <f>'B) D RI'!S281</f>
        <v>70</v>
      </c>
      <c r="D280" s="153">
        <f>'B) D RI'!AA281</f>
        <v>5243</v>
      </c>
      <c r="E280" s="311">
        <f>'D) Ecrêtage'!C279</f>
        <v>337320.4595902646</v>
      </c>
      <c r="F280" s="315">
        <f>'E) Part. coh. soc.'!G285</f>
        <v>7786392.344727044</v>
      </c>
      <c r="G280" s="312">
        <f>'H) Péréquation directe'!I290</f>
        <v>4647202.9480706444</v>
      </c>
      <c r="H280" s="315">
        <f>+'I) Dépenses thématiques'!O279</f>
        <v>-208122.60937298351</v>
      </c>
      <c r="I280" s="312">
        <f>'K) Plafonnement aide'!J279</f>
        <v>0</v>
      </c>
      <c r="J280" s="315">
        <f>'J) Plafonnement effort'!J279</f>
        <v>0</v>
      </c>
      <c r="K280" s="315">
        <f>'L) Plafonnement taux'!Q280</f>
        <v>0</v>
      </c>
      <c r="L280" s="310">
        <f t="shared" si="15"/>
        <v>12225472.683424706</v>
      </c>
      <c r="M280" s="234">
        <f>'M) Police'!O280</f>
        <v>433489.5523341978</v>
      </c>
      <c r="N280" s="234">
        <f t="shared" si="14"/>
        <v>12658962.235758904</v>
      </c>
      <c r="P280" s="317"/>
    </row>
    <row r="281" spans="1:16" s="154" customFormat="1" x14ac:dyDescent="0.25">
      <c r="A281" s="151">
        <f>'B) D RI'!A282</f>
        <v>5889</v>
      </c>
      <c r="B281" s="152" t="str">
        <f>'B) D RI'!B282</f>
        <v>La Tour-de-Peilz</v>
      </c>
      <c r="C281" s="313">
        <f>'B) D RI'!S282</f>
        <v>64</v>
      </c>
      <c r="D281" s="153">
        <f>'B) D RI'!AA282</f>
        <v>11906</v>
      </c>
      <c r="E281" s="311">
        <f>'D) Ecrêtage'!C280</f>
        <v>691108.44187203015</v>
      </c>
      <c r="F281" s="315">
        <f>'E) Part. coh. soc.'!G286</f>
        <v>14604198.910341332</v>
      </c>
      <c r="G281" s="312">
        <f>'H) Péréquation directe'!I291</f>
        <v>6850621.0920082126</v>
      </c>
      <c r="H281" s="315">
        <f>+'I) Dépenses thématiques'!O280</f>
        <v>0</v>
      </c>
      <c r="I281" s="312">
        <f>'K) Plafonnement aide'!J280</f>
        <v>0</v>
      </c>
      <c r="J281" s="315">
        <f>'J) Plafonnement effort'!J280</f>
        <v>0</v>
      </c>
      <c r="K281" s="315">
        <f>'L) Plafonnement taux'!Q281</f>
        <v>0</v>
      </c>
      <c r="L281" s="310">
        <f t="shared" si="15"/>
        <v>21454820.002349544</v>
      </c>
      <c r="M281" s="234">
        <f>'M) Police'!O281</f>
        <v>888141.47071124683</v>
      </c>
      <c r="N281" s="234">
        <f t="shared" si="14"/>
        <v>22342961.47306079</v>
      </c>
      <c r="P281" s="317"/>
    </row>
    <row r="282" spans="1:16" s="154" customFormat="1" x14ac:dyDescent="0.25">
      <c r="A282" s="151">
        <f>'B) D RI'!A283</f>
        <v>5890</v>
      </c>
      <c r="B282" s="152" t="str">
        <f>'B) D RI'!B283</f>
        <v>Vevey</v>
      </c>
      <c r="C282" s="313">
        <f>'B) D RI'!S283</f>
        <v>76</v>
      </c>
      <c r="D282" s="153">
        <f>'B) D RI'!AA283</f>
        <v>19871</v>
      </c>
      <c r="E282" s="311">
        <f>'D) Ecrêtage'!C281</f>
        <v>964973.50807811751</v>
      </c>
      <c r="F282" s="315">
        <f>'E) Part. coh. soc.'!G287</f>
        <v>17290824.745667629</v>
      </c>
      <c r="G282" s="312">
        <f>'H) Péréquation directe'!I292</f>
        <v>3996050.476707859</v>
      </c>
      <c r="H282" s="315">
        <f>+'I) Dépenses thématiques'!O281</f>
        <v>-2709721.9469851288</v>
      </c>
      <c r="I282" s="312">
        <f>'K) Plafonnement aide'!J281</f>
        <v>0</v>
      </c>
      <c r="J282" s="315">
        <f>'J) Plafonnement effort'!J281</f>
        <v>0</v>
      </c>
      <c r="K282" s="315">
        <f>'L) Plafonnement taux'!Q282</f>
        <v>0</v>
      </c>
      <c r="L282" s="310">
        <f t="shared" si="15"/>
        <v>18577153.275390361</v>
      </c>
      <c r="M282" s="234">
        <f>'M) Police'!O282</f>
        <v>1240084.67953367</v>
      </c>
      <c r="N282" s="234">
        <f t="shared" si="14"/>
        <v>19817237.954924032</v>
      </c>
      <c r="P282" s="317"/>
    </row>
    <row r="283" spans="1:16" s="154" customFormat="1" x14ac:dyDescent="0.25">
      <c r="A283" s="151">
        <f>'B) D RI'!A284</f>
        <v>5891</v>
      </c>
      <c r="B283" s="152" t="str">
        <f>'B) D RI'!B284</f>
        <v>Veytaux</v>
      </c>
      <c r="C283" s="313">
        <f>'B) D RI'!S284</f>
        <v>71</v>
      </c>
      <c r="D283" s="153">
        <f>'B) D RI'!AA284</f>
        <v>922</v>
      </c>
      <c r="E283" s="311">
        <f>'D) Ecrêtage'!C282</f>
        <v>37035.518505817468</v>
      </c>
      <c r="F283" s="315">
        <f>'E) Part. coh. soc.'!G288</f>
        <v>678513.60521478334</v>
      </c>
      <c r="G283" s="312">
        <f>'H) Péréquation directe'!I293</f>
        <v>504849.3225857116</v>
      </c>
      <c r="H283" s="315">
        <f>+'I) Dépenses thématiques'!O282</f>
        <v>-853577.98063379375</v>
      </c>
      <c r="I283" s="312">
        <f>'K) Plafonnement aide'!J282</f>
        <v>0</v>
      </c>
      <c r="J283" s="315">
        <f>'J) Plafonnement effort'!J282</f>
        <v>0</v>
      </c>
      <c r="K283" s="315">
        <f>'L) Plafonnement taux'!Q283</f>
        <v>0</v>
      </c>
      <c r="L283" s="310">
        <f t="shared" si="15"/>
        <v>329784.9471667012</v>
      </c>
      <c r="M283" s="234">
        <f>'M) Police'!O283</f>
        <v>47594.238301029109</v>
      </c>
      <c r="N283" s="234">
        <f t="shared" si="14"/>
        <v>377379.18546773028</v>
      </c>
      <c r="P283" s="317"/>
    </row>
    <row r="284" spans="1:16" s="154" customFormat="1" x14ac:dyDescent="0.25">
      <c r="A284" s="151">
        <f>'B) D RI'!A285</f>
        <v>5902</v>
      </c>
      <c r="B284" s="152" t="str">
        <f>'B) D RI'!B285</f>
        <v>Belmont-sur-Yverdon</v>
      </c>
      <c r="C284" s="313">
        <f>'B) D RI'!S285</f>
        <v>76</v>
      </c>
      <c r="D284" s="153">
        <f>'B) D RI'!AA285</f>
        <v>374</v>
      </c>
      <c r="E284" s="311">
        <f>'D) Ecrêtage'!C283</f>
        <v>10774.45016912473</v>
      </c>
      <c r="F284" s="315">
        <f>'E) Part. coh. soc.'!G289</f>
        <v>165204.09168107496</v>
      </c>
      <c r="G284" s="312">
        <f>'H) Péréquation directe'!I294</f>
        <v>18084.734564126877</v>
      </c>
      <c r="H284" s="315">
        <f>+'I) Dépenses thématiques'!O283</f>
        <v>-8987.7517765271277</v>
      </c>
      <c r="I284" s="312">
        <f>'K) Plafonnement aide'!J283</f>
        <v>0</v>
      </c>
      <c r="J284" s="315">
        <f>'J) Plafonnement effort'!J283</f>
        <v>0</v>
      </c>
      <c r="K284" s="315">
        <f>'L) Plafonnement taux'!Q284</f>
        <v>0</v>
      </c>
      <c r="L284" s="310">
        <f t="shared" si="15"/>
        <v>174301.07446867472</v>
      </c>
      <c r="M284" s="234">
        <f>'M) Police'!O284</f>
        <v>33920.55210053562</v>
      </c>
      <c r="N284" s="234">
        <f t="shared" si="14"/>
        <v>208221.62656921035</v>
      </c>
      <c r="P284" s="317"/>
    </row>
    <row r="285" spans="1:16" s="154" customFormat="1" x14ac:dyDescent="0.25">
      <c r="A285" s="151">
        <f>'B) D RI'!A286</f>
        <v>5903</v>
      </c>
      <c r="B285" s="152" t="str">
        <f>'B) D RI'!B286</f>
        <v>Bioley-Magnoux</v>
      </c>
      <c r="C285" s="313">
        <f>'B) D RI'!S286</f>
        <v>74</v>
      </c>
      <c r="D285" s="153">
        <f>'B) D RI'!AA286</f>
        <v>228</v>
      </c>
      <c r="E285" s="311">
        <f>'D) Ecrêtage'!C284</f>
        <v>6472.6316948302874</v>
      </c>
      <c r="F285" s="315">
        <f>'E) Part. coh. soc.'!G290</f>
        <v>106740.51471111011</v>
      </c>
      <c r="G285" s="312">
        <f>'H) Péréquation directe'!I295</f>
        <v>11716.289771826268</v>
      </c>
      <c r="H285" s="315">
        <f>+'I) Dépenses thématiques'!O284</f>
        <v>-202530.76963859799</v>
      </c>
      <c r="I285" s="312">
        <f>'K) Plafonnement aide'!J284</f>
        <v>0</v>
      </c>
      <c r="J285" s="315">
        <f>'J) Plafonnement effort'!J284</f>
        <v>0</v>
      </c>
      <c r="K285" s="315">
        <f>'L) Plafonnement taux'!Q285</f>
        <v>0</v>
      </c>
      <c r="L285" s="310">
        <f t="shared" si="15"/>
        <v>-84073.965155661615</v>
      </c>
      <c r="M285" s="234">
        <f>'M) Police'!O285</f>
        <v>20273.553878319202</v>
      </c>
      <c r="N285" s="234">
        <f t="shared" si="14"/>
        <v>-63800.411277342413</v>
      </c>
      <c r="P285" s="317"/>
    </row>
    <row r="286" spans="1:16" s="154" customFormat="1" x14ac:dyDescent="0.25">
      <c r="A286" s="151">
        <f>'B) D RI'!A287</f>
        <v>5904</v>
      </c>
      <c r="B286" s="152" t="str">
        <f>'B) D RI'!B287</f>
        <v>Chamblon</v>
      </c>
      <c r="C286" s="313">
        <f>'B) D RI'!S287</f>
        <v>66</v>
      </c>
      <c r="D286" s="153">
        <f>'B) D RI'!AA287</f>
        <v>540</v>
      </c>
      <c r="E286" s="311">
        <f>'D) Ecrêtage'!C285</f>
        <v>21968.958276290676</v>
      </c>
      <c r="F286" s="315">
        <f>'E) Part. coh. soc.'!G291</f>
        <v>363285.59017588414</v>
      </c>
      <c r="G286" s="312">
        <f>'H) Péréquation directe'!I296</f>
        <v>314438.22567146196</v>
      </c>
      <c r="H286" s="315">
        <f>+'I) Dépenses thématiques'!O285</f>
        <v>0</v>
      </c>
      <c r="I286" s="312">
        <f>'K) Plafonnement aide'!J285</f>
        <v>0</v>
      </c>
      <c r="J286" s="315">
        <f>'J) Plafonnement effort'!J285</f>
        <v>0</v>
      </c>
      <c r="K286" s="315">
        <f>'L) Plafonnement taux'!Q286</f>
        <v>0</v>
      </c>
      <c r="L286" s="310">
        <f t="shared" si="15"/>
        <v>677723.81584734609</v>
      </c>
      <c r="M286" s="234">
        <f>'M) Police'!O286</f>
        <v>28232.245088263146</v>
      </c>
      <c r="N286" s="234">
        <f t="shared" si="14"/>
        <v>705956.06093560928</v>
      </c>
      <c r="P286" s="317"/>
    </row>
    <row r="287" spans="1:16" s="154" customFormat="1" x14ac:dyDescent="0.25">
      <c r="A287" s="151">
        <f>'B) D RI'!A288</f>
        <v>5905</v>
      </c>
      <c r="B287" s="152" t="str">
        <f>'B) D RI'!B288</f>
        <v>Champvent</v>
      </c>
      <c r="C287" s="313">
        <f>'B) D RI'!S288</f>
        <v>71</v>
      </c>
      <c r="D287" s="153">
        <f>'B) D RI'!AA288</f>
        <v>689</v>
      </c>
      <c r="E287" s="311">
        <f>'D) Ecrêtage'!C286</f>
        <v>23321.773448973479</v>
      </c>
      <c r="F287" s="315">
        <f>'E) Part. coh. soc.'!G292</f>
        <v>534194.32081509032</v>
      </c>
      <c r="G287" s="312">
        <f>'H) Péréquation directe'!I297</f>
        <v>205040.11133457589</v>
      </c>
      <c r="H287" s="315">
        <f>+'I) Dépenses thématiques'!O286</f>
        <v>-29763.353541611898</v>
      </c>
      <c r="I287" s="312">
        <f>'K) Plafonnement aide'!J286</f>
        <v>0</v>
      </c>
      <c r="J287" s="315">
        <f>'J) Plafonnement effort'!J286</f>
        <v>0</v>
      </c>
      <c r="K287" s="315">
        <f>'L) Plafonnement taux'!Q287</f>
        <v>0</v>
      </c>
      <c r="L287" s="310">
        <f t="shared" si="15"/>
        <v>709471.07860805432</v>
      </c>
      <c r="M287" s="234">
        <f>'M) Police'!O287</f>
        <v>73745.465521207632</v>
      </c>
      <c r="N287" s="234">
        <f t="shared" si="14"/>
        <v>783216.54412926198</v>
      </c>
      <c r="P287" s="317"/>
    </row>
    <row r="288" spans="1:16" s="154" customFormat="1" x14ac:dyDescent="0.25">
      <c r="A288" s="151">
        <f>'B) D RI'!A289</f>
        <v>5907</v>
      </c>
      <c r="B288" s="152" t="str">
        <f>'B) D RI'!B289</f>
        <v>Chavannes-le-Chêne</v>
      </c>
      <c r="C288" s="313">
        <f>'B) D RI'!S289</f>
        <v>78</v>
      </c>
      <c r="D288" s="153">
        <f>'B) D RI'!AA289</f>
        <v>311</v>
      </c>
      <c r="E288" s="311">
        <f>'D) Ecrêtage'!C287</f>
        <v>9479.6278585348446</v>
      </c>
      <c r="F288" s="315">
        <f>'E) Part. coh. soc.'!G293</f>
        <v>150859.05262112906</v>
      </c>
      <c r="G288" s="312">
        <f>'H) Péréquation directe'!I298</f>
        <v>31250.40488956403</v>
      </c>
      <c r="H288" s="315">
        <f>+'I) Dépenses thématiques'!O287</f>
        <v>-78434.303611106661</v>
      </c>
      <c r="I288" s="312">
        <f>'K) Plafonnement aide'!J287</f>
        <v>0</v>
      </c>
      <c r="J288" s="315">
        <f>'J) Plafonnement effort'!J287</f>
        <v>0</v>
      </c>
      <c r="K288" s="315">
        <f>'L) Plafonnement taux'!Q288</f>
        <v>0</v>
      </c>
      <c r="L288" s="310">
        <f t="shared" si="15"/>
        <v>103675.15389958642</v>
      </c>
      <c r="M288" s="234">
        <f>'M) Police'!O288</f>
        <v>29867.621287325535</v>
      </c>
      <c r="N288" s="234">
        <f t="shared" si="14"/>
        <v>133542.77518691195</v>
      </c>
      <c r="P288" s="317"/>
    </row>
    <row r="289" spans="1:16" s="154" customFormat="1" x14ac:dyDescent="0.25">
      <c r="A289" s="151">
        <f>'B) D RI'!A290</f>
        <v>5908</v>
      </c>
      <c r="B289" s="152" t="str">
        <f>'B) D RI'!B290</f>
        <v>Chêne-Pâquier</v>
      </c>
      <c r="C289" s="313">
        <f>'B) D RI'!S290</f>
        <v>79</v>
      </c>
      <c r="D289" s="153">
        <f>'B) D RI'!AA290</f>
        <v>153</v>
      </c>
      <c r="E289" s="311">
        <f>'D) Ecrêtage'!C288</f>
        <v>3375.521749976027</v>
      </c>
      <c r="F289" s="315">
        <f>'E) Part. coh. soc.'!G294</f>
        <v>54092.726817834227</v>
      </c>
      <c r="G289" s="312">
        <f>'H) Péréquation directe'!I299</f>
        <v>-43147.685998472822</v>
      </c>
      <c r="H289" s="315">
        <f>+'I) Dépenses thématiques'!O288</f>
        <v>-23191.212001911408</v>
      </c>
      <c r="I289" s="312">
        <f>'K) Plafonnement aide'!J288</f>
        <v>0</v>
      </c>
      <c r="J289" s="315">
        <f>'J) Plafonnement effort'!J288</f>
        <v>0</v>
      </c>
      <c r="K289" s="315">
        <f>'L) Plafonnement taux'!Q289</f>
        <v>0</v>
      </c>
      <c r="L289" s="310">
        <f t="shared" si="15"/>
        <v>-12246.171182550002</v>
      </c>
      <c r="M289" s="234">
        <f>'M) Police'!O289</f>
        <v>10628.29400651843</v>
      </c>
      <c r="N289" s="234">
        <f t="shared" si="14"/>
        <v>-1617.8771760315722</v>
      </c>
      <c r="P289" s="317"/>
    </row>
    <row r="290" spans="1:16" s="154" customFormat="1" x14ac:dyDescent="0.25">
      <c r="A290" s="151">
        <f>'B) D RI'!A291</f>
        <v>5909</v>
      </c>
      <c r="B290" s="152" t="str">
        <f>'B) D RI'!B291</f>
        <v>Cheseaux-Noréaz</v>
      </c>
      <c r="C290" s="313">
        <f>'B) D RI'!S291</f>
        <v>70</v>
      </c>
      <c r="D290" s="153">
        <f>'B) D RI'!AA291</f>
        <v>725</v>
      </c>
      <c r="E290" s="311">
        <f>'D) Ecrêtage'!C289</f>
        <v>32341.35221867514</v>
      </c>
      <c r="F290" s="315">
        <f>'E) Part. coh. soc.'!G295</f>
        <v>607462.44435905979</v>
      </c>
      <c r="G290" s="312">
        <f>'H) Péréquation directe'!I300</f>
        <v>524863.10645409627</v>
      </c>
      <c r="H290" s="315">
        <f>+'I) Dépenses thématiques'!O289</f>
        <v>-105781.04319070515</v>
      </c>
      <c r="I290" s="312">
        <f>'K) Plafonnement aide'!J289</f>
        <v>0</v>
      </c>
      <c r="J290" s="315">
        <f>'J) Plafonnement effort'!J289</f>
        <v>0</v>
      </c>
      <c r="K290" s="315">
        <f>'L) Plafonnement taux'!Q290</f>
        <v>0</v>
      </c>
      <c r="L290" s="310">
        <f t="shared" si="15"/>
        <v>1026544.5076224511</v>
      </c>
      <c r="M290" s="234">
        <f>'M) Police'!O290</f>
        <v>41561.778707954545</v>
      </c>
      <c r="N290" s="234">
        <f t="shared" si="14"/>
        <v>1068106.2863304056</v>
      </c>
      <c r="P290" s="317"/>
    </row>
    <row r="291" spans="1:16" s="154" customFormat="1" x14ac:dyDescent="0.25">
      <c r="A291" s="151">
        <f>'B) D RI'!A292</f>
        <v>5910</v>
      </c>
      <c r="B291" s="152" t="str">
        <f>'B) D RI'!B292</f>
        <v>Cronay</v>
      </c>
      <c r="C291" s="313">
        <f>'B) D RI'!S292</f>
        <v>79</v>
      </c>
      <c r="D291" s="153">
        <f>'B) D RI'!AA292</f>
        <v>394</v>
      </c>
      <c r="E291" s="311">
        <f>'D) Ecrêtage'!C290</f>
        <v>10197.986044276999</v>
      </c>
      <c r="F291" s="315">
        <f>'E) Part. coh. soc.'!G296</f>
        <v>233193.17182915035</v>
      </c>
      <c r="G291" s="312">
        <f>'H) Péréquation directe'!I301</f>
        <v>-44434.912293862202</v>
      </c>
      <c r="H291" s="315">
        <f>+'I) Dépenses thématiques'!O290</f>
        <v>-941.1585229132869</v>
      </c>
      <c r="I291" s="312">
        <f>'K) Plafonnement aide'!J290</f>
        <v>0</v>
      </c>
      <c r="J291" s="315">
        <f>'J) Plafonnement effort'!J290</f>
        <v>0</v>
      </c>
      <c r="K291" s="315">
        <f>'L) Plafonnement taux'!Q291</f>
        <v>0</v>
      </c>
      <c r="L291" s="310">
        <f t="shared" si="15"/>
        <v>187817.10101237486</v>
      </c>
      <c r="M291" s="234">
        <f>'M) Police'!O291</f>
        <v>32143.156898544014</v>
      </c>
      <c r="N291" s="234">
        <f t="shared" si="14"/>
        <v>219960.25791091888</v>
      </c>
      <c r="P291" s="317"/>
    </row>
    <row r="292" spans="1:16" s="154" customFormat="1" x14ac:dyDescent="0.25">
      <c r="A292" s="151">
        <f>'B) D RI'!A293</f>
        <v>5911</v>
      </c>
      <c r="B292" s="152" t="str">
        <f>'B) D RI'!B293</f>
        <v>Cuarny</v>
      </c>
      <c r="C292" s="313">
        <f>'B) D RI'!S293</f>
        <v>79</v>
      </c>
      <c r="D292" s="153">
        <f>'B) D RI'!AA293</f>
        <v>239</v>
      </c>
      <c r="E292" s="311">
        <f>'D) Ecrêtage'!C291</f>
        <v>7835.2176584022027</v>
      </c>
      <c r="F292" s="315">
        <f>'E) Part. coh. soc.'!G297</f>
        <v>112485.41038574767</v>
      </c>
      <c r="G292" s="312">
        <f>'H) Péréquation directe'!I302</f>
        <v>46086.154340597728</v>
      </c>
      <c r="H292" s="315">
        <f>+'I) Dépenses thématiques'!O291</f>
        <v>-14042.901823983637</v>
      </c>
      <c r="I292" s="312">
        <f>'K) Plafonnement aide'!J291</f>
        <v>0</v>
      </c>
      <c r="J292" s="315">
        <f>'J) Plafonnement effort'!J291</f>
        <v>0</v>
      </c>
      <c r="K292" s="315">
        <f>'L) Plafonnement taux'!Q292</f>
        <v>0</v>
      </c>
      <c r="L292" s="310">
        <f t="shared" si="15"/>
        <v>144528.66290236177</v>
      </c>
      <c r="M292" s="234">
        <f>'M) Police'!O292</f>
        <v>24869.21934643991</v>
      </c>
      <c r="N292" s="234">
        <f t="shared" si="14"/>
        <v>169397.88224880167</v>
      </c>
      <c r="P292" s="317"/>
    </row>
    <row r="293" spans="1:16" s="154" customFormat="1" x14ac:dyDescent="0.25">
      <c r="A293" s="151">
        <f>'B) D RI'!A294</f>
        <v>5912</v>
      </c>
      <c r="B293" s="152" t="str">
        <f>'B) D RI'!B294</f>
        <v>Démoret</v>
      </c>
      <c r="C293" s="313">
        <f>'B) D RI'!S294</f>
        <v>81</v>
      </c>
      <c r="D293" s="153">
        <f>'B) D RI'!AA294</f>
        <v>156</v>
      </c>
      <c r="E293" s="311">
        <f>'D) Ecrêtage'!C292</f>
        <v>3963.3385142217253</v>
      </c>
      <c r="F293" s="315">
        <f>'E) Part. coh. soc.'!G298</f>
        <v>60769.666107222925</v>
      </c>
      <c r="G293" s="312">
        <f>'H) Péréquation directe'!I303</f>
        <v>-24949.804058605165</v>
      </c>
      <c r="H293" s="315">
        <f>+'I) Dépenses thématiques'!O292</f>
        <v>-16630.793079509454</v>
      </c>
      <c r="I293" s="312">
        <f>'K) Plafonnement aide'!J292</f>
        <v>0</v>
      </c>
      <c r="J293" s="315">
        <f>'J) Plafonnement effort'!J292</f>
        <v>0</v>
      </c>
      <c r="K293" s="315">
        <f>'L) Plafonnement taux'!Q293</f>
        <v>0</v>
      </c>
      <c r="L293" s="310">
        <f t="shared" si="15"/>
        <v>19189.068969108306</v>
      </c>
      <c r="M293" s="234">
        <f>'M) Police'!O293</f>
        <v>12515.174174949112</v>
      </c>
      <c r="N293" s="234">
        <f t="shared" si="14"/>
        <v>31704.243144057418</v>
      </c>
      <c r="P293" s="317"/>
    </row>
    <row r="294" spans="1:16" s="154" customFormat="1" x14ac:dyDescent="0.25">
      <c r="A294" s="151">
        <f>'B) D RI'!A295</f>
        <v>5913</v>
      </c>
      <c r="B294" s="152" t="str">
        <f>'B) D RI'!B295</f>
        <v>Donneloye</v>
      </c>
      <c r="C294" s="313">
        <f>'B) D RI'!S295</f>
        <v>73</v>
      </c>
      <c r="D294" s="153">
        <f>'B) D RI'!AA295</f>
        <v>823</v>
      </c>
      <c r="E294" s="311">
        <f>'D) Ecrêtage'!C293</f>
        <v>21560.051293940251</v>
      </c>
      <c r="F294" s="315">
        <f>'E) Part. coh. soc.'!G299</f>
        <v>413608.51539367886</v>
      </c>
      <c r="G294" s="312">
        <f>'H) Péréquation directe'!I304</f>
        <v>-22694.239548808022</v>
      </c>
      <c r="H294" s="315">
        <f>+'I) Dépenses thématiques'!O293</f>
        <v>-53815.070160788571</v>
      </c>
      <c r="I294" s="312">
        <f>'K) Plafonnement aide'!J293</f>
        <v>0</v>
      </c>
      <c r="J294" s="315">
        <f>'J) Plafonnement effort'!J293</f>
        <v>0</v>
      </c>
      <c r="K294" s="315">
        <f>'L) Plafonnement taux'!Q294</f>
        <v>0</v>
      </c>
      <c r="L294" s="310">
        <f t="shared" si="15"/>
        <v>337099.20568408223</v>
      </c>
      <c r="M294" s="234">
        <f>'M) Police'!O294</f>
        <v>67652.763859188402</v>
      </c>
      <c r="N294" s="234">
        <f t="shared" si="14"/>
        <v>404751.96954327065</v>
      </c>
      <c r="P294" s="317"/>
    </row>
    <row r="295" spans="1:16" s="154" customFormat="1" x14ac:dyDescent="0.25">
      <c r="A295" s="151">
        <f>'B) D RI'!A296</f>
        <v>5914</v>
      </c>
      <c r="B295" s="152" t="str">
        <f>'B) D RI'!B296</f>
        <v>Ependes</v>
      </c>
      <c r="C295" s="313">
        <f>'B) D RI'!S296</f>
        <v>75</v>
      </c>
      <c r="D295" s="153">
        <f>'B) D RI'!AA296</f>
        <v>357</v>
      </c>
      <c r="E295" s="311">
        <f>'D) Ecrêtage'!C294</f>
        <v>10120.059426352072</v>
      </c>
      <c r="F295" s="315">
        <f>'E) Part. coh. soc.'!G300</f>
        <v>166407.74699438032</v>
      </c>
      <c r="G295" s="312">
        <f>'H) Péréquation directe'!I305</f>
        <v>14030.229173516913</v>
      </c>
      <c r="H295" s="315">
        <f>+'I) Dépenses thématiques'!O294</f>
        <v>-45359.80293685681</v>
      </c>
      <c r="I295" s="312">
        <f>'K) Plafonnement aide'!J294</f>
        <v>0</v>
      </c>
      <c r="J295" s="315">
        <f>'J) Plafonnement effort'!J294</f>
        <v>0</v>
      </c>
      <c r="K295" s="315">
        <f>'L) Plafonnement taux'!Q295</f>
        <v>0</v>
      </c>
      <c r="L295" s="310">
        <f t="shared" si="15"/>
        <v>135078.17323104042</v>
      </c>
      <c r="M295" s="234">
        <f>'M) Police'!O295</f>
        <v>13005.259258965654</v>
      </c>
      <c r="N295" s="234">
        <f t="shared" si="14"/>
        <v>148083.43249000606</v>
      </c>
      <c r="P295" s="317"/>
    </row>
    <row r="296" spans="1:16" s="154" customFormat="1" x14ac:dyDescent="0.25">
      <c r="A296" s="151">
        <f>'B) D RI'!A297</f>
        <v>5919</v>
      </c>
      <c r="B296" s="152" t="str">
        <f>'B) D RI'!B297</f>
        <v>Mathod</v>
      </c>
      <c r="C296" s="313">
        <f>'B) D RI'!S297</f>
        <v>72</v>
      </c>
      <c r="D296" s="153">
        <f>'B) D RI'!AA297</f>
        <v>601</v>
      </c>
      <c r="E296" s="311">
        <f>'D) Ecrêtage'!C295</f>
        <v>17424.35283843397</v>
      </c>
      <c r="F296" s="315">
        <f>'E) Part. coh. soc.'!G301</f>
        <v>297826.7981493299</v>
      </c>
      <c r="G296" s="312">
        <f>'H) Péréquation directe'!I306</f>
        <v>57638.268099380191</v>
      </c>
      <c r="H296" s="315">
        <f>+'I) Dépenses thématiques'!O295</f>
        <v>-88186.531736179153</v>
      </c>
      <c r="I296" s="312">
        <f>'K) Plafonnement aide'!J295</f>
        <v>0</v>
      </c>
      <c r="J296" s="315">
        <f>'J) Plafonnement effort'!J295</f>
        <v>0</v>
      </c>
      <c r="K296" s="315">
        <f>'L) Plafonnement taux'!Q296</f>
        <v>0</v>
      </c>
      <c r="L296" s="310">
        <f t="shared" si="15"/>
        <v>267278.53451253095</v>
      </c>
      <c r="M296" s="234">
        <f>'M) Police'!O296</f>
        <v>22391.985712401318</v>
      </c>
      <c r="N296" s="234">
        <f t="shared" si="14"/>
        <v>289670.52022493229</v>
      </c>
      <c r="P296" s="317"/>
    </row>
    <row r="297" spans="1:16" s="154" customFormat="1" x14ac:dyDescent="0.25">
      <c r="A297" s="151">
        <f>'B) D RI'!A298</f>
        <v>5921</v>
      </c>
      <c r="B297" s="152" t="str">
        <f>'B) D RI'!B298</f>
        <v>Molondin</v>
      </c>
      <c r="C297" s="313">
        <f>'B) D RI'!S298</f>
        <v>81</v>
      </c>
      <c r="D297" s="153">
        <f>'B) D RI'!AA298</f>
        <v>240</v>
      </c>
      <c r="E297" s="311">
        <f>'D) Ecrêtage'!C296</f>
        <v>5647.9358760030909</v>
      </c>
      <c r="F297" s="315">
        <f>'E) Part. coh. soc.'!G302</f>
        <v>108204.66103044036</v>
      </c>
      <c r="G297" s="312">
        <f>'H) Péréquation directe'!I307</f>
        <v>-58861.062064206213</v>
      </c>
      <c r="H297" s="315">
        <f>+'I) Dépenses thématiques'!O296</f>
        <v>-35828.495642202739</v>
      </c>
      <c r="I297" s="312">
        <f>'K) Plafonnement aide'!J296</f>
        <v>0</v>
      </c>
      <c r="J297" s="315">
        <f>'J) Plafonnement effort'!J296</f>
        <v>0</v>
      </c>
      <c r="K297" s="315">
        <f>'L) Plafonnement taux'!Q297</f>
        <v>0</v>
      </c>
      <c r="L297" s="310">
        <f t="shared" si="15"/>
        <v>13515.103324031406</v>
      </c>
      <c r="M297" s="234">
        <f>'M) Police'!O297</f>
        <v>17764.75246815693</v>
      </c>
      <c r="N297" s="234">
        <f t="shared" si="14"/>
        <v>31279.855792188337</v>
      </c>
      <c r="P297" s="317"/>
    </row>
    <row r="298" spans="1:16" s="154" customFormat="1" x14ac:dyDescent="0.25">
      <c r="A298" s="151">
        <f>'B) D RI'!A299</f>
        <v>5922</v>
      </c>
      <c r="B298" s="152" t="str">
        <f>'B) D RI'!B299</f>
        <v>Montagny-près-Yverdon</v>
      </c>
      <c r="C298" s="313">
        <f>'B) D RI'!S299</f>
        <v>65</v>
      </c>
      <c r="D298" s="153">
        <f>'B) D RI'!AA299</f>
        <v>747</v>
      </c>
      <c r="E298" s="311">
        <f>'D) Ecrêtage'!C297</f>
        <v>35984.463355398897</v>
      </c>
      <c r="F298" s="315">
        <f>'E) Part. coh. soc.'!G303</f>
        <v>735779.01669125585</v>
      </c>
      <c r="G298" s="312">
        <f>'H) Péréquation directe'!I308</f>
        <v>613204.07628158026</v>
      </c>
      <c r="H298" s="315">
        <f>+'I) Dépenses thématiques'!O297</f>
        <v>-204310.07917128361</v>
      </c>
      <c r="I298" s="312">
        <f>'K) Plafonnement aide'!J297</f>
        <v>0</v>
      </c>
      <c r="J298" s="315">
        <f>'J) Plafonnement effort'!J297</f>
        <v>0</v>
      </c>
      <c r="K298" s="315">
        <f>'L) Plafonnement taux'!Q298</f>
        <v>0</v>
      </c>
      <c r="L298" s="310">
        <f t="shared" si="15"/>
        <v>1144673.0138015524</v>
      </c>
      <c r="M298" s="234">
        <f>'M) Police'!O298</f>
        <v>106214.34590748484</v>
      </c>
      <c r="N298" s="234">
        <f t="shared" si="14"/>
        <v>1250887.3597090372</v>
      </c>
      <c r="P298" s="317"/>
    </row>
    <row r="299" spans="1:16" s="154" customFormat="1" x14ac:dyDescent="0.25">
      <c r="A299" s="151">
        <f>'B) D RI'!A300</f>
        <v>5923</v>
      </c>
      <c r="B299" s="152" t="str">
        <f>'B) D RI'!B300</f>
        <v>Oppens</v>
      </c>
      <c r="C299" s="313">
        <f>'B) D RI'!S300</f>
        <v>81</v>
      </c>
      <c r="D299" s="153">
        <f>'B) D RI'!AA300</f>
        <v>202</v>
      </c>
      <c r="E299" s="311">
        <f>'D) Ecrêtage'!C298</f>
        <v>5389.7298551743424</v>
      </c>
      <c r="F299" s="315">
        <f>'E) Part. coh. soc.'!G304</f>
        <v>96921.591359828584</v>
      </c>
      <c r="G299" s="312">
        <f>'H) Péréquation directe'!I309</f>
        <v>-20566.946352334809</v>
      </c>
      <c r="H299" s="315">
        <f>+'I) Dépenses thématiques'!O298</f>
        <v>-29780.782972201108</v>
      </c>
      <c r="I299" s="312">
        <f>'K) Plafonnement aide'!J298</f>
        <v>0</v>
      </c>
      <c r="J299" s="315">
        <f>'J) Plafonnement effort'!J298</f>
        <v>0</v>
      </c>
      <c r="K299" s="315">
        <f>'L) Plafonnement taux'!Q299</f>
        <v>0</v>
      </c>
      <c r="L299" s="310">
        <f t="shared" si="15"/>
        <v>46573.862035292666</v>
      </c>
      <c r="M299" s="234">
        <f>'M) Police'!O299</f>
        <v>17068.008266169963</v>
      </c>
      <c r="N299" s="234">
        <f t="shared" si="14"/>
        <v>63641.87030146263</v>
      </c>
      <c r="P299" s="317"/>
    </row>
    <row r="300" spans="1:16" s="154" customFormat="1" x14ac:dyDescent="0.25">
      <c r="A300" s="151">
        <f>'B) D RI'!A301</f>
        <v>5924</v>
      </c>
      <c r="B300" s="152" t="str">
        <f>'B) D RI'!B301</f>
        <v>Orges</v>
      </c>
      <c r="C300" s="313">
        <f>'B) D RI'!S301</f>
        <v>74</v>
      </c>
      <c r="D300" s="153">
        <f>'B) D RI'!AA301</f>
        <v>332</v>
      </c>
      <c r="E300" s="311">
        <f>'D) Ecrêtage'!C299</f>
        <v>11865.812404035813</v>
      </c>
      <c r="F300" s="315">
        <f>'E) Part. coh. soc.'!G305</f>
        <v>229721.0578387595</v>
      </c>
      <c r="G300" s="312">
        <f>'H) Péréquation directe'!I310</f>
        <v>117789.81343482192</v>
      </c>
      <c r="H300" s="315">
        <f>+'I) Dépenses thématiques'!O299</f>
        <v>0</v>
      </c>
      <c r="I300" s="312">
        <f>'K) Plafonnement aide'!J299</f>
        <v>0</v>
      </c>
      <c r="J300" s="315">
        <f>'J) Plafonnement effort'!J299</f>
        <v>0</v>
      </c>
      <c r="K300" s="315">
        <f>'L) Plafonnement taux'!Q300</f>
        <v>0</v>
      </c>
      <c r="L300" s="310">
        <f t="shared" si="15"/>
        <v>347510.8712735814</v>
      </c>
      <c r="M300" s="234">
        <f>'M) Police'!O300</f>
        <v>37543.704305196559</v>
      </c>
      <c r="N300" s="234">
        <f t="shared" si="14"/>
        <v>385054.57557877793</v>
      </c>
      <c r="P300" s="317"/>
    </row>
    <row r="301" spans="1:16" s="154" customFormat="1" x14ac:dyDescent="0.25">
      <c r="A301" s="151">
        <f>'B) D RI'!A302</f>
        <v>5925</v>
      </c>
      <c r="B301" s="152" t="str">
        <f>'B) D RI'!B302</f>
        <v>Orzens</v>
      </c>
      <c r="C301" s="313">
        <f>'B) D RI'!S302</f>
        <v>79</v>
      </c>
      <c r="D301" s="153">
        <f>'B) D RI'!AA302</f>
        <v>208</v>
      </c>
      <c r="E301" s="311">
        <f>'D) Ecrêtage'!C300</f>
        <v>5342.7421425482316</v>
      </c>
      <c r="F301" s="315">
        <f>'E) Part. coh. soc.'!G306</f>
        <v>177278.55617274522</v>
      </c>
      <c r="G301" s="312">
        <f>'H) Péréquation directe'!I311</f>
        <v>-25272.428195181914</v>
      </c>
      <c r="H301" s="315">
        <f>+'I) Dépenses thématiques'!O300</f>
        <v>-41799.608599779131</v>
      </c>
      <c r="I301" s="312">
        <f>'K) Plafonnement aide'!J300</f>
        <v>0</v>
      </c>
      <c r="J301" s="315">
        <f>'J) Plafonnement effort'!J300</f>
        <v>0</v>
      </c>
      <c r="K301" s="315">
        <f>'L) Plafonnement taux'!Q301</f>
        <v>0</v>
      </c>
      <c r="L301" s="310">
        <f t="shared" si="15"/>
        <v>110206.51937778416</v>
      </c>
      <c r="M301" s="234">
        <f>'M) Police'!O301</f>
        <v>16744.816717775208</v>
      </c>
      <c r="N301" s="234">
        <f t="shared" si="14"/>
        <v>126951.33609555937</v>
      </c>
      <c r="P301" s="317"/>
    </row>
    <row r="302" spans="1:16" s="154" customFormat="1" x14ac:dyDescent="0.25">
      <c r="A302" s="151">
        <f>'B) D RI'!A303</f>
        <v>5926</v>
      </c>
      <c r="B302" s="152" t="str">
        <f>'B) D RI'!B303</f>
        <v>Pomy</v>
      </c>
      <c r="C302" s="313">
        <f>'B) D RI'!S303</f>
        <v>71</v>
      </c>
      <c r="D302" s="153">
        <f>'B) D RI'!AA303</f>
        <v>793</v>
      </c>
      <c r="E302" s="311">
        <f>'D) Ecrêtage'!C301</f>
        <v>27482.214843455455</v>
      </c>
      <c r="F302" s="315">
        <f>'E) Part. coh. soc.'!G307</f>
        <v>468617.83027336549</v>
      </c>
      <c r="G302" s="312">
        <f>'H) Péréquation directe'!I312</f>
        <v>261309.8630498987</v>
      </c>
      <c r="H302" s="315">
        <f>+'I) Dépenses thématiques'!O301</f>
        <v>-33753.938180758953</v>
      </c>
      <c r="I302" s="312">
        <f>'K) Plafonnement aide'!J301</f>
        <v>0</v>
      </c>
      <c r="J302" s="315">
        <f>'J) Plafonnement effort'!J301</f>
        <v>0</v>
      </c>
      <c r="K302" s="315">
        <f>'L) Plafonnement taux'!Q302</f>
        <v>0</v>
      </c>
      <c r="L302" s="310">
        <f t="shared" si="15"/>
        <v>696173.75514250516</v>
      </c>
      <c r="M302" s="234">
        <f>'M) Police'!O302</f>
        <v>35317.315244122772</v>
      </c>
      <c r="N302" s="234">
        <f t="shared" si="14"/>
        <v>731491.07038662792</v>
      </c>
      <c r="P302" s="317"/>
    </row>
    <row r="303" spans="1:16" s="154" customFormat="1" x14ac:dyDescent="0.25">
      <c r="A303" s="151">
        <f>'B) D RI'!A304</f>
        <v>5928</v>
      </c>
      <c r="B303" s="152" t="str">
        <f>'B) D RI'!B304</f>
        <v>Rovray</v>
      </c>
      <c r="C303" s="313">
        <f>'B) D RI'!S304</f>
        <v>73</v>
      </c>
      <c r="D303" s="153">
        <f>'B) D RI'!AA304</f>
        <v>185</v>
      </c>
      <c r="E303" s="311">
        <f>'D) Ecrêtage'!C302</f>
        <v>6003.0944827326612</v>
      </c>
      <c r="F303" s="315">
        <f>'E) Part. coh. soc.'!G308</f>
        <v>120744.48972670648</v>
      </c>
      <c r="G303" s="312">
        <f>'H) Péréquation directe'!I313</f>
        <v>41962.670051705616</v>
      </c>
      <c r="H303" s="315">
        <f>+'I) Dépenses thématiques'!O302</f>
        <v>-2323.1635395420308</v>
      </c>
      <c r="I303" s="312">
        <f>'K) Plafonnement aide'!J302</f>
        <v>0</v>
      </c>
      <c r="J303" s="315">
        <f>'J) Plafonnement effort'!J302</f>
        <v>0</v>
      </c>
      <c r="K303" s="315">
        <f>'L) Plafonnement taux'!Q303</f>
        <v>0</v>
      </c>
      <c r="L303" s="310">
        <f t="shared" si="15"/>
        <v>160383.99623887005</v>
      </c>
      <c r="M303" s="234">
        <f>'M) Police'!O303</f>
        <v>19091.625129955995</v>
      </c>
      <c r="N303" s="234">
        <f t="shared" si="14"/>
        <v>179475.62136882605</v>
      </c>
      <c r="P303" s="317"/>
    </row>
    <row r="304" spans="1:16" s="154" customFormat="1" x14ac:dyDescent="0.25">
      <c r="A304" s="151">
        <f>'B) D RI'!A305</f>
        <v>5929</v>
      </c>
      <c r="B304" s="152" t="str">
        <f>'B) D RI'!B305</f>
        <v>Suchy</v>
      </c>
      <c r="C304" s="313">
        <f>'B) D RI'!S305</f>
        <v>70</v>
      </c>
      <c r="D304" s="153">
        <f>'B) D RI'!AA305</f>
        <v>645</v>
      </c>
      <c r="E304" s="311">
        <f>'D) Ecrêtage'!C303</f>
        <v>17215.501466609803</v>
      </c>
      <c r="F304" s="315">
        <f>'E) Part. coh. soc.'!G309</f>
        <v>369910.12077986152</v>
      </c>
      <c r="G304" s="312">
        <f>'H) Péréquation directe'!I314</f>
        <v>16270.095845313568</v>
      </c>
      <c r="H304" s="315">
        <f>+'I) Dépenses thématiques'!O303</f>
        <v>-26019.829455139174</v>
      </c>
      <c r="I304" s="312">
        <f>'K) Plafonnement aide'!J303</f>
        <v>0</v>
      </c>
      <c r="J304" s="315">
        <f>'J) Plafonnement effort'!J303</f>
        <v>0</v>
      </c>
      <c r="K304" s="315">
        <f>'L) Plafonnement taux'!Q304</f>
        <v>0</v>
      </c>
      <c r="L304" s="310">
        <f t="shared" si="15"/>
        <v>360160.38717003592</v>
      </c>
      <c r="M304" s="234">
        <f>'M) Police'!O304</f>
        <v>22123.591415220493</v>
      </c>
      <c r="N304" s="234">
        <f t="shared" si="14"/>
        <v>382283.97858525638</v>
      </c>
      <c r="P304" s="317"/>
    </row>
    <row r="305" spans="1:16" s="154" customFormat="1" x14ac:dyDescent="0.25">
      <c r="A305" s="151">
        <f>'B) D RI'!A306</f>
        <v>5930</v>
      </c>
      <c r="B305" s="152" t="str">
        <f>'B) D RI'!B306</f>
        <v>Suscévaz</v>
      </c>
      <c r="C305" s="313">
        <f>'B) D RI'!S306</f>
        <v>72</v>
      </c>
      <c r="D305" s="153">
        <f>'B) D RI'!AA306</f>
        <v>215</v>
      </c>
      <c r="E305" s="311">
        <f>'D) Ecrêtage'!C304</f>
        <v>5858.9969932954782</v>
      </c>
      <c r="F305" s="315">
        <f>'E) Part. coh. soc.'!G310</f>
        <v>91186.400313806298</v>
      </c>
      <c r="G305" s="312">
        <f>'H) Péréquation directe'!I315</f>
        <v>5601.9852213356062</v>
      </c>
      <c r="H305" s="315">
        <f>+'I) Dépenses thématiques'!O304</f>
        <v>-32798.357547931329</v>
      </c>
      <c r="I305" s="312">
        <f>'K) Plafonnement aide'!J304</f>
        <v>0</v>
      </c>
      <c r="J305" s="315">
        <f>'J) Plafonnement effort'!J304</f>
        <v>0</v>
      </c>
      <c r="K305" s="315">
        <f>'L) Plafonnement taux'!Q305</f>
        <v>0</v>
      </c>
      <c r="L305" s="310">
        <f t="shared" si="15"/>
        <v>63990.027987210575</v>
      </c>
      <c r="M305" s="234">
        <f>'M) Police'!O305</f>
        <v>7529.3801829753265</v>
      </c>
      <c r="N305" s="234">
        <f t="shared" si="14"/>
        <v>71519.408170185896</v>
      </c>
      <c r="P305" s="317"/>
    </row>
    <row r="306" spans="1:16" s="154" customFormat="1" x14ac:dyDescent="0.25">
      <c r="A306" s="151">
        <f>'B) D RI'!A307</f>
        <v>5931</v>
      </c>
      <c r="B306" s="152" t="str">
        <f>'B) D RI'!B307</f>
        <v>Treycovagnes</v>
      </c>
      <c r="C306" s="313">
        <f>'B) D RI'!S307</f>
        <v>75</v>
      </c>
      <c r="D306" s="153">
        <f>'B) D RI'!AA307</f>
        <v>492</v>
      </c>
      <c r="E306" s="311">
        <f>'D) Ecrêtage'!C305</f>
        <v>12172.811234031555</v>
      </c>
      <c r="F306" s="315">
        <f>'E) Part. coh. soc.'!G311</f>
        <v>209551.34514910905</v>
      </c>
      <c r="G306" s="312">
        <f>'H) Péréquation directe'!I316</f>
        <v>-54927.173079609172</v>
      </c>
      <c r="H306" s="315">
        <f>+'I) Dépenses thématiques'!O305</f>
        <v>-6679.1371070472642</v>
      </c>
      <c r="I306" s="312">
        <f>'K) Plafonnement aide'!J305</f>
        <v>0</v>
      </c>
      <c r="J306" s="315">
        <f>'J) Plafonnement effort'!J305</f>
        <v>0</v>
      </c>
      <c r="K306" s="315">
        <f>'L) Plafonnement taux'!Q306</f>
        <v>0</v>
      </c>
      <c r="L306" s="310">
        <f t="shared" si="15"/>
        <v>147945.03496245263</v>
      </c>
      <c r="M306" s="234">
        <f>'M) Police'!O306</f>
        <v>15643.244702377744</v>
      </c>
      <c r="N306" s="234">
        <f t="shared" si="14"/>
        <v>163588.27966483036</v>
      </c>
      <c r="P306" s="317"/>
    </row>
    <row r="307" spans="1:16" s="154" customFormat="1" x14ac:dyDescent="0.25">
      <c r="A307" s="151">
        <f>'B) D RI'!A308</f>
        <v>5932</v>
      </c>
      <c r="B307" s="152" t="str">
        <f>'B) D RI'!B308</f>
        <v>Ursins</v>
      </c>
      <c r="C307" s="313">
        <f>'B) D RI'!S308</f>
        <v>77</v>
      </c>
      <c r="D307" s="153">
        <f>'B) D RI'!AA308</f>
        <v>225</v>
      </c>
      <c r="E307" s="311">
        <f>'D) Ecrêtage'!C306</f>
        <v>8276.7755150217381</v>
      </c>
      <c r="F307" s="315">
        <f>'E) Part. coh. soc.'!G312</f>
        <v>150169.24934803191</v>
      </c>
      <c r="G307" s="312">
        <f>'H) Péréquation directe'!I317</f>
        <v>85825.106124316429</v>
      </c>
      <c r="H307" s="315">
        <f>+'I) Dépenses thématiques'!O306</f>
        <v>-10945.423162156643</v>
      </c>
      <c r="I307" s="312">
        <f>'K) Plafonnement aide'!J306</f>
        <v>0</v>
      </c>
      <c r="J307" s="315">
        <f>'J) Plafonnement effort'!J306</f>
        <v>0</v>
      </c>
      <c r="K307" s="315">
        <f>'L) Plafonnement taux'!Q307</f>
        <v>0</v>
      </c>
      <c r="L307" s="310">
        <f t="shared" si="15"/>
        <v>225048.93231019168</v>
      </c>
      <c r="M307" s="234">
        <f>'M) Police'!O307</f>
        <v>26343.972475632552</v>
      </c>
      <c r="N307" s="234">
        <f t="shared" si="14"/>
        <v>251392.90478582424</v>
      </c>
      <c r="P307" s="317"/>
    </row>
    <row r="308" spans="1:16" s="154" customFormat="1" x14ac:dyDescent="0.25">
      <c r="A308" s="151">
        <f>'B) D RI'!A309</f>
        <v>5933</v>
      </c>
      <c r="B308" s="152" t="str">
        <f>'B) D RI'!B309</f>
        <v>Valeyres-sous-Montagny</v>
      </c>
      <c r="C308" s="313">
        <f>'B) D RI'!S309</f>
        <v>72</v>
      </c>
      <c r="D308" s="153">
        <f>'B) D RI'!AA309</f>
        <v>709</v>
      </c>
      <c r="E308" s="311">
        <f>'D) Ecrêtage'!C307</f>
        <v>22088.929559782136</v>
      </c>
      <c r="F308" s="315">
        <f>'E) Part. coh. soc.'!G313</f>
        <v>407181.28871076641</v>
      </c>
      <c r="G308" s="312">
        <f>'H) Péréquation directe'!I318</f>
        <v>129511.53925410414</v>
      </c>
      <c r="H308" s="315">
        <f>+'I) Dépenses thématiques'!O307</f>
        <v>-113034.71373980642</v>
      </c>
      <c r="I308" s="312">
        <f>'K) Plafonnement aide'!J307</f>
        <v>0</v>
      </c>
      <c r="J308" s="315">
        <f>'J) Plafonnement effort'!J307</f>
        <v>0</v>
      </c>
      <c r="K308" s="315">
        <f>'L) Plafonnement taux'!Q308</f>
        <v>0</v>
      </c>
      <c r="L308" s="310">
        <f t="shared" si="15"/>
        <v>423658.11422506406</v>
      </c>
      <c r="M308" s="234">
        <f>'M) Police'!O308</f>
        <v>69194.612292484293</v>
      </c>
      <c r="N308" s="234">
        <f t="shared" si="14"/>
        <v>492852.72651754832</v>
      </c>
      <c r="P308" s="317"/>
    </row>
    <row r="309" spans="1:16" s="154" customFormat="1" x14ac:dyDescent="0.25">
      <c r="A309" s="151">
        <f>'B) D RI'!A310</f>
        <v>5934</v>
      </c>
      <c r="B309" s="152" t="str">
        <f>'B) D RI'!B310</f>
        <v>Valeyres-sous-Ursins</v>
      </c>
      <c r="C309" s="313">
        <f>'B) D RI'!S310</f>
        <v>79</v>
      </c>
      <c r="D309" s="153">
        <f>'B) D RI'!AA310</f>
        <v>227</v>
      </c>
      <c r="E309" s="311">
        <f>'D) Ecrêtage'!C308</f>
        <v>7547.3165822784813</v>
      </c>
      <c r="F309" s="315">
        <f>'E) Part. coh. soc.'!G314</f>
        <v>134481.79295574487</v>
      </c>
      <c r="G309" s="312">
        <f>'H) Péréquation directe'!I319</f>
        <v>48444.778614091338</v>
      </c>
      <c r="H309" s="315">
        <f>+'I) Dépenses thématiques'!O308</f>
        <v>-145874.52155772015</v>
      </c>
      <c r="I309" s="312">
        <f>'K) Plafonnement aide'!J308</f>
        <v>0</v>
      </c>
      <c r="J309" s="315">
        <f>'J) Plafonnement effort'!J308</f>
        <v>0</v>
      </c>
      <c r="K309" s="315">
        <f>'L) Plafonnement taux'!Q309</f>
        <v>0</v>
      </c>
      <c r="L309" s="310">
        <f t="shared" si="15"/>
        <v>37052.050012116058</v>
      </c>
      <c r="M309" s="234">
        <f>'M) Police'!O309</f>
        <v>24050.750273449401</v>
      </c>
      <c r="N309" s="234">
        <f t="shared" si="14"/>
        <v>61102.800285565463</v>
      </c>
      <c r="P309" s="317"/>
    </row>
    <row r="310" spans="1:16" s="154" customFormat="1" x14ac:dyDescent="0.25">
      <c r="A310" s="151">
        <f>'B) D RI'!A311</f>
        <v>5935</v>
      </c>
      <c r="B310" s="152" t="str">
        <f>'B) D RI'!B311</f>
        <v>Villars-Epeney</v>
      </c>
      <c r="C310" s="313">
        <f>'B) D RI'!S311</f>
        <v>60</v>
      </c>
      <c r="D310" s="153">
        <f>'B) D RI'!AA311</f>
        <v>102</v>
      </c>
      <c r="E310" s="311">
        <f>'D) Ecrêtage'!C309</f>
        <v>4852.8368333333328</v>
      </c>
      <c r="F310" s="315">
        <f>'E) Part. coh. soc.'!G315</f>
        <v>76887.623339691156</v>
      </c>
      <c r="G310" s="312">
        <f>'H) Péréquation directe'!I320</f>
        <v>82537.914141162255</v>
      </c>
      <c r="H310" s="315">
        <f>+'I) Dépenses thématiques'!O309</f>
        <v>-2086.9180112104082</v>
      </c>
      <c r="I310" s="312">
        <f>'K) Plafonnement aide'!J309</f>
        <v>0</v>
      </c>
      <c r="J310" s="315">
        <f>'J) Plafonnement effort'!J309</f>
        <v>0</v>
      </c>
      <c r="K310" s="315">
        <f>'L) Plafonnement taux'!Q310</f>
        <v>0</v>
      </c>
      <c r="L310" s="310">
        <f t="shared" si="15"/>
        <v>157338.61946964299</v>
      </c>
      <c r="M310" s="234">
        <f>'M) Police'!O310</f>
        <v>14920.274645405243</v>
      </c>
      <c r="N310" s="234">
        <f t="shared" si="14"/>
        <v>172258.89411504823</v>
      </c>
      <c r="P310" s="317"/>
    </row>
    <row r="311" spans="1:16" s="154" customFormat="1" x14ac:dyDescent="0.25">
      <c r="A311" s="151">
        <f>'B) D RI'!A312</f>
        <v>5937</v>
      </c>
      <c r="B311" s="152" t="str">
        <f>'B) D RI'!B312</f>
        <v>Vugelles-La Mothe</v>
      </c>
      <c r="C311" s="313">
        <f>'B) D RI'!S312</f>
        <v>70</v>
      </c>
      <c r="D311" s="153">
        <f>'B) D RI'!AA312</f>
        <v>135</v>
      </c>
      <c r="E311" s="311">
        <f>'D) Ecrêtage'!C310</f>
        <v>3013.5893429156713</v>
      </c>
      <c r="F311" s="315">
        <f>'E) Part. coh. soc.'!G316</f>
        <v>63433.265788612785</v>
      </c>
      <c r="G311" s="312">
        <f>'H) Péréquation directe'!I321</f>
        <v>-19588.541054170273</v>
      </c>
      <c r="H311" s="315">
        <f>+'I) Dépenses thématiques'!O310</f>
        <v>-29325.160978165699</v>
      </c>
      <c r="I311" s="312">
        <f>'K) Plafonnement aide'!J310</f>
        <v>0</v>
      </c>
      <c r="J311" s="315">
        <f>'J) Plafonnement effort'!J310</f>
        <v>0</v>
      </c>
      <c r="K311" s="315">
        <f>'L) Plafonnement taux'!Q311</f>
        <v>0</v>
      </c>
      <c r="L311" s="310">
        <f t="shared" si="15"/>
        <v>14519.563756276813</v>
      </c>
      <c r="M311" s="234">
        <f>'M) Police'!O311</f>
        <v>9433.8132738115928</v>
      </c>
      <c r="N311" s="234">
        <f t="shared" si="14"/>
        <v>23953.377030088406</v>
      </c>
      <c r="P311" s="317"/>
    </row>
    <row r="312" spans="1:16" s="154" customFormat="1" x14ac:dyDescent="0.25">
      <c r="A312" s="151">
        <f>'B) D RI'!A313</f>
        <v>5938</v>
      </c>
      <c r="B312" s="152" t="str">
        <f>'B) D RI'!B313</f>
        <v>Yverdon-les-Bains</v>
      </c>
      <c r="C312" s="313">
        <f>'B) D RI'!S313</f>
        <v>76.5</v>
      </c>
      <c r="D312" s="153">
        <f>'B) D RI'!AA313</f>
        <v>30189</v>
      </c>
      <c r="E312" s="311">
        <f>'D) Ecrêtage'!C311</f>
        <v>781659.36856013921</v>
      </c>
      <c r="F312" s="315">
        <f>'E) Part. coh. soc.'!G317</f>
        <v>15173955.596625937</v>
      </c>
      <c r="G312" s="312">
        <f>'H) Péréquation directe'!I322</f>
        <v>-24521144.530449383</v>
      </c>
      <c r="H312" s="315">
        <f>+'I) Dépenses thématiques'!O311</f>
        <v>-9739296.0758801866</v>
      </c>
      <c r="I312" s="312">
        <f>'K) Plafonnement aide'!J311</f>
        <v>3093913.9853423331</v>
      </c>
      <c r="J312" s="315">
        <f>'J) Plafonnement effort'!J311</f>
        <v>0</v>
      </c>
      <c r="K312" s="315">
        <f>'L) Plafonnement taux'!Q312</f>
        <v>0</v>
      </c>
      <c r="L312" s="310">
        <f t="shared" si="15"/>
        <v>-15992571.024361299</v>
      </c>
      <c r="M312" s="234">
        <f>'M) Police'!O312</f>
        <v>1004508.2061329724</v>
      </c>
      <c r="N312" s="234">
        <f t="shared" si="14"/>
        <v>-14988062.818228327</v>
      </c>
      <c r="P312" s="317"/>
    </row>
    <row r="313" spans="1:16" s="154" customFormat="1" x14ac:dyDescent="0.25">
      <c r="A313" s="151">
        <f>'B) D RI'!A314</f>
        <v>5939</v>
      </c>
      <c r="B313" s="152" t="str">
        <f>'B) D RI'!B314</f>
        <v>Yvonand</v>
      </c>
      <c r="C313" s="313">
        <f>'B) D RI'!S314</f>
        <v>73</v>
      </c>
      <c r="D313" s="153">
        <f>'B) D RI'!AA314</f>
        <v>3434</v>
      </c>
      <c r="E313" s="311">
        <f>'D) Ecrêtage'!C312</f>
        <v>95019.586686348848</v>
      </c>
      <c r="F313" s="315">
        <f>'E) Part. coh. soc.'!G318</f>
        <v>2111324.9528675438</v>
      </c>
      <c r="G313" s="312">
        <f>'H) Péréquation directe'!I323</f>
        <v>-504660.2755694557</v>
      </c>
      <c r="H313" s="362">
        <f>+'I) Dépenses thématiques'!O312</f>
        <v>-330642.46702056431</v>
      </c>
      <c r="I313" s="312">
        <f>'K) Plafonnement aide'!J312</f>
        <v>0</v>
      </c>
      <c r="J313" s="315">
        <f>'J) Plafonnement effort'!J312</f>
        <v>0</v>
      </c>
      <c r="K313" s="315">
        <f>'L) Plafonnement taux'!Q313</f>
        <v>0</v>
      </c>
      <c r="L313" s="310">
        <f t="shared" si="15"/>
        <v>1276022.2102775238</v>
      </c>
      <c r="M313" s="234">
        <f>'M) Police'!O313</f>
        <v>295679.48597277969</v>
      </c>
      <c r="N313" s="236">
        <f t="shared" si="14"/>
        <v>1571701.6962503036</v>
      </c>
      <c r="P313" s="317"/>
    </row>
    <row r="314" spans="1:16" x14ac:dyDescent="0.25">
      <c r="A314" s="30"/>
      <c r="B314" s="24">
        <f>COUNTA(B6:B313)</f>
        <v>308</v>
      </c>
      <c r="C314" s="258"/>
      <c r="D314" s="156">
        <f>SUM(D6:D313)</f>
        <v>806088</v>
      </c>
      <c r="E314" s="156">
        <f>SUM(E6:E313)</f>
        <v>37080520.101833388</v>
      </c>
      <c r="F314" s="147">
        <f>'E) Part. coh. soc.'!G319</f>
        <v>815872099.99999952</v>
      </c>
      <c r="G314" s="147">
        <f>'H) Péréquation directe'!I324</f>
        <v>169505581.71077454</v>
      </c>
      <c r="H314" s="361">
        <f>'I) Dépenses thématiques'!O313</f>
        <v>-166862340.45825019</v>
      </c>
      <c r="I314" s="147">
        <f>'K) Plafonnement aide'!J313</f>
        <v>3095721.5509572192</v>
      </c>
      <c r="J314" s="147">
        <f>'J) Plafonnement effort'!J313</f>
        <v>-5282608.3306493629</v>
      </c>
      <c r="K314" s="147">
        <f>+'L) Plafonnement taux'!Q314</f>
        <v>-6354.4728311884946</v>
      </c>
      <c r="L314" s="454">
        <f t="shared" si="15"/>
        <v>816322100.0000006</v>
      </c>
      <c r="M314" s="235">
        <f>SUM(M6:M313)</f>
        <v>69975804.441903159</v>
      </c>
      <c r="N314" s="235">
        <f>SUM(N6:N313)</f>
        <v>886297904.44190276</v>
      </c>
    </row>
    <row r="315" spans="1:16" x14ac:dyDescent="0.25">
      <c r="D315" s="13"/>
      <c r="E315" s="13"/>
      <c r="L315" s="6"/>
      <c r="M315" s="6"/>
      <c r="N315" s="6"/>
    </row>
    <row r="316" spans="1:16" x14ac:dyDescent="0.25">
      <c r="H316" s="155"/>
      <c r="I316" s="155"/>
      <c r="J316" s="155"/>
      <c r="K316" s="155"/>
      <c r="L316" s="6"/>
      <c r="M316" s="6"/>
      <c r="N316" s="6"/>
    </row>
  </sheetData>
  <mergeCells count="16">
    <mergeCell ref="O4:O5"/>
    <mergeCell ref="M4:M5"/>
    <mergeCell ref="N4:N5"/>
    <mergeCell ref="A1:E1"/>
    <mergeCell ref="L4:L5"/>
    <mergeCell ref="K4:K5"/>
    <mergeCell ref="J4:J5"/>
    <mergeCell ref="I4:I5"/>
    <mergeCell ref="H4:H5"/>
    <mergeCell ref="G4:G5"/>
    <mergeCell ref="F4:F5"/>
    <mergeCell ref="E4:E5"/>
    <mergeCell ref="D4:D5"/>
    <mergeCell ref="C4:C5"/>
    <mergeCell ref="B4:B5"/>
    <mergeCell ref="A4:A5"/>
  </mergeCells>
  <phoneticPr fontId="0" type="noConversion"/>
  <printOptions horizontalCentered="1" verticalCentered="1"/>
  <pageMargins left="0.19685039370078741" right="0.19685039370078741" top="0" bottom="0" header="0.51181102362204722" footer="0.51181102362204722"/>
  <pageSetup paperSize="9" fitToHeight="7" orientation="landscape" horizontalDpi="1200" verticalDpi="1200" r:id="rId1"/>
  <headerFooter alignWithMargins="0">
    <oddFooter>&amp;LSCL - Division finances communales&amp;C-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3" tint="0.39997558519241921"/>
    <pageSetUpPr fitToPage="1"/>
  </sheetPr>
  <dimension ref="B1:J56"/>
  <sheetViews>
    <sheetView tabSelected="1" workbookViewId="0">
      <selection activeCell="C3" sqref="C3:E3"/>
    </sheetView>
  </sheetViews>
  <sheetFormatPr baseColWidth="10" defaultColWidth="10.875" defaultRowHeight="15" x14ac:dyDescent="0.25"/>
  <cols>
    <col min="1" max="1" width="3.375" style="158" customWidth="1"/>
    <col min="2" max="2" width="17.125" style="158" customWidth="1"/>
    <col min="3" max="4" width="12.75" style="158" customWidth="1"/>
    <col min="5" max="6" width="12.75" style="203" customWidth="1"/>
    <col min="7" max="7" width="11.75" style="158" bestFit="1" customWidth="1"/>
    <col min="8" max="16384" width="10.875" style="158"/>
  </cols>
  <sheetData>
    <row r="1" spans="2:9" ht="31.5" x14ac:dyDescent="0.5">
      <c r="B1" s="198" t="s">
        <v>482</v>
      </c>
    </row>
    <row r="3" spans="2:9" s="204" customFormat="1" ht="26.25" x14ac:dyDescent="0.4">
      <c r="B3" s="207"/>
      <c r="C3" s="457"/>
      <c r="D3" s="457"/>
      <c r="E3" s="457"/>
      <c r="F3" s="205"/>
    </row>
    <row r="6" spans="2:9" ht="18.75" x14ac:dyDescent="0.3">
      <c r="B6" s="456" t="str">
        <f>CONCATENATE("Péréquation, ",Paramètres!B5)</f>
        <v>Péréquation, Acomptes 2021</v>
      </c>
      <c r="C6" s="456"/>
      <c r="D6" s="456"/>
      <c r="E6" s="456"/>
      <c r="F6" s="456"/>
    </row>
    <row r="7" spans="2:9" s="250" customFormat="1" ht="18.75" x14ac:dyDescent="0.3">
      <c r="B7" s="456">
        <f>C3</f>
        <v>0</v>
      </c>
      <c r="C7" s="456"/>
      <c r="D7" s="456"/>
      <c r="E7" s="456"/>
      <c r="F7" s="456"/>
    </row>
    <row r="8" spans="2:9" s="250" customFormat="1" ht="12.75" x14ac:dyDescent="0.2">
      <c r="B8" s="257" t="e">
        <f>CONCATENATE("Population : ",VLOOKUP($B$7,'A) Base RI'!$B$7:$V$314,21,FALSE))</f>
        <v>#N/A</v>
      </c>
      <c r="C8" s="248"/>
      <c r="D8" s="248"/>
      <c r="E8" s="249"/>
      <c r="F8" s="256" t="e">
        <f>CONCATENATE("N° OFS : ",VLOOKUP($B$7,Paramètres!$A$70:$B$377,2,FALSE))</f>
        <v>#N/A</v>
      </c>
    </row>
    <row r="9" spans="2:9" s="250" customFormat="1" ht="12.75" x14ac:dyDescent="0.2">
      <c r="B9" s="257" t="e">
        <f>CONCATENATE("Taux : ",VLOOKUP($B$7,'A) Base RI'!$B$7:$V$314,20,FALSE))</f>
        <v>#N/A</v>
      </c>
      <c r="C9" s="248"/>
      <c r="D9" s="248"/>
      <c r="E9" s="249"/>
      <c r="F9" s="321" t="e">
        <f>CONCATENATE("Point impôt communal : ",ROUND(VLOOKUP(B7,'D) Ecrêtage'!B5:M321,2,FALSE),0))</f>
        <v>#N/A</v>
      </c>
    </row>
    <row r="10" spans="2:9" s="250" customFormat="1" ht="12.75" x14ac:dyDescent="0.2">
      <c r="B10" s="248"/>
      <c r="C10" s="248"/>
      <c r="D10" s="248"/>
      <c r="E10" s="249"/>
      <c r="F10" s="321"/>
      <c r="H10" s="348"/>
      <c r="I10" s="348"/>
    </row>
    <row r="11" spans="2:9" ht="18" x14ac:dyDescent="0.35">
      <c r="B11" s="241" t="s">
        <v>560</v>
      </c>
      <c r="C11" s="103"/>
      <c r="D11" s="103"/>
      <c r="E11" s="206"/>
      <c r="F11" s="206"/>
    </row>
    <row r="12" spans="2:9" s="250" customFormat="1" ht="12.75" x14ac:dyDescent="0.2">
      <c r="B12" s="248"/>
      <c r="C12" s="248"/>
      <c r="D12" s="248"/>
      <c r="E12" s="249"/>
      <c r="F12" s="249"/>
    </row>
    <row r="13" spans="2:9" s="250" customFormat="1" ht="12.75" x14ac:dyDescent="0.2">
      <c r="B13" s="255" t="s">
        <v>434</v>
      </c>
      <c r="C13" s="248"/>
      <c r="D13" s="248"/>
      <c r="E13" s="249"/>
      <c r="F13" s="249"/>
    </row>
    <row r="14" spans="2:9" s="250" customFormat="1" ht="12.75" x14ac:dyDescent="0.2">
      <c r="B14" s="248" t="s">
        <v>473</v>
      </c>
      <c r="C14" s="248"/>
      <c r="D14" s="248"/>
      <c r="E14" s="251" t="e">
        <f>VLOOKUP($C$3,'C) Prél. conj.'!$B$3:$E$390,2,FALSE)*0.5</f>
        <v>#N/A</v>
      </c>
      <c r="F14" s="249"/>
    </row>
    <row r="15" spans="2:9" s="250" customFormat="1" ht="12.75" x14ac:dyDescent="0.2">
      <c r="B15" s="248" t="s">
        <v>193</v>
      </c>
      <c r="C15" s="248"/>
      <c r="D15" s="248"/>
      <c r="E15" s="251" t="e">
        <f>VLOOKUP($C$3,'C) Prél. conj.'!$B$3:$E$390,3,FALSE)*0.3</f>
        <v>#N/A</v>
      </c>
      <c r="F15" s="249" t="e">
        <f>E14+E15</f>
        <v>#N/A</v>
      </c>
    </row>
    <row r="16" spans="2:9" s="250" customFormat="1" ht="12.75" x14ac:dyDescent="0.2">
      <c r="B16" s="248"/>
      <c r="C16" s="248"/>
      <c r="D16" s="248"/>
      <c r="E16" s="249"/>
      <c r="F16" s="249"/>
    </row>
    <row r="17" spans="2:8" s="250" customFormat="1" ht="12.75" x14ac:dyDescent="0.2">
      <c r="B17" s="255" t="s">
        <v>471</v>
      </c>
      <c r="C17" s="248"/>
      <c r="D17" s="248"/>
      <c r="E17" s="249"/>
      <c r="F17" s="249"/>
    </row>
    <row r="18" spans="2:8" s="250" customFormat="1" ht="12.75" x14ac:dyDescent="0.2">
      <c r="B18" s="248" t="s">
        <v>537</v>
      </c>
      <c r="C18" s="248"/>
      <c r="D18" s="252" t="e">
        <f>VLOOKUP($C$3,'D) Ecrêtage'!$B$3:$M$390,11,FALSE)</f>
        <v>#N/A</v>
      </c>
      <c r="E18" s="249"/>
      <c r="F18" s="249" t="e">
        <f>VLOOKUP($C$3,'D) Ecrêtage'!$B$3:$M$390,12,FALSE)</f>
        <v>#N/A</v>
      </c>
    </row>
    <row r="19" spans="2:8" s="250" customFormat="1" ht="12.75" x14ac:dyDescent="0.2">
      <c r="B19" s="248"/>
      <c r="C19" s="248"/>
      <c r="D19" s="248"/>
      <c r="E19" s="249"/>
      <c r="F19" s="249"/>
    </row>
    <row r="20" spans="2:8" s="250" customFormat="1" ht="12.75" x14ac:dyDescent="0.2">
      <c r="B20" s="255" t="s">
        <v>474</v>
      </c>
      <c r="C20" s="248"/>
      <c r="D20" s="248"/>
      <c r="E20" s="249"/>
      <c r="F20" s="249"/>
    </row>
    <row r="21" spans="2:8" s="250" customFormat="1" ht="12.75" x14ac:dyDescent="0.2">
      <c r="B21" s="248" t="str">
        <f>CONCATENATE("Nombre de points à répartir ",ROUND('E) Part. coh. soc.'!D7,2))</f>
        <v>Nombre de points à répartir 15.33</v>
      </c>
      <c r="C21" s="248"/>
      <c r="D21" s="248"/>
      <c r="E21" s="249"/>
      <c r="F21" s="249"/>
    </row>
    <row r="22" spans="2:8" s="250" customFormat="1" ht="12.75" x14ac:dyDescent="0.2">
      <c r="B22" s="248" t="s">
        <v>481</v>
      </c>
      <c r="C22" s="248"/>
      <c r="D22" s="248"/>
      <c r="E22" s="249"/>
      <c r="F22" s="249" t="e">
        <f>VLOOKUP($C$3,'E) Part. coh. soc.'!$B$9:$G$390,5,FALSE)</f>
        <v>#N/A</v>
      </c>
    </row>
    <row r="23" spans="2:8" s="250" customFormat="1" ht="12.75" x14ac:dyDescent="0.2">
      <c r="B23" s="248"/>
      <c r="C23" s="248"/>
      <c r="D23" s="248"/>
      <c r="E23" s="249"/>
      <c r="F23" s="253"/>
    </row>
    <row r="24" spans="2:8" s="250" customFormat="1" ht="12.75" x14ac:dyDescent="0.2">
      <c r="B24" s="255" t="s">
        <v>561</v>
      </c>
      <c r="C24" s="248"/>
      <c r="D24" s="248"/>
      <c r="E24" s="249"/>
      <c r="F24" s="254" t="e">
        <f>F15+F18+F22</f>
        <v>#N/A</v>
      </c>
      <c r="G24" s="426"/>
      <c r="H24" s="426"/>
    </row>
    <row r="25" spans="2:8" s="250" customFormat="1" ht="12.75" x14ac:dyDescent="0.2">
      <c r="B25" s="248"/>
      <c r="C25" s="248"/>
      <c r="D25" s="248"/>
      <c r="E25" s="249"/>
      <c r="F25" s="249"/>
    </row>
    <row r="26" spans="2:8" ht="18" x14ac:dyDescent="0.35">
      <c r="B26" s="241" t="s">
        <v>509</v>
      </c>
      <c r="C26" s="103"/>
      <c r="D26" s="103"/>
      <c r="E26" s="206"/>
      <c r="F26" s="206"/>
      <c r="G26" s="425"/>
    </row>
    <row r="27" spans="2:8" s="250" customFormat="1" ht="12.75" x14ac:dyDescent="0.2">
      <c r="B27" s="248"/>
      <c r="C27" s="248"/>
      <c r="D27" s="248"/>
      <c r="E27" s="249"/>
      <c r="F27" s="249"/>
    </row>
    <row r="28" spans="2:8" s="250" customFormat="1" ht="12.75" x14ac:dyDescent="0.2">
      <c r="B28" s="255" t="s">
        <v>303</v>
      </c>
      <c r="C28" s="248"/>
      <c r="D28" s="248"/>
      <c r="E28" s="249"/>
      <c r="F28" s="249" t="e">
        <f>-VLOOKUP($C$3,'F) Population'!$B$8:$K$390,10,FALSE)</f>
        <v>#N/A</v>
      </c>
      <c r="G28" s="427"/>
    </row>
    <row r="29" spans="2:8" s="250" customFormat="1" ht="12.75" x14ac:dyDescent="0.2">
      <c r="B29" s="248"/>
      <c r="C29" s="248"/>
      <c r="D29" s="248"/>
      <c r="E29" s="249"/>
      <c r="F29" s="249"/>
    </row>
    <row r="30" spans="2:8" s="250" customFormat="1" ht="12.75" x14ac:dyDescent="0.2">
      <c r="B30" s="255" t="s">
        <v>475</v>
      </c>
      <c r="C30" s="248"/>
      <c r="D30" s="248"/>
      <c r="E30" s="249"/>
      <c r="F30" s="249" t="e">
        <f>-VLOOKUP($C$3,'G) Solidarité'!$B$5:$I$390,8,FALSE)</f>
        <v>#N/A</v>
      </c>
    </row>
    <row r="31" spans="2:8" s="250" customFormat="1" ht="12.75" x14ac:dyDescent="0.2">
      <c r="B31" s="248"/>
      <c r="C31" s="248"/>
      <c r="D31" s="248"/>
      <c r="E31" s="249"/>
      <c r="F31" s="249"/>
    </row>
    <row r="32" spans="2:8" s="250" customFormat="1" ht="12.75" x14ac:dyDescent="0.2">
      <c r="B32" s="255" t="s">
        <v>138</v>
      </c>
      <c r="C32" s="248"/>
      <c r="D32" s="248"/>
      <c r="E32" s="249"/>
      <c r="F32" s="249"/>
    </row>
    <row r="33" spans="2:10" s="250" customFormat="1" ht="12.75" x14ac:dyDescent="0.2">
      <c r="B33" s="248" t="s">
        <v>476</v>
      </c>
      <c r="C33" s="248"/>
      <c r="D33" s="248"/>
      <c r="E33" s="251" t="e">
        <f>VLOOKUP(B7,'I) Dépenses thématiques'!B5:O312,9,FALSE)</f>
        <v>#N/A</v>
      </c>
      <c r="F33" s="249"/>
    </row>
    <row r="34" spans="2:10" s="250" customFormat="1" ht="12.75" x14ac:dyDescent="0.2">
      <c r="B34" s="248" t="s">
        <v>213</v>
      </c>
      <c r="C34" s="248"/>
      <c r="D34" s="248"/>
      <c r="E34" s="251" t="e">
        <f>VLOOKUP(B7,'I) Dépenses thématiques'!B5:O312,13,FALSE)</f>
        <v>#N/A</v>
      </c>
      <c r="F34" s="249" t="e">
        <f>SUM(E33:E34)</f>
        <v>#N/A</v>
      </c>
    </row>
    <row r="35" spans="2:10" s="250" customFormat="1" ht="12.75" x14ac:dyDescent="0.2">
      <c r="B35" s="248"/>
      <c r="C35" s="248"/>
      <c r="D35" s="248"/>
      <c r="E35" s="249"/>
      <c r="F35" s="249"/>
    </row>
    <row r="36" spans="2:10" s="250" customFormat="1" ht="12.75" x14ac:dyDescent="0.2">
      <c r="B36" s="255" t="s">
        <v>477</v>
      </c>
      <c r="C36" s="248"/>
      <c r="D36" s="248"/>
      <c r="E36" s="249"/>
      <c r="F36" s="249"/>
    </row>
    <row r="37" spans="2:10" s="250" customFormat="1" ht="12.75" x14ac:dyDescent="0.2">
      <c r="B37" s="248" t="s">
        <v>528</v>
      </c>
      <c r="C37" s="248"/>
      <c r="D37" s="248"/>
      <c r="E37" s="251" t="e">
        <f>VLOOKUP($C$3,'J) Plafonnement effort'!$B$5:$J$390,9,FALSE)</f>
        <v>#N/A</v>
      </c>
      <c r="F37" s="249"/>
    </row>
    <row r="38" spans="2:10" s="250" customFormat="1" ht="12.75" x14ac:dyDescent="0.2">
      <c r="B38" s="248" t="s">
        <v>478</v>
      </c>
      <c r="C38" s="248"/>
      <c r="D38" s="248"/>
      <c r="E38" s="251" t="e">
        <f>VLOOKUP($C$3,'K) Plafonnement aide'!$B$5:$J$390,9,FALSE)</f>
        <v>#N/A</v>
      </c>
      <c r="F38" s="249"/>
    </row>
    <row r="39" spans="2:10" s="250" customFormat="1" ht="12.75" x14ac:dyDescent="0.2">
      <c r="B39" s="248" t="s">
        <v>479</v>
      </c>
      <c r="C39" s="248"/>
      <c r="D39" s="248"/>
      <c r="E39" s="251" t="e">
        <f>VLOOKUP($C$3,'L) Plafonnement taux'!$B$6:$Q$390,16,FALSE)</f>
        <v>#N/A</v>
      </c>
      <c r="F39" s="249" t="e">
        <f>SUM(E37:E39)</f>
        <v>#N/A</v>
      </c>
    </row>
    <row r="40" spans="2:10" s="250" customFormat="1" ht="12.75" x14ac:dyDescent="0.2">
      <c r="B40" s="248"/>
      <c r="C40" s="248"/>
      <c r="D40" s="248"/>
      <c r="E40" s="249"/>
      <c r="F40" s="249"/>
    </row>
    <row r="41" spans="2:10" s="250" customFormat="1" ht="12.75" x14ac:dyDescent="0.2">
      <c r="B41" s="255" t="s">
        <v>93</v>
      </c>
      <c r="C41" s="248"/>
      <c r="D41" s="248"/>
      <c r="E41" s="249"/>
      <c r="F41" s="249" t="e">
        <f>VLOOKUP($C$3,'H) Péréquation directe'!$B$16:$I$390,4,FALSE)</f>
        <v>#N/A</v>
      </c>
    </row>
    <row r="42" spans="2:10" s="250" customFormat="1" ht="12.75" x14ac:dyDescent="0.2">
      <c r="B42" s="248"/>
      <c r="C42" s="248"/>
      <c r="D42" s="248"/>
      <c r="E42" s="249"/>
      <c r="F42" s="253"/>
    </row>
    <row r="43" spans="2:10" s="250" customFormat="1" ht="12.75" x14ac:dyDescent="0.2">
      <c r="B43" s="255" t="s">
        <v>480</v>
      </c>
      <c r="C43" s="248"/>
      <c r="D43" s="248"/>
      <c r="E43" s="249"/>
      <c r="F43" s="349" t="e">
        <f>SUM(F27:F42)</f>
        <v>#N/A</v>
      </c>
      <c r="G43" s="348"/>
      <c r="H43" s="427"/>
      <c r="J43" s="426"/>
    </row>
    <row r="44" spans="2:10" s="250" customFormat="1" ht="12.75" x14ac:dyDescent="0.2">
      <c r="B44" s="248"/>
      <c r="C44" s="248"/>
      <c r="D44" s="248"/>
      <c r="E44" s="249"/>
      <c r="F44" s="249"/>
      <c r="H44" s="426"/>
    </row>
    <row r="45" spans="2:10" ht="18" x14ac:dyDescent="0.35">
      <c r="B45" s="241" t="s">
        <v>510</v>
      </c>
      <c r="C45" s="103"/>
      <c r="D45" s="103"/>
      <c r="E45" s="206"/>
      <c r="F45" s="206"/>
    </row>
    <row r="46" spans="2:10" s="250" customFormat="1" ht="12.75" x14ac:dyDescent="0.2">
      <c r="B46" s="248"/>
      <c r="C46" s="248"/>
      <c r="D46" s="248"/>
      <c r="E46" s="249"/>
      <c r="F46" s="249"/>
    </row>
    <row r="47" spans="2:10" s="250" customFormat="1" ht="12.75" x14ac:dyDescent="0.2">
      <c r="B47" s="248" t="s">
        <v>492</v>
      </c>
      <c r="C47" s="248"/>
      <c r="D47" s="248"/>
      <c r="E47" s="251" t="e">
        <f>VLOOKUP($C$3,'M) Police'!$B$6:$N$395,10,FALSE)</f>
        <v>#N/A</v>
      </c>
      <c r="F47" s="249"/>
    </row>
    <row r="48" spans="2:10" s="250" customFormat="1" ht="12.75" x14ac:dyDescent="0.2">
      <c r="B48" s="248" t="s">
        <v>493</v>
      </c>
      <c r="C48" s="248"/>
      <c r="D48" s="248"/>
      <c r="E48" s="251" t="e">
        <f>VLOOKUP($C$3,'M) Police'!$B$6:$N$395,13,FALSE)</f>
        <v>#N/A</v>
      </c>
      <c r="F48" s="249" t="e">
        <f>E47+E48</f>
        <v>#N/A</v>
      </c>
    </row>
    <row r="49" spans="2:6" s="250" customFormat="1" ht="12.75" x14ac:dyDescent="0.2">
      <c r="B49" s="248"/>
      <c r="C49" s="248"/>
      <c r="D49" s="248"/>
      <c r="E49" s="249"/>
      <c r="F49" s="253"/>
    </row>
    <row r="50" spans="2:6" s="250" customFormat="1" ht="12.75" x14ac:dyDescent="0.2">
      <c r="B50" s="255" t="s">
        <v>498</v>
      </c>
      <c r="C50" s="248"/>
      <c r="D50" s="248"/>
      <c r="E50" s="249"/>
      <c r="F50" s="254" t="e">
        <f>F48</f>
        <v>#N/A</v>
      </c>
    </row>
    <row r="51" spans="2:6" s="250" customFormat="1" ht="12.75" x14ac:dyDescent="0.2">
      <c r="B51" s="248"/>
      <c r="C51" s="248"/>
      <c r="D51" s="248"/>
      <c r="E51" s="249"/>
      <c r="F51" s="249"/>
    </row>
    <row r="52" spans="2:6" ht="18" x14ac:dyDescent="0.35">
      <c r="B52" s="241" t="s">
        <v>511</v>
      </c>
      <c r="C52" s="103"/>
      <c r="D52" s="103"/>
      <c r="E52" s="206"/>
      <c r="F52" s="206"/>
    </row>
    <row r="53" spans="2:6" x14ac:dyDescent="0.25">
      <c r="B53" s="248"/>
      <c r="C53" s="248"/>
      <c r="D53" s="248"/>
      <c r="E53" s="248"/>
      <c r="F53" s="248"/>
    </row>
    <row r="54" spans="2:6" x14ac:dyDescent="0.25">
      <c r="B54" s="255" t="s">
        <v>529</v>
      </c>
      <c r="C54" s="248"/>
      <c r="D54" s="248"/>
      <c r="E54" s="248"/>
      <c r="F54" s="254" t="e">
        <f>+F24+F43+F50</f>
        <v>#N/A</v>
      </c>
    </row>
    <row r="55" spans="2:6" x14ac:dyDescent="0.25">
      <c r="B55" s="248"/>
      <c r="C55" s="248"/>
      <c r="D55" s="248"/>
      <c r="E55" s="248"/>
      <c r="F55" s="248"/>
    </row>
    <row r="56" spans="2:6" ht="18" x14ac:dyDescent="0.35">
      <c r="B56" s="241" t="s">
        <v>530</v>
      </c>
      <c r="C56" s="103"/>
      <c r="D56" s="103"/>
      <c r="E56" s="206"/>
      <c r="F56" s="206"/>
    </row>
  </sheetData>
  <protectedRanges>
    <protectedRange sqref="C3:E3" name="Plage1"/>
  </protectedRanges>
  <mergeCells count="3">
    <mergeCell ref="B6:F6"/>
    <mergeCell ref="B7:F7"/>
    <mergeCell ref="C3:E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Paramètres!$A$70:$A$377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tabColor rgb="FF00B050"/>
  </sheetPr>
  <dimension ref="A1:AF326"/>
  <sheetViews>
    <sheetView zoomScaleNormal="100" workbookViewId="0">
      <pane ySplit="6" topLeftCell="A7" activePane="bottomLeft" state="frozen"/>
      <selection pane="bottomLeft"/>
    </sheetView>
  </sheetViews>
  <sheetFormatPr baseColWidth="10" defaultColWidth="8.625" defaultRowHeight="15" x14ac:dyDescent="0.25"/>
  <cols>
    <col min="1" max="1" width="8.875" style="341" customWidth="1"/>
    <col min="2" max="2" width="20.375" style="15" bestFit="1" customWidth="1"/>
    <col min="3" max="3" width="15" style="335" bestFit="1" customWidth="1"/>
    <col min="4" max="4" width="14" style="15" bestFit="1" customWidth="1"/>
    <col min="5" max="5" width="12.125" style="15" bestFit="1" customWidth="1"/>
    <col min="6" max="6" width="11.25" style="15" bestFit="1" customWidth="1"/>
    <col min="7" max="7" width="18.375" style="371" bestFit="1" customWidth="1"/>
    <col min="8" max="8" width="12.375" style="371" bestFit="1" customWidth="1"/>
    <col min="9" max="9" width="15.75" style="371" bestFit="1" customWidth="1"/>
    <col min="10" max="10" width="13.875" style="15" customWidth="1"/>
    <col min="11" max="11" width="12.125" style="15" bestFit="1" customWidth="1"/>
    <col min="12" max="12" width="13.25" style="15" bestFit="1" customWidth="1"/>
    <col min="13" max="14" width="14.25" style="15" bestFit="1" customWidth="1"/>
    <col min="15" max="15" width="12.125" style="15" bestFit="1" customWidth="1"/>
    <col min="16" max="16" width="14" style="15" bestFit="1" customWidth="1"/>
    <col min="17" max="17" width="12.125" style="15" bestFit="1" customWidth="1"/>
    <col min="18" max="18" width="13.875" style="15" customWidth="1"/>
    <col min="19" max="19" width="12.125" style="15" bestFit="1" customWidth="1"/>
    <col min="20" max="20" width="14.25" style="15" bestFit="1" customWidth="1"/>
    <col min="21" max="21" width="12" style="15" customWidth="1"/>
    <col min="22" max="22" width="10.875" style="6" bestFit="1" customWidth="1"/>
    <col min="23" max="23" width="12.125" style="15" bestFit="1" customWidth="1"/>
    <col min="24" max="24" width="11.25" style="15" bestFit="1" customWidth="1"/>
    <col min="25" max="25" width="11.875" style="15" bestFit="1" customWidth="1"/>
    <col min="26" max="26" width="7" style="15" bestFit="1" customWidth="1"/>
    <col min="27" max="28" width="13" style="15" bestFit="1" customWidth="1"/>
    <col min="29" max="29" width="12.125" style="15" bestFit="1" customWidth="1"/>
    <col min="30" max="30" width="13" style="15" bestFit="1" customWidth="1"/>
    <col min="31" max="32" width="12.125" style="15" bestFit="1" customWidth="1"/>
    <col min="33" max="16384" width="8.625" style="15"/>
  </cols>
  <sheetData>
    <row r="1" spans="1:32" ht="21" x14ac:dyDescent="0.35">
      <c r="A1" s="336" t="s">
        <v>447</v>
      </c>
      <c r="B1" s="323"/>
      <c r="C1" s="324"/>
      <c r="D1" s="323"/>
      <c r="E1" s="323"/>
      <c r="F1" s="323"/>
      <c r="G1" s="323"/>
      <c r="H1" s="323"/>
      <c r="I1" s="323"/>
      <c r="J1" s="323"/>
      <c r="K1" s="323"/>
      <c r="U1" s="342"/>
    </row>
    <row r="2" spans="1:32" ht="21" x14ac:dyDescent="0.35">
      <c r="A2" s="336" t="str">
        <f>Paramètres!B5</f>
        <v>Acomptes 2021</v>
      </c>
      <c r="C2" s="325"/>
      <c r="D2" s="326"/>
      <c r="E2" s="323"/>
      <c r="F2" s="323"/>
      <c r="G2" s="323"/>
      <c r="H2" s="323"/>
      <c r="I2" s="323"/>
      <c r="J2" s="323"/>
      <c r="K2" s="323"/>
      <c r="U2" s="342"/>
    </row>
    <row r="3" spans="1:32" x14ac:dyDescent="0.25">
      <c r="A3" s="337"/>
      <c r="B3" s="323"/>
      <c r="C3" s="324"/>
      <c r="D3" s="323"/>
      <c r="E3" s="323"/>
      <c r="F3" s="323"/>
      <c r="G3" s="323"/>
      <c r="H3" s="323"/>
      <c r="I3" s="323"/>
      <c r="J3" s="323"/>
      <c r="K3" s="323"/>
      <c r="M3" s="327"/>
      <c r="U3" s="342"/>
    </row>
    <row r="4" spans="1:32" s="328" customFormat="1" ht="38.1" customHeight="1" x14ac:dyDescent="0.2">
      <c r="A4" s="464" t="s">
        <v>46</v>
      </c>
      <c r="B4" s="467" t="s">
        <v>559</v>
      </c>
      <c r="C4" s="462" t="s">
        <v>411</v>
      </c>
      <c r="D4" s="471" t="s">
        <v>412</v>
      </c>
      <c r="E4" s="458" t="s">
        <v>257</v>
      </c>
      <c r="F4" s="458" t="s">
        <v>258</v>
      </c>
      <c r="G4" s="458" t="s">
        <v>557</v>
      </c>
      <c r="H4" s="458" t="s">
        <v>558</v>
      </c>
      <c r="I4" s="460" t="s">
        <v>565</v>
      </c>
      <c r="J4" s="458" t="s">
        <v>413</v>
      </c>
      <c r="K4" s="458" t="s">
        <v>381</v>
      </c>
      <c r="L4" s="458" t="s">
        <v>382</v>
      </c>
      <c r="M4" s="458" t="s">
        <v>383</v>
      </c>
      <c r="N4" s="458" t="s">
        <v>192</v>
      </c>
      <c r="O4" s="458" t="s">
        <v>193</v>
      </c>
      <c r="P4" s="458" t="s">
        <v>194</v>
      </c>
      <c r="Q4" s="458" t="s">
        <v>195</v>
      </c>
      <c r="R4" s="458" t="s">
        <v>414</v>
      </c>
      <c r="S4" s="458" t="s">
        <v>196</v>
      </c>
      <c r="T4" s="458" t="s">
        <v>137</v>
      </c>
      <c r="U4" s="462" t="s">
        <v>78</v>
      </c>
      <c r="V4" s="473" t="s">
        <v>446</v>
      </c>
      <c r="W4" s="458" t="s">
        <v>245</v>
      </c>
      <c r="X4" s="458" t="s">
        <v>246</v>
      </c>
      <c r="Y4" s="458" t="s">
        <v>247</v>
      </c>
      <c r="Z4" s="458" t="s">
        <v>497</v>
      </c>
    </row>
    <row r="5" spans="1:32" s="328" customFormat="1" ht="42" customHeight="1" x14ac:dyDescent="0.2">
      <c r="A5" s="465"/>
      <c r="B5" s="468"/>
      <c r="C5" s="463"/>
      <c r="D5" s="472"/>
      <c r="E5" s="459"/>
      <c r="F5" s="459"/>
      <c r="G5" s="459"/>
      <c r="H5" s="459"/>
      <c r="I5" s="461"/>
      <c r="J5" s="459"/>
      <c r="K5" s="459"/>
      <c r="L5" s="459"/>
      <c r="M5" s="459"/>
      <c r="N5" s="459"/>
      <c r="O5" s="459"/>
      <c r="P5" s="459"/>
      <c r="Q5" s="459"/>
      <c r="R5" s="470"/>
      <c r="S5" s="459"/>
      <c r="T5" s="459"/>
      <c r="U5" s="463"/>
      <c r="V5" s="474"/>
      <c r="W5" s="470"/>
      <c r="X5" s="470"/>
      <c r="Y5" s="470"/>
      <c r="Z5" s="470"/>
    </row>
    <row r="6" spans="1:32" s="323" customFormat="1" x14ac:dyDescent="0.25">
      <c r="A6" s="466"/>
      <c r="B6" s="469"/>
      <c r="C6" s="344" t="s">
        <v>415</v>
      </c>
      <c r="D6" s="345" t="s">
        <v>416</v>
      </c>
      <c r="E6" s="329" t="s">
        <v>79</v>
      </c>
      <c r="F6" s="329" t="s">
        <v>80</v>
      </c>
      <c r="G6" s="329" t="s">
        <v>417</v>
      </c>
      <c r="H6" s="329" t="s">
        <v>418</v>
      </c>
      <c r="I6" s="385"/>
      <c r="J6" s="329" t="s">
        <v>82</v>
      </c>
      <c r="K6" s="329" t="s">
        <v>83</v>
      </c>
      <c r="L6" s="329" t="s">
        <v>84</v>
      </c>
      <c r="M6" s="329" t="s">
        <v>85</v>
      </c>
      <c r="N6" s="329" t="s">
        <v>86</v>
      </c>
      <c r="O6" s="329" t="s">
        <v>87</v>
      </c>
      <c r="P6" s="329" t="s">
        <v>88</v>
      </c>
      <c r="Q6" s="329" t="s">
        <v>89</v>
      </c>
      <c r="R6" s="459"/>
      <c r="S6" s="329" t="s">
        <v>90</v>
      </c>
      <c r="T6" s="329" t="s">
        <v>91</v>
      </c>
      <c r="U6" s="350">
        <f>+Paramètres!B8</f>
        <v>2019</v>
      </c>
      <c r="V6" s="346">
        <f>+Paramètres!B7</f>
        <v>42368</v>
      </c>
      <c r="W6" s="459"/>
      <c r="X6" s="459"/>
      <c r="Y6" s="459"/>
      <c r="Z6" s="459"/>
    </row>
    <row r="7" spans="1:32" x14ac:dyDescent="0.25">
      <c r="A7" s="338">
        <v>5401</v>
      </c>
      <c r="B7" s="330" t="s">
        <v>260</v>
      </c>
      <c r="C7" s="389">
        <v>12692429.300000001</v>
      </c>
      <c r="D7" s="389">
        <v>1742010.84</v>
      </c>
      <c r="E7" s="389">
        <v>0</v>
      </c>
      <c r="F7" s="389">
        <v>0</v>
      </c>
      <c r="G7" s="392">
        <v>1424896.85</v>
      </c>
      <c r="H7" s="392">
        <v>105397.05</v>
      </c>
      <c r="I7" s="380">
        <v>196417.122697774</v>
      </c>
      <c r="J7" s="392">
        <v>9391.4</v>
      </c>
      <c r="K7" s="392">
        <v>632707.23</v>
      </c>
      <c r="L7" s="392">
        <v>223102.75</v>
      </c>
      <c r="M7" s="392">
        <v>2133860.9</v>
      </c>
      <c r="N7" s="331">
        <f t="shared" ref="N7:N69" si="0">SUM(C7:M7)</f>
        <v>19160213.442697775</v>
      </c>
      <c r="O7" s="394">
        <v>1052253.75</v>
      </c>
      <c r="P7" s="395">
        <v>494018.2</v>
      </c>
      <c r="Q7" s="395">
        <v>945379.5</v>
      </c>
      <c r="R7" s="396">
        <v>106179.46</v>
      </c>
      <c r="S7" s="375">
        <v>187505.3</v>
      </c>
      <c r="T7" s="332">
        <f t="shared" ref="T7:T69" si="1">SUM(N7:S7)</f>
        <v>21945549.652697776</v>
      </c>
      <c r="U7" s="446">
        <v>67.5</v>
      </c>
      <c r="V7" s="10">
        <v>10217</v>
      </c>
      <c r="W7" s="10">
        <v>-425703.69</v>
      </c>
      <c r="X7" s="10">
        <v>0</v>
      </c>
      <c r="Y7" s="10">
        <v>-6444.66</v>
      </c>
      <c r="Z7" s="373">
        <v>1.2</v>
      </c>
      <c r="AC7" s="371"/>
      <c r="AE7" s="400"/>
      <c r="AF7" s="400"/>
    </row>
    <row r="8" spans="1:32" x14ac:dyDescent="0.25">
      <c r="A8" s="338">
        <v>5402</v>
      </c>
      <c r="B8" s="330" t="s">
        <v>261</v>
      </c>
      <c r="C8" s="392">
        <v>8929459.8499999996</v>
      </c>
      <c r="D8" s="392">
        <v>1388175.53</v>
      </c>
      <c r="E8" s="392">
        <v>0</v>
      </c>
      <c r="F8" s="392">
        <v>0</v>
      </c>
      <c r="G8" s="392">
        <v>993378.95</v>
      </c>
      <c r="H8" s="392">
        <v>99590.7</v>
      </c>
      <c r="I8" s="380">
        <v>140285.44049544548</v>
      </c>
      <c r="J8" s="392">
        <v>56182.55</v>
      </c>
      <c r="K8" s="392">
        <v>409910.15</v>
      </c>
      <c r="L8" s="392">
        <v>96070.3</v>
      </c>
      <c r="M8" s="392">
        <v>1602073.4</v>
      </c>
      <c r="N8" s="331">
        <f t="shared" si="0"/>
        <v>13715126.870495446</v>
      </c>
      <c r="O8" s="396">
        <v>217296.4</v>
      </c>
      <c r="P8" s="396">
        <v>134600.79999999999</v>
      </c>
      <c r="Q8" s="396">
        <v>656655.69999999995</v>
      </c>
      <c r="R8" s="396">
        <v>86510.04</v>
      </c>
      <c r="S8" s="373">
        <v>347693.35</v>
      </c>
      <c r="T8" s="332">
        <f t="shared" si="1"/>
        <v>15157883.160495445</v>
      </c>
      <c r="U8" s="446">
        <v>71</v>
      </c>
      <c r="V8" s="10">
        <v>7869</v>
      </c>
      <c r="W8" s="10">
        <v>-330040.64</v>
      </c>
      <c r="X8" s="10">
        <v>0</v>
      </c>
      <c r="Y8" s="10">
        <v>-1880.06</v>
      </c>
      <c r="Z8" s="373">
        <v>1.25</v>
      </c>
      <c r="AA8" s="400"/>
      <c r="AB8" s="400"/>
      <c r="AC8" s="400"/>
      <c r="AD8" s="400"/>
      <c r="AE8" s="400"/>
      <c r="AF8" s="400"/>
    </row>
    <row r="9" spans="1:32" x14ac:dyDescent="0.25">
      <c r="A9" s="338">
        <v>5403</v>
      </c>
      <c r="B9" s="330" t="s">
        <v>111</v>
      </c>
      <c r="C9" s="392">
        <v>642007.51</v>
      </c>
      <c r="D9" s="392">
        <v>54119.58</v>
      </c>
      <c r="E9" s="392">
        <v>0</v>
      </c>
      <c r="F9" s="392">
        <v>0</v>
      </c>
      <c r="G9" s="392">
        <v>32905.550000000003</v>
      </c>
      <c r="H9" s="392">
        <v>628.79999999999995</v>
      </c>
      <c r="I9" s="380">
        <v>4304.219299665313</v>
      </c>
      <c r="J9" s="392">
        <v>0</v>
      </c>
      <c r="K9" s="392">
        <v>22271.16</v>
      </c>
      <c r="L9" s="392">
        <v>4138</v>
      </c>
      <c r="M9" s="392">
        <v>67163.399999999994</v>
      </c>
      <c r="N9" s="331">
        <f t="shared" si="0"/>
        <v>827538.21929966542</v>
      </c>
      <c r="O9" s="396">
        <v>8065.6</v>
      </c>
      <c r="P9" s="396">
        <v>13753</v>
      </c>
      <c r="Q9" s="396">
        <v>55000</v>
      </c>
      <c r="R9" s="396">
        <v>-29643.49</v>
      </c>
      <c r="S9" s="373">
        <v>26076.75</v>
      </c>
      <c r="T9" s="332">
        <f t="shared" si="1"/>
        <v>900790.07929966541</v>
      </c>
      <c r="U9" s="446">
        <v>74</v>
      </c>
      <c r="V9" s="10">
        <v>429</v>
      </c>
      <c r="W9" s="10">
        <v>-6825.71</v>
      </c>
      <c r="X9" s="10">
        <v>0</v>
      </c>
      <c r="Y9" s="10">
        <v>-25.25</v>
      </c>
      <c r="Z9" s="373">
        <v>1</v>
      </c>
      <c r="AA9" s="400"/>
      <c r="AB9" s="400"/>
      <c r="AC9" s="400"/>
      <c r="AD9" s="400"/>
      <c r="AE9" s="400"/>
      <c r="AF9" s="400"/>
    </row>
    <row r="10" spans="1:32" x14ac:dyDescent="0.25">
      <c r="A10" s="338">
        <v>5404</v>
      </c>
      <c r="B10" s="330" t="s">
        <v>112</v>
      </c>
      <c r="C10" s="392">
        <v>876846.32</v>
      </c>
      <c r="D10" s="392">
        <v>116470.62</v>
      </c>
      <c r="E10" s="392">
        <v>0</v>
      </c>
      <c r="F10" s="392">
        <v>0</v>
      </c>
      <c r="G10" s="392">
        <v>-2391</v>
      </c>
      <c r="H10" s="392">
        <v>7421.9</v>
      </c>
      <c r="I10" s="380">
        <v>645.72883848013225</v>
      </c>
      <c r="J10" s="392">
        <v>0</v>
      </c>
      <c r="K10" s="392">
        <v>2333.6799999999998</v>
      </c>
      <c r="L10" s="392">
        <v>568.04999999999995</v>
      </c>
      <c r="M10" s="392">
        <v>124887.2</v>
      </c>
      <c r="N10" s="331">
        <f t="shared" si="0"/>
        <v>1126782.4988384801</v>
      </c>
      <c r="O10" s="396">
        <v>27352.35</v>
      </c>
      <c r="P10" s="396">
        <v>111727.8</v>
      </c>
      <c r="Q10" s="396">
        <v>37406.050000000003</v>
      </c>
      <c r="R10" s="396">
        <v>-602.63</v>
      </c>
      <c r="S10" s="373">
        <v>25298.9</v>
      </c>
      <c r="T10" s="332">
        <f t="shared" si="1"/>
        <v>1327964.9688384803</v>
      </c>
      <c r="U10" s="446">
        <v>74</v>
      </c>
      <c r="V10" s="10">
        <v>437</v>
      </c>
      <c r="W10" s="10">
        <v>-4705.55</v>
      </c>
      <c r="X10" s="10">
        <v>0</v>
      </c>
      <c r="Y10" s="10">
        <v>-56.43</v>
      </c>
      <c r="Z10" s="373">
        <v>1.5</v>
      </c>
      <c r="AA10" s="400"/>
      <c r="AB10" s="400"/>
      <c r="AC10" s="400"/>
      <c r="AD10" s="400"/>
      <c r="AE10" s="400"/>
      <c r="AF10" s="400"/>
    </row>
    <row r="11" spans="1:32" x14ac:dyDescent="0.25">
      <c r="A11" s="338">
        <v>5405</v>
      </c>
      <c r="B11" s="330" t="s">
        <v>113</v>
      </c>
      <c r="C11" s="392">
        <v>3011350.77</v>
      </c>
      <c r="D11" s="392">
        <v>1102235.17</v>
      </c>
      <c r="E11" s="392">
        <v>0</v>
      </c>
      <c r="F11" s="392">
        <v>0</v>
      </c>
      <c r="G11" s="392">
        <v>20745</v>
      </c>
      <c r="H11" s="392">
        <v>6490.6</v>
      </c>
      <c r="I11" s="380">
        <v>3495.7586820070942</v>
      </c>
      <c r="J11" s="392">
        <v>202872.74</v>
      </c>
      <c r="K11" s="392">
        <v>97661.81</v>
      </c>
      <c r="L11" s="392">
        <v>12936.4</v>
      </c>
      <c r="M11" s="392">
        <v>777353.8</v>
      </c>
      <c r="N11" s="331">
        <f t="shared" si="0"/>
        <v>5235142.048682007</v>
      </c>
      <c r="O11" s="396">
        <v>0</v>
      </c>
      <c r="P11" s="396">
        <v>77324.3</v>
      </c>
      <c r="Q11" s="396">
        <v>359859.6</v>
      </c>
      <c r="R11" s="396">
        <v>8220.81</v>
      </c>
      <c r="S11" s="373">
        <v>189588</v>
      </c>
      <c r="T11" s="332">
        <f t="shared" si="1"/>
        <v>5870134.758682006</v>
      </c>
      <c r="U11" s="446">
        <v>75</v>
      </c>
      <c r="V11" s="10">
        <v>1347</v>
      </c>
      <c r="W11" s="10">
        <v>-57881.18</v>
      </c>
      <c r="X11" s="10">
        <v>0</v>
      </c>
      <c r="Y11" s="10">
        <v>-4179.3500000000004</v>
      </c>
      <c r="Z11" s="373">
        <v>1.5</v>
      </c>
      <c r="AA11" s="400"/>
      <c r="AB11" s="400"/>
      <c r="AC11" s="400"/>
      <c r="AD11" s="400"/>
      <c r="AE11" s="400"/>
      <c r="AF11" s="400"/>
    </row>
    <row r="12" spans="1:32" x14ac:dyDescent="0.25">
      <c r="A12" s="338">
        <v>5406</v>
      </c>
      <c r="B12" s="330" t="s">
        <v>114</v>
      </c>
      <c r="C12" s="392">
        <v>1205835.27</v>
      </c>
      <c r="D12" s="392">
        <v>227014.59</v>
      </c>
      <c r="E12" s="392">
        <v>0</v>
      </c>
      <c r="F12" s="392">
        <v>0</v>
      </c>
      <c r="G12" s="392">
        <v>50863</v>
      </c>
      <c r="H12" s="392">
        <v>4325.1499999999996</v>
      </c>
      <c r="I12" s="380">
        <v>7083.5397239792719</v>
      </c>
      <c r="J12" s="392">
        <v>0</v>
      </c>
      <c r="K12" s="392">
        <v>104498.74</v>
      </c>
      <c r="L12" s="392">
        <v>8692.9500000000007</v>
      </c>
      <c r="M12" s="392">
        <v>195728.25</v>
      </c>
      <c r="N12" s="331">
        <f t="shared" si="0"/>
        <v>1804041.4897239793</v>
      </c>
      <c r="O12" s="396">
        <v>3939</v>
      </c>
      <c r="P12" s="396">
        <v>2128.5</v>
      </c>
      <c r="Q12" s="396">
        <v>29459.65</v>
      </c>
      <c r="R12" s="396">
        <v>4681.1899999999996</v>
      </c>
      <c r="S12" s="373">
        <v>8837.35</v>
      </c>
      <c r="T12" s="332">
        <f t="shared" si="1"/>
        <v>1853087.1797239792</v>
      </c>
      <c r="U12" s="446">
        <v>71</v>
      </c>
      <c r="V12" s="10">
        <v>931</v>
      </c>
      <c r="W12" s="10">
        <v>-14890.62</v>
      </c>
      <c r="X12" s="10">
        <v>0</v>
      </c>
      <c r="Y12" s="10">
        <v>-3.11</v>
      </c>
      <c r="Z12" s="373">
        <v>1.3</v>
      </c>
      <c r="AA12" s="400"/>
      <c r="AB12" s="400"/>
      <c r="AC12" s="400"/>
      <c r="AD12" s="400"/>
      <c r="AE12" s="400"/>
      <c r="AF12" s="400"/>
    </row>
    <row r="13" spans="1:32" x14ac:dyDescent="0.25">
      <c r="A13" s="338">
        <v>5407</v>
      </c>
      <c r="B13" s="330" t="s">
        <v>115</v>
      </c>
      <c r="C13" s="392">
        <v>4341578.8</v>
      </c>
      <c r="D13" s="392">
        <v>1010650.81</v>
      </c>
      <c r="E13" s="392">
        <v>0</v>
      </c>
      <c r="F13" s="392">
        <v>0</v>
      </c>
      <c r="G13" s="392">
        <v>218318.4</v>
      </c>
      <c r="H13" s="392">
        <v>95313.3</v>
      </c>
      <c r="I13" s="380">
        <v>40255.428124500453</v>
      </c>
      <c r="J13" s="392">
        <v>74117.2</v>
      </c>
      <c r="K13" s="392">
        <v>446764.89</v>
      </c>
      <c r="L13" s="392">
        <v>52266</v>
      </c>
      <c r="M13" s="392">
        <v>1217618.3</v>
      </c>
      <c r="N13" s="331">
        <f t="shared" si="0"/>
        <v>7496883.1281244997</v>
      </c>
      <c r="O13" s="396">
        <v>51426.35</v>
      </c>
      <c r="P13" s="396">
        <v>83889.3</v>
      </c>
      <c r="Q13" s="396">
        <v>396072.7</v>
      </c>
      <c r="R13" s="396">
        <v>15946.56</v>
      </c>
      <c r="S13" s="373">
        <v>288269.90000000002</v>
      </c>
      <c r="T13" s="332">
        <f t="shared" si="1"/>
        <v>8332487.9381244993</v>
      </c>
      <c r="U13" s="446">
        <v>78</v>
      </c>
      <c r="V13" s="10">
        <v>3776</v>
      </c>
      <c r="W13" s="10">
        <v>-157047.9</v>
      </c>
      <c r="X13" s="10">
        <v>0</v>
      </c>
      <c r="Y13" s="10">
        <v>-8732.0300000000007</v>
      </c>
      <c r="Z13" s="373">
        <v>1.5</v>
      </c>
      <c r="AA13" s="400"/>
      <c r="AB13" s="400"/>
      <c r="AC13" s="400"/>
      <c r="AD13" s="400"/>
      <c r="AE13" s="400"/>
      <c r="AF13" s="400"/>
    </row>
    <row r="14" spans="1:32" x14ac:dyDescent="0.25">
      <c r="A14" s="338">
        <v>5408</v>
      </c>
      <c r="B14" s="330" t="s">
        <v>116</v>
      </c>
      <c r="C14" s="392">
        <v>1960810.65</v>
      </c>
      <c r="D14" s="392">
        <v>264525.67</v>
      </c>
      <c r="E14" s="392">
        <v>0</v>
      </c>
      <c r="F14" s="392">
        <v>0</v>
      </c>
      <c r="G14" s="392">
        <v>-290521.84999999998</v>
      </c>
      <c r="H14" s="392">
        <v>16085.2</v>
      </c>
      <c r="I14" s="380">
        <v>0</v>
      </c>
      <c r="J14" s="392">
        <v>0</v>
      </c>
      <c r="K14" s="392">
        <v>83964.23</v>
      </c>
      <c r="L14" s="392">
        <v>9604.5499999999993</v>
      </c>
      <c r="M14" s="392">
        <v>425669.9</v>
      </c>
      <c r="N14" s="331">
        <f t="shared" si="0"/>
        <v>2470138.3499999996</v>
      </c>
      <c r="O14" s="396">
        <v>100718.3</v>
      </c>
      <c r="P14" s="396">
        <v>491492.5</v>
      </c>
      <c r="Q14" s="396">
        <v>117584.1</v>
      </c>
      <c r="R14" s="396">
        <v>6220.45</v>
      </c>
      <c r="S14" s="373">
        <v>35558.35</v>
      </c>
      <c r="T14" s="332">
        <f t="shared" si="1"/>
        <v>3221712.05</v>
      </c>
      <c r="U14" s="446">
        <v>78.5</v>
      </c>
      <c r="V14" s="10">
        <v>1167</v>
      </c>
      <c r="W14" s="10">
        <v>-114163.6</v>
      </c>
      <c r="X14" s="10">
        <v>0</v>
      </c>
      <c r="Y14" s="10">
        <v>-1067.8599999999999</v>
      </c>
      <c r="Z14" s="373">
        <v>1.5</v>
      </c>
      <c r="AA14" s="400"/>
      <c r="AB14" s="400"/>
      <c r="AC14" s="400"/>
      <c r="AD14" s="400"/>
      <c r="AE14" s="400"/>
      <c r="AF14" s="400"/>
    </row>
    <row r="15" spans="1:32" x14ac:dyDescent="0.25">
      <c r="A15" s="338">
        <v>5409</v>
      </c>
      <c r="B15" s="330" t="s">
        <v>117</v>
      </c>
      <c r="C15" s="392">
        <v>14522325</v>
      </c>
      <c r="D15" s="392">
        <v>5841466.2699999996</v>
      </c>
      <c r="E15" s="392">
        <v>0</v>
      </c>
      <c r="F15" s="392">
        <v>0</v>
      </c>
      <c r="G15" s="392">
        <v>592098.30000000005</v>
      </c>
      <c r="H15" s="392">
        <v>86053.35</v>
      </c>
      <c r="I15" s="380">
        <v>87042.492847777772</v>
      </c>
      <c r="J15" s="392">
        <v>2522061.44</v>
      </c>
      <c r="K15" s="392">
        <v>512556.78</v>
      </c>
      <c r="L15" s="392">
        <v>136276.20000000001</v>
      </c>
      <c r="M15" s="392">
        <v>3988512.6</v>
      </c>
      <c r="N15" s="331">
        <f t="shared" si="0"/>
        <v>28288392.432847783</v>
      </c>
      <c r="O15" s="396">
        <v>57026.45</v>
      </c>
      <c r="P15" s="396">
        <v>1443070.5</v>
      </c>
      <c r="Q15" s="396">
        <v>1025804.9</v>
      </c>
      <c r="R15" s="396">
        <v>135135.74</v>
      </c>
      <c r="S15" s="373">
        <v>628395</v>
      </c>
      <c r="T15" s="332">
        <f t="shared" si="1"/>
        <v>31577825.022847779</v>
      </c>
      <c r="U15" s="446">
        <v>68</v>
      </c>
      <c r="V15" s="10">
        <v>7560</v>
      </c>
      <c r="W15" s="10">
        <v>-397634.58</v>
      </c>
      <c r="X15" s="10">
        <v>0</v>
      </c>
      <c r="Y15" s="10">
        <v>-36101.870000000003</v>
      </c>
      <c r="Z15" s="373">
        <v>1.3</v>
      </c>
      <c r="AA15" s="400"/>
      <c r="AB15" s="400"/>
      <c r="AC15" s="400"/>
      <c r="AD15" s="400"/>
      <c r="AE15" s="400"/>
      <c r="AF15" s="400"/>
    </row>
    <row r="16" spans="1:32" x14ac:dyDescent="0.25">
      <c r="A16" s="338">
        <v>5410</v>
      </c>
      <c r="B16" s="330" t="s">
        <v>129</v>
      </c>
      <c r="C16" s="392">
        <v>2020328.96</v>
      </c>
      <c r="D16" s="392">
        <v>612638.03</v>
      </c>
      <c r="E16" s="392">
        <v>0</v>
      </c>
      <c r="F16" s="392">
        <v>0</v>
      </c>
      <c r="G16" s="392">
        <v>-17546.05</v>
      </c>
      <c r="H16" s="392">
        <v>2019.75</v>
      </c>
      <c r="I16" s="380">
        <v>0</v>
      </c>
      <c r="J16" s="392">
        <v>0</v>
      </c>
      <c r="K16" s="392">
        <v>13714.41</v>
      </c>
      <c r="L16" s="392">
        <v>17073.8</v>
      </c>
      <c r="M16" s="392">
        <v>566308.79</v>
      </c>
      <c r="N16" s="331">
        <f t="shared" si="0"/>
        <v>3214537.6900000004</v>
      </c>
      <c r="O16" s="396">
        <v>3078.55</v>
      </c>
      <c r="P16" s="396">
        <v>124222.1</v>
      </c>
      <c r="Q16" s="396">
        <v>140967.4</v>
      </c>
      <c r="R16" s="396">
        <v>5526.52</v>
      </c>
      <c r="S16" s="373">
        <v>102284.6</v>
      </c>
      <c r="T16" s="332">
        <f t="shared" si="1"/>
        <v>3590616.8600000003</v>
      </c>
      <c r="U16" s="446">
        <v>78.5</v>
      </c>
      <c r="V16" s="10">
        <v>1141</v>
      </c>
      <c r="W16" s="10">
        <v>-31281.96</v>
      </c>
      <c r="X16" s="10">
        <v>0</v>
      </c>
      <c r="Y16" s="10">
        <v>-589</v>
      </c>
      <c r="Z16" s="373">
        <v>1.5</v>
      </c>
      <c r="AA16" s="400"/>
      <c r="AB16" s="400"/>
      <c r="AC16" s="400"/>
      <c r="AD16" s="400"/>
      <c r="AE16" s="400"/>
      <c r="AF16" s="400"/>
    </row>
    <row r="17" spans="1:32" x14ac:dyDescent="0.25">
      <c r="A17" s="338">
        <v>5411</v>
      </c>
      <c r="B17" s="330" t="s">
        <v>130</v>
      </c>
      <c r="C17" s="392">
        <v>3075397.54</v>
      </c>
      <c r="D17" s="392">
        <v>1326016.43</v>
      </c>
      <c r="E17" s="392">
        <v>0</v>
      </c>
      <c r="F17" s="392">
        <v>0</v>
      </c>
      <c r="G17" s="392">
        <v>67172.2</v>
      </c>
      <c r="H17" s="392">
        <v>10735.7</v>
      </c>
      <c r="I17" s="380">
        <v>9999.6775478396103</v>
      </c>
      <c r="J17" s="392">
        <v>90560.95</v>
      </c>
      <c r="K17" s="392">
        <v>154822.20000000001</v>
      </c>
      <c r="L17" s="392">
        <v>38585.800000000003</v>
      </c>
      <c r="M17" s="392">
        <v>1228066.6499999999</v>
      </c>
      <c r="N17" s="331">
        <f t="shared" si="0"/>
        <v>6001357.1475478392</v>
      </c>
      <c r="O17" s="396">
        <v>10235.85</v>
      </c>
      <c r="P17" s="396">
        <v>10374.799999999999</v>
      </c>
      <c r="Q17" s="396">
        <v>394884.65</v>
      </c>
      <c r="R17" s="396">
        <v>4312.03</v>
      </c>
      <c r="S17" s="373">
        <v>301258.34999999998</v>
      </c>
      <c r="T17" s="332">
        <f t="shared" si="1"/>
        <v>6722422.8275478389</v>
      </c>
      <c r="U17" s="446">
        <v>76</v>
      </c>
      <c r="V17" s="10">
        <v>1434</v>
      </c>
      <c r="W17" s="10">
        <v>-35936.19</v>
      </c>
      <c r="X17" s="10">
        <v>0</v>
      </c>
      <c r="Y17" s="10">
        <v>-6734.3</v>
      </c>
      <c r="Z17" s="373">
        <v>1.5</v>
      </c>
      <c r="AA17" s="400"/>
      <c r="AB17" s="400"/>
      <c r="AC17" s="400"/>
      <c r="AD17" s="400"/>
      <c r="AE17" s="400"/>
      <c r="AF17" s="400"/>
    </row>
    <row r="18" spans="1:32" x14ac:dyDescent="0.25">
      <c r="A18" s="338">
        <v>5412</v>
      </c>
      <c r="B18" s="330" t="s">
        <v>131</v>
      </c>
      <c r="C18" s="392">
        <v>1159289.17</v>
      </c>
      <c r="D18" s="392">
        <v>175233.1</v>
      </c>
      <c r="E18" s="392">
        <v>0</v>
      </c>
      <c r="F18" s="392">
        <v>0</v>
      </c>
      <c r="G18" s="392">
        <v>57578.85</v>
      </c>
      <c r="H18" s="392">
        <v>7482.35</v>
      </c>
      <c r="I18" s="380">
        <v>8350.7708573264408</v>
      </c>
      <c r="J18" s="392">
        <v>28426.65</v>
      </c>
      <c r="K18" s="392">
        <v>73851.81</v>
      </c>
      <c r="L18" s="392">
        <v>-91257</v>
      </c>
      <c r="M18" s="392">
        <v>221638.1</v>
      </c>
      <c r="N18" s="331">
        <f t="shared" si="0"/>
        <v>1640593.8008573267</v>
      </c>
      <c r="O18" s="396">
        <v>87891.6</v>
      </c>
      <c r="P18" s="396">
        <v>26.6</v>
      </c>
      <c r="Q18" s="396">
        <v>50428.7</v>
      </c>
      <c r="R18" s="396">
        <v>836.08</v>
      </c>
      <c r="S18" s="373">
        <v>14677.25</v>
      </c>
      <c r="T18" s="332">
        <f t="shared" si="1"/>
        <v>1794454.0308573269</v>
      </c>
      <c r="U18" s="446">
        <v>67.5</v>
      </c>
      <c r="V18" s="10">
        <v>871</v>
      </c>
      <c r="W18" s="10">
        <v>-33724.94</v>
      </c>
      <c r="X18" s="10">
        <v>0</v>
      </c>
      <c r="Y18" s="10">
        <v>-266.41000000000003</v>
      </c>
      <c r="Z18" s="373">
        <v>1</v>
      </c>
      <c r="AA18" s="400"/>
      <c r="AB18" s="400"/>
      <c r="AC18" s="400"/>
      <c r="AD18" s="400"/>
      <c r="AE18" s="400"/>
      <c r="AF18" s="400"/>
    </row>
    <row r="19" spans="1:32" x14ac:dyDescent="0.25">
      <c r="A19" s="338">
        <v>5413</v>
      </c>
      <c r="B19" s="330" t="s">
        <v>132</v>
      </c>
      <c r="C19" s="392">
        <v>2277154.61</v>
      </c>
      <c r="D19" s="392">
        <v>243532.53</v>
      </c>
      <c r="E19" s="392">
        <v>0</v>
      </c>
      <c r="F19" s="392">
        <v>0</v>
      </c>
      <c r="G19" s="392">
        <v>178572.9</v>
      </c>
      <c r="H19" s="392">
        <v>5636.75</v>
      </c>
      <c r="I19" s="380">
        <v>23643.778117500191</v>
      </c>
      <c r="J19" s="392">
        <v>0</v>
      </c>
      <c r="K19" s="392">
        <v>68862.320000000007</v>
      </c>
      <c r="L19" s="392">
        <v>23441.45</v>
      </c>
      <c r="M19" s="392">
        <v>299789.45</v>
      </c>
      <c r="N19" s="331">
        <f t="shared" si="0"/>
        <v>3120633.7881175</v>
      </c>
      <c r="O19" s="396">
        <v>244007.9</v>
      </c>
      <c r="P19" s="396">
        <v>231</v>
      </c>
      <c r="Q19" s="396">
        <v>327453.7</v>
      </c>
      <c r="R19" s="396">
        <v>33572.480000000003</v>
      </c>
      <c r="S19" s="373">
        <v>66952.850000000006</v>
      </c>
      <c r="T19" s="332">
        <f t="shared" si="1"/>
        <v>3792851.7181175002</v>
      </c>
      <c r="U19" s="446">
        <v>68</v>
      </c>
      <c r="V19" s="10">
        <v>1826</v>
      </c>
      <c r="W19" s="10">
        <v>-68390.070000000007</v>
      </c>
      <c r="X19" s="10">
        <v>0</v>
      </c>
      <c r="Y19" s="10">
        <v>-371.17</v>
      </c>
      <c r="Z19" s="373">
        <v>1.2</v>
      </c>
      <c r="AA19" s="400"/>
      <c r="AB19" s="400"/>
      <c r="AC19" s="400"/>
      <c r="AD19" s="400"/>
      <c r="AE19" s="400"/>
      <c r="AF19" s="400"/>
    </row>
    <row r="20" spans="1:32" x14ac:dyDescent="0.25">
      <c r="A20" s="338">
        <v>5414</v>
      </c>
      <c r="B20" s="330" t="s">
        <v>133</v>
      </c>
      <c r="C20" s="392">
        <v>7815885</v>
      </c>
      <c r="D20" s="392">
        <v>1131470.8700000001</v>
      </c>
      <c r="E20" s="392">
        <v>0</v>
      </c>
      <c r="F20" s="392">
        <v>0</v>
      </c>
      <c r="G20" s="392">
        <v>597579.05000000005</v>
      </c>
      <c r="H20" s="392">
        <v>185378.55</v>
      </c>
      <c r="I20" s="380">
        <v>100494.60367472858</v>
      </c>
      <c r="J20" s="392">
        <v>164001.5</v>
      </c>
      <c r="K20" s="392">
        <v>437088.12</v>
      </c>
      <c r="L20" s="392">
        <v>138327.25</v>
      </c>
      <c r="M20" s="392">
        <v>1193497.25</v>
      </c>
      <c r="N20" s="331">
        <f t="shared" si="0"/>
        <v>11763722.19367473</v>
      </c>
      <c r="O20" s="396">
        <v>1426833.65</v>
      </c>
      <c r="P20" s="396">
        <v>271325.8</v>
      </c>
      <c r="Q20" s="396">
        <v>664996.65</v>
      </c>
      <c r="R20" s="396">
        <v>34945.19</v>
      </c>
      <c r="S20" s="373">
        <v>866142.95</v>
      </c>
      <c r="T20" s="332">
        <f t="shared" si="1"/>
        <v>15027966.43367473</v>
      </c>
      <c r="U20" s="446">
        <v>69</v>
      </c>
      <c r="V20" s="10">
        <v>5772</v>
      </c>
      <c r="W20" s="10">
        <v>-328345.98</v>
      </c>
      <c r="X20" s="10">
        <v>0</v>
      </c>
      <c r="Y20" s="10">
        <v>-14003.67</v>
      </c>
      <c r="Z20" s="373">
        <v>1</v>
      </c>
      <c r="AA20" s="400"/>
      <c r="AB20" s="400"/>
      <c r="AC20" s="400"/>
      <c r="AD20" s="400"/>
      <c r="AE20" s="400"/>
      <c r="AF20" s="400"/>
    </row>
    <row r="21" spans="1:32" x14ac:dyDescent="0.25">
      <c r="A21" s="338">
        <v>5415</v>
      </c>
      <c r="B21" s="330" t="s">
        <v>72</v>
      </c>
      <c r="C21" s="392">
        <v>2043094.37</v>
      </c>
      <c r="D21" s="392">
        <v>325683.84000000003</v>
      </c>
      <c r="E21" s="392">
        <v>0</v>
      </c>
      <c r="F21" s="392">
        <v>0</v>
      </c>
      <c r="G21" s="392">
        <v>146364</v>
      </c>
      <c r="H21" s="392">
        <v>4516.3500000000004</v>
      </c>
      <c r="I21" s="380">
        <v>19365.877507995752</v>
      </c>
      <c r="J21" s="392">
        <v>1121.4000000000001</v>
      </c>
      <c r="K21" s="392">
        <v>51598.99</v>
      </c>
      <c r="L21" s="392">
        <v>10326.35</v>
      </c>
      <c r="M21" s="392">
        <v>327192.2</v>
      </c>
      <c r="N21" s="331">
        <f t="shared" si="0"/>
        <v>2929263.3775079963</v>
      </c>
      <c r="O21" s="396">
        <v>18151.900000000001</v>
      </c>
      <c r="P21" s="396">
        <v>397.5</v>
      </c>
      <c r="Q21" s="396">
        <v>106142.2</v>
      </c>
      <c r="R21" s="396">
        <v>12441.37</v>
      </c>
      <c r="S21" s="373">
        <v>258291.5</v>
      </c>
      <c r="T21" s="332">
        <f t="shared" si="1"/>
        <v>3324687.8475079965</v>
      </c>
      <c r="U21" s="446">
        <v>71.5</v>
      </c>
      <c r="V21" s="10">
        <v>1071</v>
      </c>
      <c r="W21" s="10">
        <v>-32960.74</v>
      </c>
      <c r="X21" s="10">
        <v>0</v>
      </c>
      <c r="Y21" s="10">
        <v>-2373.23</v>
      </c>
      <c r="Z21" s="373">
        <v>1.5</v>
      </c>
      <c r="AA21" s="400"/>
      <c r="AB21" s="400"/>
      <c r="AC21" s="400"/>
      <c r="AD21" s="400"/>
      <c r="AE21" s="400"/>
      <c r="AF21" s="400"/>
    </row>
    <row r="22" spans="1:32" x14ac:dyDescent="0.25">
      <c r="A22" s="338">
        <v>5421</v>
      </c>
      <c r="B22" s="330" t="s">
        <v>73</v>
      </c>
      <c r="C22" s="392">
        <v>3785822.16</v>
      </c>
      <c r="D22" s="392">
        <v>670612.32999999996</v>
      </c>
      <c r="E22" s="392">
        <v>0</v>
      </c>
      <c r="F22" s="392">
        <v>0</v>
      </c>
      <c r="G22" s="392">
        <v>146500.5</v>
      </c>
      <c r="H22" s="392">
        <v>83025.5</v>
      </c>
      <c r="I22" s="380">
        <v>29460.247148818471</v>
      </c>
      <c r="J22" s="392">
        <v>207722.4</v>
      </c>
      <c r="K22" s="392">
        <v>210910.43</v>
      </c>
      <c r="L22" s="392">
        <v>13150.65</v>
      </c>
      <c r="M22" s="392">
        <v>293890.75</v>
      </c>
      <c r="N22" s="331">
        <f t="shared" si="0"/>
        <v>5441094.967148819</v>
      </c>
      <c r="O22" s="396">
        <v>26298.5</v>
      </c>
      <c r="P22" s="396">
        <v>69311.8</v>
      </c>
      <c r="Q22" s="396">
        <v>149504.20000000001</v>
      </c>
      <c r="R22" s="396">
        <v>1193.06</v>
      </c>
      <c r="S22" s="373">
        <v>158133.5</v>
      </c>
      <c r="T22" s="332">
        <f t="shared" si="1"/>
        <v>5845536.0271488186</v>
      </c>
      <c r="U22" s="446">
        <v>76</v>
      </c>
      <c r="V22" s="10">
        <v>1460</v>
      </c>
      <c r="W22" s="10">
        <v>-80921.87</v>
      </c>
      <c r="X22" s="10">
        <v>0</v>
      </c>
      <c r="Y22" s="10">
        <v>-3935.15</v>
      </c>
      <c r="Z22" s="373">
        <v>1</v>
      </c>
      <c r="AA22" s="400"/>
      <c r="AB22" s="400"/>
      <c r="AC22" s="400"/>
      <c r="AD22" s="400"/>
      <c r="AE22" s="400"/>
      <c r="AF22" s="400"/>
    </row>
    <row r="23" spans="1:32" x14ac:dyDescent="0.25">
      <c r="A23" s="338">
        <v>5422</v>
      </c>
      <c r="B23" s="330" t="s">
        <v>74</v>
      </c>
      <c r="C23" s="392">
        <v>10355337.149999991</v>
      </c>
      <c r="D23" s="392">
        <v>1684044.26</v>
      </c>
      <c r="E23" s="392">
        <v>0</v>
      </c>
      <c r="F23" s="392">
        <v>0</v>
      </c>
      <c r="G23" s="392">
        <v>2594625.4</v>
      </c>
      <c r="H23" s="392">
        <v>414152.25</v>
      </c>
      <c r="I23" s="380">
        <v>386184.28058190033</v>
      </c>
      <c r="J23" s="392">
        <v>341926.40000000002</v>
      </c>
      <c r="K23" s="392">
        <v>444342.39</v>
      </c>
      <c r="L23" s="392">
        <v>143821.79999999999</v>
      </c>
      <c r="M23" s="392">
        <v>1082146.8</v>
      </c>
      <c r="N23" s="331">
        <f t="shared" si="0"/>
        <v>17446580.730581895</v>
      </c>
      <c r="O23" s="396">
        <v>905909.6</v>
      </c>
      <c r="P23" s="396">
        <v>338748</v>
      </c>
      <c r="Q23" s="396">
        <v>320488.8</v>
      </c>
      <c r="R23" s="396">
        <v>46593.159999999996</v>
      </c>
      <c r="S23" s="373">
        <v>252598.15</v>
      </c>
      <c r="T23" s="332">
        <f t="shared" si="1"/>
        <v>19310918.440581895</v>
      </c>
      <c r="U23" s="455">
        <v>70.52</v>
      </c>
      <c r="V23" s="10">
        <v>3817</v>
      </c>
      <c r="W23" s="10">
        <v>-175532.24</v>
      </c>
      <c r="X23" s="10">
        <v>0</v>
      </c>
      <c r="Y23" s="10">
        <v>-9432.64</v>
      </c>
      <c r="Z23" s="373">
        <v>1</v>
      </c>
      <c r="AA23" s="400"/>
      <c r="AB23" s="400"/>
      <c r="AC23" s="400"/>
      <c r="AD23" s="400"/>
      <c r="AE23" s="400"/>
      <c r="AF23" s="400"/>
    </row>
    <row r="24" spans="1:32" x14ac:dyDescent="0.25">
      <c r="A24" s="338">
        <v>5423</v>
      </c>
      <c r="B24" s="330" t="s">
        <v>75</v>
      </c>
      <c r="C24" s="392">
        <v>1005834.53</v>
      </c>
      <c r="D24" s="392">
        <v>130595.98</v>
      </c>
      <c r="E24" s="392">
        <v>0</v>
      </c>
      <c r="F24" s="392">
        <v>2740</v>
      </c>
      <c r="G24" s="392">
        <v>47468.65</v>
      </c>
      <c r="H24" s="392">
        <v>1657</v>
      </c>
      <c r="I24" s="380">
        <v>6305.4023960089671</v>
      </c>
      <c r="J24" s="392">
        <v>0</v>
      </c>
      <c r="K24" s="392">
        <v>51188.04</v>
      </c>
      <c r="L24" s="392">
        <v>1932.85</v>
      </c>
      <c r="M24" s="392">
        <v>39220.25</v>
      </c>
      <c r="N24" s="331">
        <f t="shared" si="0"/>
        <v>1286942.7023960091</v>
      </c>
      <c r="O24" s="396">
        <v>33405.599999999999</v>
      </c>
      <c r="P24" s="396">
        <v>0</v>
      </c>
      <c r="Q24" s="396">
        <v>53755.5</v>
      </c>
      <c r="R24" s="396">
        <v>243.38</v>
      </c>
      <c r="S24" s="373">
        <v>26298.799999999999</v>
      </c>
      <c r="T24" s="332">
        <f t="shared" si="1"/>
        <v>1400645.9823960091</v>
      </c>
      <c r="U24" s="446">
        <v>73</v>
      </c>
      <c r="V24" s="10">
        <v>545</v>
      </c>
      <c r="W24" s="10">
        <v>-134669.19</v>
      </c>
      <c r="X24" s="10">
        <v>0</v>
      </c>
      <c r="Y24" s="10">
        <v>-393.83</v>
      </c>
      <c r="Z24" s="373">
        <v>0.5</v>
      </c>
      <c r="AA24" s="400"/>
      <c r="AB24" s="400"/>
      <c r="AC24" s="400"/>
      <c r="AD24" s="400"/>
      <c r="AE24" s="400"/>
      <c r="AF24" s="400"/>
    </row>
    <row r="25" spans="1:32" x14ac:dyDescent="0.25">
      <c r="A25" s="338">
        <v>5424</v>
      </c>
      <c r="B25" s="330" t="s">
        <v>76</v>
      </c>
      <c r="C25" s="392">
        <v>575056.89</v>
      </c>
      <c r="D25" s="392">
        <v>55766.479999999901</v>
      </c>
      <c r="E25" s="392">
        <v>0</v>
      </c>
      <c r="F25" s="392">
        <v>0</v>
      </c>
      <c r="G25" s="392">
        <v>-1629.75</v>
      </c>
      <c r="H25" s="392">
        <v>677.6</v>
      </c>
      <c r="I25" s="380">
        <v>0</v>
      </c>
      <c r="J25" s="392">
        <v>30045.05</v>
      </c>
      <c r="K25" s="392">
        <v>14473.74</v>
      </c>
      <c r="L25" s="392">
        <v>766</v>
      </c>
      <c r="M25" s="392">
        <v>50145</v>
      </c>
      <c r="N25" s="331">
        <f t="shared" si="0"/>
        <v>725301.00999999989</v>
      </c>
      <c r="O25" s="396">
        <v>0</v>
      </c>
      <c r="P25" s="396">
        <v>0</v>
      </c>
      <c r="Q25" s="396">
        <v>5830</v>
      </c>
      <c r="R25" s="396">
        <v>2304.5700000000002</v>
      </c>
      <c r="S25" s="373">
        <v>4673.8999999999996</v>
      </c>
      <c r="T25" s="332">
        <f t="shared" si="1"/>
        <v>738109.47999999986</v>
      </c>
      <c r="U25" s="446">
        <v>77</v>
      </c>
      <c r="V25" s="10">
        <v>300</v>
      </c>
      <c r="W25" s="10">
        <v>-13155.55</v>
      </c>
      <c r="X25" s="10">
        <v>0</v>
      </c>
      <c r="Y25" s="10">
        <v>0</v>
      </c>
      <c r="Z25" s="373">
        <v>1</v>
      </c>
      <c r="AA25" s="400"/>
      <c r="AB25" s="400"/>
      <c r="AC25" s="400"/>
      <c r="AD25" s="400"/>
      <c r="AE25" s="400"/>
      <c r="AF25" s="400"/>
    </row>
    <row r="26" spans="1:32" x14ac:dyDescent="0.25">
      <c r="A26" s="338">
        <v>5425</v>
      </c>
      <c r="B26" s="330" t="s">
        <v>77</v>
      </c>
      <c r="C26" s="392">
        <v>2061875.52</v>
      </c>
      <c r="D26" s="392">
        <v>247348.07</v>
      </c>
      <c r="E26" s="392">
        <v>0</v>
      </c>
      <c r="F26" s="392">
        <v>0</v>
      </c>
      <c r="G26" s="392">
        <v>93672.25</v>
      </c>
      <c r="H26" s="392">
        <v>2058.25</v>
      </c>
      <c r="I26" s="380">
        <v>12287.253686641019</v>
      </c>
      <c r="J26" s="392">
        <v>0</v>
      </c>
      <c r="K26" s="392">
        <v>149097.46</v>
      </c>
      <c r="L26" s="392">
        <v>14618.2</v>
      </c>
      <c r="M26" s="392">
        <v>116694.85</v>
      </c>
      <c r="N26" s="331">
        <f t="shared" si="0"/>
        <v>2697651.853686641</v>
      </c>
      <c r="O26" s="396">
        <v>59876.55</v>
      </c>
      <c r="P26" s="396">
        <v>29340.1</v>
      </c>
      <c r="Q26" s="396">
        <v>215386.05</v>
      </c>
      <c r="R26" s="396">
        <v>23735.45</v>
      </c>
      <c r="S26" s="373">
        <v>59819.3</v>
      </c>
      <c r="T26" s="332">
        <f t="shared" si="1"/>
        <v>3085809.3036866407</v>
      </c>
      <c r="U26" s="446">
        <v>70</v>
      </c>
      <c r="V26" s="10">
        <v>1596</v>
      </c>
      <c r="W26" s="10">
        <v>-50620.28</v>
      </c>
      <c r="X26" s="10">
        <v>0</v>
      </c>
      <c r="Y26" s="10">
        <v>-67.75</v>
      </c>
      <c r="Z26" s="373">
        <v>0.57999999999999996</v>
      </c>
      <c r="AA26" s="400"/>
      <c r="AB26" s="400"/>
      <c r="AC26" s="400"/>
      <c r="AD26" s="400"/>
      <c r="AE26" s="400"/>
      <c r="AF26" s="400"/>
    </row>
    <row r="27" spans="1:32" x14ac:dyDescent="0.25">
      <c r="A27" s="338">
        <v>5426</v>
      </c>
      <c r="B27" s="330" t="s">
        <v>71</v>
      </c>
      <c r="C27" s="392">
        <v>2043600.42</v>
      </c>
      <c r="D27" s="392">
        <v>440790.86</v>
      </c>
      <c r="E27" s="392">
        <v>0</v>
      </c>
      <c r="F27" s="392">
        <v>0</v>
      </c>
      <c r="G27" s="392">
        <v>987.35</v>
      </c>
      <c r="H27" s="392">
        <v>2423.3000000000002</v>
      </c>
      <c r="I27" s="380">
        <v>437.76562105433692</v>
      </c>
      <c r="J27" s="392">
        <v>691095.95</v>
      </c>
      <c r="K27" s="392">
        <v>3803.67</v>
      </c>
      <c r="L27" s="392">
        <v>6336.3</v>
      </c>
      <c r="M27" s="392">
        <v>288747.09999999998</v>
      </c>
      <c r="N27" s="331">
        <f t="shared" si="0"/>
        <v>3478222.7156210537</v>
      </c>
      <c r="O27" s="396">
        <v>720.4</v>
      </c>
      <c r="P27" s="396">
        <v>54938.9</v>
      </c>
      <c r="Q27" s="396">
        <v>126338.5</v>
      </c>
      <c r="R27" s="396">
        <v>7285.12</v>
      </c>
      <c r="S27" s="373">
        <v>134028.35</v>
      </c>
      <c r="T27" s="332">
        <f t="shared" si="1"/>
        <v>3801533.9856210537</v>
      </c>
      <c r="U27" s="446">
        <v>66</v>
      </c>
      <c r="V27" s="10">
        <v>475</v>
      </c>
      <c r="W27" s="10">
        <v>-2403.56</v>
      </c>
      <c r="X27" s="10">
        <v>0</v>
      </c>
      <c r="Y27" s="10">
        <v>-4687.6000000000004</v>
      </c>
      <c r="Z27" s="373">
        <v>1.2</v>
      </c>
      <c r="AA27" s="400"/>
      <c r="AB27" s="400"/>
      <c r="AC27" s="400"/>
      <c r="AD27" s="400"/>
      <c r="AE27" s="400"/>
      <c r="AF27" s="400"/>
    </row>
    <row r="28" spans="1:32" x14ac:dyDescent="0.25">
      <c r="A28" s="338">
        <v>5427</v>
      </c>
      <c r="B28" s="330" t="s">
        <v>341</v>
      </c>
      <c r="C28" s="392">
        <v>3611717.66</v>
      </c>
      <c r="D28" s="392">
        <v>1164774.55</v>
      </c>
      <c r="E28" s="392">
        <v>0</v>
      </c>
      <c r="F28" s="392">
        <v>0</v>
      </c>
      <c r="G28" s="392">
        <v>44843.85</v>
      </c>
      <c r="H28" s="392">
        <v>4794.75</v>
      </c>
      <c r="I28" s="380">
        <v>6371.2408359895644</v>
      </c>
      <c r="J28" s="392">
        <v>418429.95</v>
      </c>
      <c r="K28" s="392">
        <v>-49640.51</v>
      </c>
      <c r="L28" s="392">
        <v>3924.95</v>
      </c>
      <c r="M28" s="392">
        <v>454015.6</v>
      </c>
      <c r="N28" s="331">
        <f t="shared" si="0"/>
        <v>5659232.0408359896</v>
      </c>
      <c r="O28" s="396">
        <v>12002.5</v>
      </c>
      <c r="P28" s="396">
        <v>25012</v>
      </c>
      <c r="Q28" s="396">
        <v>290164.34999999998</v>
      </c>
      <c r="R28" s="396">
        <v>610.20000000000005</v>
      </c>
      <c r="S28" s="373">
        <v>145347</v>
      </c>
      <c r="T28" s="332">
        <f t="shared" si="1"/>
        <v>6132368.0908359895</v>
      </c>
      <c r="U28" s="446">
        <v>64</v>
      </c>
      <c r="V28" s="10">
        <v>861</v>
      </c>
      <c r="W28" s="10">
        <v>-6647.5</v>
      </c>
      <c r="X28" s="10">
        <v>0</v>
      </c>
      <c r="Y28" s="10">
        <v>0</v>
      </c>
      <c r="Z28" s="373">
        <v>1.3</v>
      </c>
      <c r="AA28" s="400"/>
      <c r="AB28" s="400"/>
      <c r="AC28" s="400"/>
      <c r="AD28" s="400"/>
      <c r="AE28" s="400"/>
      <c r="AF28" s="400"/>
    </row>
    <row r="29" spans="1:32" x14ac:dyDescent="0.25">
      <c r="A29" s="338">
        <v>5428</v>
      </c>
      <c r="B29" s="330" t="s">
        <v>342</v>
      </c>
      <c r="C29" s="392">
        <v>3733936.26</v>
      </c>
      <c r="D29" s="392">
        <v>468449.13</v>
      </c>
      <c r="E29" s="392">
        <v>0</v>
      </c>
      <c r="F29" s="392">
        <v>0</v>
      </c>
      <c r="G29" s="392">
        <v>253087.1</v>
      </c>
      <c r="H29" s="392">
        <v>5003.1000000000004</v>
      </c>
      <c r="I29" s="380">
        <v>33126.53502735198</v>
      </c>
      <c r="J29" s="392">
        <v>-21355</v>
      </c>
      <c r="K29" s="392">
        <v>158174.44</v>
      </c>
      <c r="L29" s="392">
        <v>11690.15</v>
      </c>
      <c r="M29" s="392">
        <v>440026.65</v>
      </c>
      <c r="N29" s="331">
        <f t="shared" si="0"/>
        <v>5082138.3650273522</v>
      </c>
      <c r="O29" s="396">
        <v>226233.85</v>
      </c>
      <c r="P29" s="396">
        <v>19249</v>
      </c>
      <c r="Q29" s="396">
        <v>223194</v>
      </c>
      <c r="R29" s="396">
        <v>8131.04</v>
      </c>
      <c r="S29" s="373">
        <v>120076.25</v>
      </c>
      <c r="T29" s="332">
        <f t="shared" si="1"/>
        <v>5679022.5050273519</v>
      </c>
      <c r="U29" s="446">
        <v>74.5</v>
      </c>
      <c r="V29" s="10">
        <v>2238</v>
      </c>
      <c r="W29" s="10">
        <v>-80876.649999999994</v>
      </c>
      <c r="X29" s="10">
        <v>0</v>
      </c>
      <c r="Y29" s="10">
        <v>-547.26</v>
      </c>
      <c r="Z29" s="373">
        <v>1.2</v>
      </c>
      <c r="AA29" s="400"/>
      <c r="AB29" s="400"/>
      <c r="AC29" s="400"/>
      <c r="AD29" s="400"/>
      <c r="AE29" s="400"/>
      <c r="AF29" s="400"/>
    </row>
    <row r="30" spans="1:32" x14ac:dyDescent="0.25">
      <c r="A30" s="338">
        <v>5429</v>
      </c>
      <c r="B30" s="330" t="s">
        <v>362</v>
      </c>
      <c r="C30" s="392">
        <v>1000212.95</v>
      </c>
      <c r="D30" s="392">
        <v>135257.04999999999</v>
      </c>
      <c r="E30" s="392">
        <v>0</v>
      </c>
      <c r="F30" s="392">
        <v>0</v>
      </c>
      <c r="G30" s="392">
        <v>-3265.4</v>
      </c>
      <c r="H30" s="392">
        <v>7219.7</v>
      </c>
      <c r="I30" s="380">
        <v>507.54448428750072</v>
      </c>
      <c r="J30" s="392">
        <v>0</v>
      </c>
      <c r="K30" s="392">
        <v>6679.09</v>
      </c>
      <c r="L30" s="392">
        <v>1954.8</v>
      </c>
      <c r="M30" s="392">
        <v>98330.8</v>
      </c>
      <c r="N30" s="331">
        <f t="shared" si="0"/>
        <v>1246896.5344842877</v>
      </c>
      <c r="O30" s="396">
        <v>0</v>
      </c>
      <c r="P30" s="396">
        <v>5504</v>
      </c>
      <c r="Q30" s="396">
        <v>37475.699999999997</v>
      </c>
      <c r="R30" s="396">
        <v>0</v>
      </c>
      <c r="S30" s="373">
        <v>33964.35</v>
      </c>
      <c r="T30" s="332">
        <f t="shared" si="1"/>
        <v>1323840.5844842878</v>
      </c>
      <c r="U30" s="446">
        <v>81</v>
      </c>
      <c r="V30" s="10">
        <v>482</v>
      </c>
      <c r="W30" s="10">
        <v>-7575.32</v>
      </c>
      <c r="X30" s="10">
        <v>0</v>
      </c>
      <c r="Y30" s="10">
        <v>-38.270000000000003</v>
      </c>
      <c r="Z30" s="373">
        <v>1</v>
      </c>
      <c r="AA30" s="400"/>
      <c r="AB30" s="400"/>
      <c r="AC30" s="400"/>
      <c r="AD30" s="400"/>
      <c r="AE30" s="400"/>
      <c r="AF30" s="400"/>
    </row>
    <row r="31" spans="1:32" x14ac:dyDescent="0.25">
      <c r="A31" s="338">
        <v>5430</v>
      </c>
      <c r="B31" s="330" t="s">
        <v>363</v>
      </c>
      <c r="C31" s="392">
        <v>930733.9</v>
      </c>
      <c r="D31" s="392">
        <v>129703.43</v>
      </c>
      <c r="E31" s="392">
        <v>0</v>
      </c>
      <c r="F31" s="392">
        <v>0</v>
      </c>
      <c r="G31" s="392">
        <v>44753</v>
      </c>
      <c r="H31" s="392">
        <v>2240.65</v>
      </c>
      <c r="I31" s="380">
        <v>6031.7547616613074</v>
      </c>
      <c r="J31" s="392">
        <v>0</v>
      </c>
      <c r="K31" s="392">
        <v>11615.48</v>
      </c>
      <c r="L31" s="392">
        <v>1059.8</v>
      </c>
      <c r="M31" s="392">
        <v>86256.7</v>
      </c>
      <c r="N31" s="331">
        <f t="shared" si="0"/>
        <v>1212394.7147616614</v>
      </c>
      <c r="O31" s="396">
        <v>6850.45</v>
      </c>
      <c r="P31" s="396">
        <v>0</v>
      </c>
      <c r="Q31" s="396">
        <v>45692.45</v>
      </c>
      <c r="R31" s="396">
        <v>1302.25</v>
      </c>
      <c r="S31" s="373">
        <v>9945.85</v>
      </c>
      <c r="T31" s="332">
        <f t="shared" si="1"/>
        <v>1276185.7147616614</v>
      </c>
      <c r="U31" s="446">
        <v>79</v>
      </c>
      <c r="V31" s="10">
        <v>472</v>
      </c>
      <c r="W31" s="10">
        <v>-37073.4</v>
      </c>
      <c r="X31" s="10">
        <v>0</v>
      </c>
      <c r="Y31" s="10">
        <v>-146.71</v>
      </c>
      <c r="Z31" s="373">
        <v>1</v>
      </c>
      <c r="AA31" s="400"/>
      <c r="AB31" s="400"/>
      <c r="AC31" s="400"/>
      <c r="AD31" s="400"/>
      <c r="AE31" s="400"/>
      <c r="AF31" s="400"/>
    </row>
    <row r="32" spans="1:32" x14ac:dyDescent="0.25">
      <c r="A32" s="338">
        <v>5431</v>
      </c>
      <c r="B32" s="330" t="s">
        <v>364</v>
      </c>
      <c r="C32" s="392">
        <v>624586.41</v>
      </c>
      <c r="D32" s="392">
        <v>79211.02</v>
      </c>
      <c r="E32" s="392">
        <v>0</v>
      </c>
      <c r="F32" s="392">
        <v>0</v>
      </c>
      <c r="G32" s="392">
        <v>1107.9000000000001</v>
      </c>
      <c r="H32" s="392">
        <v>334.8</v>
      </c>
      <c r="I32" s="380">
        <v>185.17422236086722</v>
      </c>
      <c r="J32" s="392">
        <v>0</v>
      </c>
      <c r="K32" s="392">
        <v>32397.55</v>
      </c>
      <c r="L32" s="392">
        <v>833.85</v>
      </c>
      <c r="M32" s="392">
        <v>51016.95</v>
      </c>
      <c r="N32" s="331">
        <f t="shared" si="0"/>
        <v>789673.65422236093</v>
      </c>
      <c r="O32" s="396">
        <v>292.05</v>
      </c>
      <c r="P32" s="396">
        <v>0</v>
      </c>
      <c r="Q32" s="396">
        <v>33492.400000000001</v>
      </c>
      <c r="R32" s="396">
        <v>1206.43</v>
      </c>
      <c r="S32" s="373">
        <v>82844.649999999994</v>
      </c>
      <c r="T32" s="332">
        <f t="shared" si="1"/>
        <v>907509.18422236107</v>
      </c>
      <c r="U32" s="446">
        <v>74</v>
      </c>
      <c r="V32" s="10">
        <v>308</v>
      </c>
      <c r="W32" s="10">
        <v>-4344.3999999999996</v>
      </c>
      <c r="X32" s="10">
        <v>0</v>
      </c>
      <c r="Y32" s="10">
        <v>-169.91</v>
      </c>
      <c r="Z32" s="373">
        <v>1</v>
      </c>
      <c r="AA32" s="400"/>
      <c r="AB32" s="400"/>
      <c r="AC32" s="400"/>
      <c r="AD32" s="400"/>
      <c r="AE32" s="400"/>
      <c r="AF32" s="400"/>
    </row>
    <row r="33" spans="1:32" x14ac:dyDescent="0.25">
      <c r="A33" s="338">
        <v>5434</v>
      </c>
      <c r="B33" s="330" t="s">
        <v>365</v>
      </c>
      <c r="C33" s="392">
        <v>2551543.2599999998</v>
      </c>
      <c r="D33" s="392">
        <v>0</v>
      </c>
      <c r="E33" s="392">
        <v>0</v>
      </c>
      <c r="F33" s="392">
        <v>0</v>
      </c>
      <c r="G33" s="392">
        <v>2628.9</v>
      </c>
      <c r="H33" s="392">
        <v>4720.8500000000004</v>
      </c>
      <c r="I33" s="380">
        <v>943.35914659789557</v>
      </c>
      <c r="J33" s="392">
        <v>0</v>
      </c>
      <c r="K33" s="392">
        <v>52188.42</v>
      </c>
      <c r="L33" s="392">
        <v>3172.2</v>
      </c>
      <c r="M33" s="392">
        <v>277062.55</v>
      </c>
      <c r="N33" s="331">
        <f t="shared" si="0"/>
        <v>2892259.5391465975</v>
      </c>
      <c r="O33" s="396">
        <v>31108.400000000001</v>
      </c>
      <c r="P33" s="396">
        <v>1000</v>
      </c>
      <c r="Q33" s="396">
        <v>115494.5</v>
      </c>
      <c r="R33" s="396">
        <v>0</v>
      </c>
      <c r="S33" s="373">
        <v>95482.75</v>
      </c>
      <c r="T33" s="332">
        <f t="shared" si="1"/>
        <v>3135345.1891465974</v>
      </c>
      <c r="U33" s="446">
        <v>71</v>
      </c>
      <c r="V33" s="10">
        <v>1063</v>
      </c>
      <c r="W33" s="10">
        <v>-16799.5</v>
      </c>
      <c r="X33" s="10">
        <v>0</v>
      </c>
      <c r="Y33" s="10">
        <v>0</v>
      </c>
      <c r="Z33" s="373">
        <v>1.2</v>
      </c>
      <c r="AA33" s="400"/>
      <c r="AB33" s="400"/>
      <c r="AC33" s="400"/>
      <c r="AD33" s="400"/>
      <c r="AE33" s="400"/>
      <c r="AF33" s="400"/>
    </row>
    <row r="34" spans="1:32" x14ac:dyDescent="0.25">
      <c r="A34" s="338">
        <v>5435</v>
      </c>
      <c r="B34" s="330" t="s">
        <v>343</v>
      </c>
      <c r="C34" s="392">
        <v>1383439.89</v>
      </c>
      <c r="D34" s="392">
        <v>150094.76999999999</v>
      </c>
      <c r="E34" s="392">
        <v>0</v>
      </c>
      <c r="F34" s="392">
        <v>0</v>
      </c>
      <c r="G34" s="392">
        <v>-2703.45</v>
      </c>
      <c r="H34" s="392">
        <v>384.8</v>
      </c>
      <c r="I34" s="380">
        <v>0</v>
      </c>
      <c r="J34" s="392">
        <v>0</v>
      </c>
      <c r="K34" s="392">
        <v>40445.19</v>
      </c>
      <c r="L34" s="392">
        <v>0</v>
      </c>
      <c r="M34" s="392">
        <v>123320.5</v>
      </c>
      <c r="N34" s="331">
        <f t="shared" si="0"/>
        <v>1694981.7</v>
      </c>
      <c r="O34" s="396">
        <v>1807.7</v>
      </c>
      <c r="P34" s="396">
        <v>0</v>
      </c>
      <c r="Q34" s="396">
        <v>30489.4</v>
      </c>
      <c r="R34" s="396">
        <v>15215.4</v>
      </c>
      <c r="S34" s="373">
        <v>35673</v>
      </c>
      <c r="T34" s="332">
        <f t="shared" si="1"/>
        <v>1778167.1999999997</v>
      </c>
      <c r="U34" s="446">
        <v>69</v>
      </c>
      <c r="V34" s="10">
        <v>691</v>
      </c>
      <c r="W34" s="10">
        <v>-33838.49</v>
      </c>
      <c r="X34" s="10">
        <v>0</v>
      </c>
      <c r="Y34" s="10">
        <v>-214.69</v>
      </c>
      <c r="Z34" s="373">
        <v>1</v>
      </c>
      <c r="AA34" s="400"/>
      <c r="AB34" s="400"/>
      <c r="AC34" s="400"/>
      <c r="AD34" s="400"/>
      <c r="AE34" s="400"/>
      <c r="AF34" s="400"/>
    </row>
    <row r="35" spans="1:32" x14ac:dyDescent="0.25">
      <c r="A35" s="338">
        <v>5436</v>
      </c>
      <c r="B35" s="330" t="s">
        <v>344</v>
      </c>
      <c r="C35" s="392">
        <v>1146145.98</v>
      </c>
      <c r="D35" s="392">
        <v>88187.67</v>
      </c>
      <c r="E35" s="392">
        <v>0</v>
      </c>
      <c r="F35" s="392">
        <v>0</v>
      </c>
      <c r="G35" s="392">
        <v>57668.85</v>
      </c>
      <c r="H35" s="392">
        <v>708.05</v>
      </c>
      <c r="I35" s="380">
        <v>7492.8239144230338</v>
      </c>
      <c r="J35" s="392">
        <v>0</v>
      </c>
      <c r="K35" s="392">
        <v>-342.01</v>
      </c>
      <c r="L35" s="392">
        <v>0</v>
      </c>
      <c r="M35" s="392">
        <v>64602.6</v>
      </c>
      <c r="N35" s="331">
        <f t="shared" si="0"/>
        <v>1364463.9639144232</v>
      </c>
      <c r="O35" s="396">
        <v>1201.0999999999999</v>
      </c>
      <c r="P35" s="396">
        <v>0</v>
      </c>
      <c r="Q35" s="396">
        <v>10560</v>
      </c>
      <c r="R35" s="396">
        <v>12295.81</v>
      </c>
      <c r="S35" s="373">
        <v>36984.050000000003</v>
      </c>
      <c r="T35" s="332">
        <f t="shared" si="1"/>
        <v>1425504.9239144234</v>
      </c>
      <c r="U35" s="446">
        <v>81</v>
      </c>
      <c r="V35" s="10">
        <v>447</v>
      </c>
      <c r="W35" s="10">
        <v>-43021.440000000002</v>
      </c>
      <c r="X35" s="10">
        <v>0</v>
      </c>
      <c r="Y35" s="10">
        <v>-787.67</v>
      </c>
      <c r="Z35" s="373">
        <v>0.8</v>
      </c>
      <c r="AA35" s="400"/>
      <c r="AB35" s="400"/>
      <c r="AC35" s="400"/>
      <c r="AD35" s="400"/>
      <c r="AE35" s="400"/>
      <c r="AF35" s="400"/>
    </row>
    <row r="36" spans="1:32" x14ac:dyDescent="0.25">
      <c r="A36" s="338">
        <v>5437</v>
      </c>
      <c r="B36" s="330" t="s">
        <v>345</v>
      </c>
      <c r="C36" s="392">
        <v>894901.2</v>
      </c>
      <c r="D36" s="392">
        <v>68795.3</v>
      </c>
      <c r="E36" s="392">
        <v>0</v>
      </c>
      <c r="F36" s="392">
        <v>0</v>
      </c>
      <c r="G36" s="392">
        <v>8295.75</v>
      </c>
      <c r="H36" s="392">
        <v>374</v>
      </c>
      <c r="I36" s="380">
        <v>1112.7845112033888</v>
      </c>
      <c r="J36" s="392">
        <v>0</v>
      </c>
      <c r="K36" s="392">
        <v>21981.59</v>
      </c>
      <c r="L36" s="392">
        <v>746.35</v>
      </c>
      <c r="M36" s="392">
        <v>66546.149999999994</v>
      </c>
      <c r="N36" s="331">
        <f t="shared" si="0"/>
        <v>1062753.1245112033</v>
      </c>
      <c r="O36" s="396">
        <v>0</v>
      </c>
      <c r="P36" s="396">
        <v>5326</v>
      </c>
      <c r="Q36" s="396">
        <v>16835</v>
      </c>
      <c r="R36" s="396">
        <v>0</v>
      </c>
      <c r="S36" s="373">
        <v>24357.75</v>
      </c>
      <c r="T36" s="332">
        <f t="shared" si="1"/>
        <v>1109271.8745112033</v>
      </c>
      <c r="U36" s="446">
        <v>80</v>
      </c>
      <c r="V36" s="10">
        <v>423</v>
      </c>
      <c r="W36" s="10">
        <v>-10280.5</v>
      </c>
      <c r="X36" s="10">
        <v>0</v>
      </c>
      <c r="Y36" s="10">
        <v>-36.03</v>
      </c>
      <c r="Z36" s="373">
        <v>1</v>
      </c>
      <c r="AA36" s="400"/>
      <c r="AB36" s="400"/>
      <c r="AC36" s="400"/>
      <c r="AD36" s="400"/>
      <c r="AE36" s="400"/>
      <c r="AF36" s="400"/>
    </row>
    <row r="37" spans="1:32" x14ac:dyDescent="0.25">
      <c r="A37" s="338">
        <v>5451</v>
      </c>
      <c r="B37" s="330" t="s">
        <v>346</v>
      </c>
      <c r="C37" s="392">
        <v>5415667.3500000099</v>
      </c>
      <c r="D37" s="392">
        <v>558063.25</v>
      </c>
      <c r="E37" s="392">
        <v>0</v>
      </c>
      <c r="F37" s="392">
        <v>0</v>
      </c>
      <c r="G37" s="392">
        <v>1431136.15</v>
      </c>
      <c r="H37" s="392">
        <v>47727.25</v>
      </c>
      <c r="I37" s="380">
        <v>189815.8869293326</v>
      </c>
      <c r="J37" s="392">
        <v>0</v>
      </c>
      <c r="K37" s="392">
        <v>464364.16</v>
      </c>
      <c r="L37" s="392">
        <v>91632.6</v>
      </c>
      <c r="M37" s="392">
        <v>1342235.85</v>
      </c>
      <c r="N37" s="331">
        <f t="shared" si="0"/>
        <v>9540642.4969293419</v>
      </c>
      <c r="O37" s="396">
        <v>402168.8</v>
      </c>
      <c r="P37" s="396">
        <v>224785.7</v>
      </c>
      <c r="Q37" s="396">
        <v>202624.35</v>
      </c>
      <c r="R37" s="396">
        <v>120910.04</v>
      </c>
      <c r="S37" s="373">
        <v>328947.95</v>
      </c>
      <c r="T37" s="332">
        <f t="shared" si="1"/>
        <v>10820079.33692934</v>
      </c>
      <c r="U37" s="446">
        <v>68</v>
      </c>
      <c r="V37" s="10">
        <v>4305</v>
      </c>
      <c r="W37" s="10">
        <v>-301966.33</v>
      </c>
      <c r="X37" s="10">
        <v>0</v>
      </c>
      <c r="Y37" s="10">
        <v>-170.09</v>
      </c>
      <c r="Z37" s="373">
        <v>1.5</v>
      </c>
      <c r="AA37" s="400"/>
      <c r="AB37" s="400"/>
      <c r="AC37" s="400"/>
      <c r="AD37" s="400"/>
      <c r="AE37" s="400"/>
      <c r="AF37" s="400"/>
    </row>
    <row r="38" spans="1:32" x14ac:dyDescent="0.25">
      <c r="A38" s="338">
        <v>5456</v>
      </c>
      <c r="B38" s="330" t="s">
        <v>347</v>
      </c>
      <c r="C38" s="392">
        <v>2789431.83</v>
      </c>
      <c r="D38" s="392">
        <v>294189.69</v>
      </c>
      <c r="E38" s="392">
        <v>0</v>
      </c>
      <c r="F38" s="392">
        <v>0</v>
      </c>
      <c r="G38" s="392">
        <v>-1241.8</v>
      </c>
      <c r="H38" s="392">
        <v>1250.9000000000001</v>
      </c>
      <c r="I38" s="380">
        <v>1.1680081953859771</v>
      </c>
      <c r="J38" s="392">
        <v>0</v>
      </c>
      <c r="K38" s="392">
        <v>67135.63</v>
      </c>
      <c r="L38" s="392">
        <v>2771.55</v>
      </c>
      <c r="M38" s="392">
        <v>478838.8</v>
      </c>
      <c r="N38" s="331">
        <f t="shared" si="0"/>
        <v>3632377.7680081949</v>
      </c>
      <c r="O38" s="396">
        <v>11939.5</v>
      </c>
      <c r="P38" s="396">
        <v>681046.3</v>
      </c>
      <c r="Q38" s="396">
        <v>304460.90000000002</v>
      </c>
      <c r="R38" s="396">
        <v>38447.99</v>
      </c>
      <c r="S38" s="373">
        <v>162443.25</v>
      </c>
      <c r="T38" s="332">
        <f t="shared" si="1"/>
        <v>4830715.7080081953</v>
      </c>
      <c r="U38" s="446">
        <v>59</v>
      </c>
      <c r="V38" s="10">
        <v>1735</v>
      </c>
      <c r="W38" s="10">
        <v>-119613.65</v>
      </c>
      <c r="X38" s="10">
        <v>0</v>
      </c>
      <c r="Y38" s="10">
        <v>-47.91</v>
      </c>
      <c r="Z38" s="373">
        <v>1.5</v>
      </c>
      <c r="AA38" s="400"/>
      <c r="AB38" s="400"/>
      <c r="AC38" s="400"/>
      <c r="AD38" s="400"/>
      <c r="AE38" s="400"/>
      <c r="AF38" s="400"/>
    </row>
    <row r="39" spans="1:32" x14ac:dyDescent="0.25">
      <c r="A39" s="338">
        <v>5458</v>
      </c>
      <c r="B39" s="330" t="s">
        <v>348</v>
      </c>
      <c r="C39" s="392">
        <v>1690515.01</v>
      </c>
      <c r="D39" s="392">
        <v>263678.48</v>
      </c>
      <c r="E39" s="392">
        <v>0</v>
      </c>
      <c r="F39" s="392">
        <v>0</v>
      </c>
      <c r="G39" s="392">
        <v>37058.85</v>
      </c>
      <c r="H39" s="392">
        <v>1439.4</v>
      </c>
      <c r="I39" s="380">
        <v>4941.3485173662284</v>
      </c>
      <c r="J39" s="392">
        <v>0</v>
      </c>
      <c r="K39" s="392">
        <v>28629.64</v>
      </c>
      <c r="L39" s="392">
        <v>9743.9500000000007</v>
      </c>
      <c r="M39" s="392">
        <v>259558.55</v>
      </c>
      <c r="N39" s="331">
        <f t="shared" si="0"/>
        <v>2295565.2285173661</v>
      </c>
      <c r="O39" s="396">
        <v>0</v>
      </c>
      <c r="P39" s="396">
        <v>280454.40000000002</v>
      </c>
      <c r="Q39" s="396">
        <v>104340.15</v>
      </c>
      <c r="R39" s="396">
        <v>184.73</v>
      </c>
      <c r="S39" s="373">
        <v>64511.4</v>
      </c>
      <c r="T39" s="332">
        <f t="shared" si="1"/>
        <v>2745055.9085173658</v>
      </c>
      <c r="U39" s="446">
        <v>66</v>
      </c>
      <c r="V39" s="10">
        <v>884</v>
      </c>
      <c r="W39" s="10">
        <v>-24362.9</v>
      </c>
      <c r="X39" s="10">
        <v>0</v>
      </c>
      <c r="Y39" s="10">
        <v>-57.87</v>
      </c>
      <c r="Z39" s="373">
        <v>1.5</v>
      </c>
      <c r="AA39" s="400"/>
      <c r="AB39" s="400"/>
      <c r="AC39" s="400"/>
      <c r="AD39" s="400"/>
      <c r="AE39" s="400"/>
      <c r="AF39" s="400"/>
    </row>
    <row r="40" spans="1:32" x14ac:dyDescent="0.25">
      <c r="A40" s="338">
        <v>5464</v>
      </c>
      <c r="B40" s="330" t="s">
        <v>428</v>
      </c>
      <c r="C40" s="392">
        <v>5755034.6100000003</v>
      </c>
      <c r="D40" s="392">
        <v>997097.46</v>
      </c>
      <c r="E40" s="392">
        <v>0</v>
      </c>
      <c r="F40" s="392">
        <v>0</v>
      </c>
      <c r="G40" s="392">
        <v>59478.85</v>
      </c>
      <c r="H40" s="392">
        <v>5990.8</v>
      </c>
      <c r="I40" s="380">
        <v>8403.1964559424359</v>
      </c>
      <c r="J40" s="392">
        <v>0</v>
      </c>
      <c r="K40" s="392">
        <v>160750.89000000001</v>
      </c>
      <c r="L40" s="392">
        <v>20222.349999999999</v>
      </c>
      <c r="M40" s="392">
        <v>981578.15</v>
      </c>
      <c r="N40" s="331">
        <f t="shared" si="0"/>
        <v>7988556.3064559419</v>
      </c>
      <c r="O40" s="396">
        <v>0</v>
      </c>
      <c r="P40" s="396">
        <v>62828.1</v>
      </c>
      <c r="Q40" s="396">
        <v>448485.55</v>
      </c>
      <c r="R40" s="396">
        <v>14133.69</v>
      </c>
      <c r="S40" s="373">
        <v>250527.75</v>
      </c>
      <c r="T40" s="332">
        <f t="shared" si="1"/>
        <v>8764531.3964559417</v>
      </c>
      <c r="U40" s="446">
        <v>67</v>
      </c>
      <c r="V40" s="10">
        <v>3278</v>
      </c>
      <c r="W40" s="10">
        <v>-118992.82</v>
      </c>
      <c r="X40" s="10">
        <v>0</v>
      </c>
      <c r="Y40" s="10">
        <v>-5168.91</v>
      </c>
      <c r="Z40" s="373">
        <v>1.5</v>
      </c>
      <c r="AA40" s="400"/>
      <c r="AB40" s="400"/>
      <c r="AC40" s="400"/>
      <c r="AD40" s="400"/>
      <c r="AE40" s="400"/>
      <c r="AF40" s="400"/>
    </row>
    <row r="41" spans="1:32" x14ac:dyDescent="0.25">
      <c r="A41" s="338">
        <v>5471</v>
      </c>
      <c r="B41" s="330" t="s">
        <v>349</v>
      </c>
      <c r="C41" s="392">
        <v>1210400.19</v>
      </c>
      <c r="D41" s="392">
        <v>138479.41</v>
      </c>
      <c r="E41" s="392">
        <v>0</v>
      </c>
      <c r="F41" s="392">
        <v>0</v>
      </c>
      <c r="G41" s="392">
        <v>1913.4</v>
      </c>
      <c r="H41" s="392">
        <v>2298.0500000000002</v>
      </c>
      <c r="I41" s="380">
        <v>540.55034224833719</v>
      </c>
      <c r="J41" s="392">
        <v>0</v>
      </c>
      <c r="K41" s="392">
        <v>44654.19</v>
      </c>
      <c r="L41" s="392">
        <v>3613.25</v>
      </c>
      <c r="M41" s="392">
        <v>105020.45</v>
      </c>
      <c r="N41" s="331">
        <f t="shared" si="0"/>
        <v>1506919.490342248</v>
      </c>
      <c r="O41" s="396">
        <v>45443.55</v>
      </c>
      <c r="P41" s="396">
        <v>0</v>
      </c>
      <c r="Q41" s="396">
        <v>28213.9</v>
      </c>
      <c r="R41" s="396">
        <v>1540.64</v>
      </c>
      <c r="S41" s="373">
        <v>5701.55</v>
      </c>
      <c r="T41" s="332">
        <f t="shared" si="1"/>
        <v>1587819.1303422479</v>
      </c>
      <c r="U41" s="446">
        <v>70</v>
      </c>
      <c r="V41" s="10">
        <v>650</v>
      </c>
      <c r="W41" s="10">
        <v>-2781.29</v>
      </c>
      <c r="X41" s="10">
        <v>0</v>
      </c>
      <c r="Y41" s="10">
        <v>-455.63</v>
      </c>
      <c r="Z41" s="373">
        <v>0.9</v>
      </c>
      <c r="AA41" s="400"/>
      <c r="AB41" s="400"/>
      <c r="AC41" s="400"/>
      <c r="AD41" s="400"/>
      <c r="AE41" s="400"/>
      <c r="AF41" s="400"/>
    </row>
    <row r="42" spans="1:32" x14ac:dyDescent="0.25">
      <c r="A42" s="338">
        <v>5472</v>
      </c>
      <c r="B42" s="330" t="s">
        <v>350</v>
      </c>
      <c r="C42" s="392">
        <v>914712.49</v>
      </c>
      <c r="D42" s="392">
        <v>125813.62</v>
      </c>
      <c r="E42" s="392">
        <v>0</v>
      </c>
      <c r="F42" s="392">
        <v>0</v>
      </c>
      <c r="G42" s="392">
        <v>1734.4</v>
      </c>
      <c r="H42" s="392">
        <v>151.69999999999999</v>
      </c>
      <c r="I42" s="380">
        <v>242.08574256243966</v>
      </c>
      <c r="J42" s="392">
        <v>0</v>
      </c>
      <c r="K42" s="392">
        <v>28961.4</v>
      </c>
      <c r="L42" s="392">
        <v>1226</v>
      </c>
      <c r="M42" s="392">
        <v>90315.35</v>
      </c>
      <c r="N42" s="331">
        <f t="shared" si="0"/>
        <v>1163157.0457425625</v>
      </c>
      <c r="O42" s="396">
        <v>0</v>
      </c>
      <c r="P42" s="396">
        <v>0</v>
      </c>
      <c r="Q42" s="396">
        <v>56723.15</v>
      </c>
      <c r="R42" s="396">
        <v>528.5</v>
      </c>
      <c r="S42" s="373">
        <v>3524.15</v>
      </c>
      <c r="T42" s="332">
        <f t="shared" si="1"/>
        <v>1223932.8457425623</v>
      </c>
      <c r="U42" s="446">
        <v>76</v>
      </c>
      <c r="V42" s="10">
        <v>422</v>
      </c>
      <c r="W42" s="10">
        <v>-21571.81</v>
      </c>
      <c r="X42" s="10">
        <v>0</v>
      </c>
      <c r="Y42" s="10">
        <v>-598.23</v>
      </c>
      <c r="Z42" s="373">
        <v>1</v>
      </c>
      <c r="AA42" s="400"/>
      <c r="AB42" s="400"/>
      <c r="AC42" s="400"/>
      <c r="AD42" s="400"/>
      <c r="AE42" s="400"/>
      <c r="AF42" s="400"/>
    </row>
    <row r="43" spans="1:32" x14ac:dyDescent="0.25">
      <c r="A43" s="338">
        <v>5473</v>
      </c>
      <c r="B43" s="330" t="s">
        <v>208</v>
      </c>
      <c r="C43" s="392">
        <v>1974456.12</v>
      </c>
      <c r="D43" s="392">
        <v>197407.54</v>
      </c>
      <c r="E43" s="392">
        <v>0</v>
      </c>
      <c r="F43" s="392">
        <v>0</v>
      </c>
      <c r="G43" s="392">
        <v>28304.05</v>
      </c>
      <c r="H43" s="392">
        <v>1361</v>
      </c>
      <c r="I43" s="380">
        <v>3807.584782038015</v>
      </c>
      <c r="J43" s="392">
        <v>0</v>
      </c>
      <c r="K43" s="392">
        <v>1623.33</v>
      </c>
      <c r="L43" s="392">
        <v>6149.2</v>
      </c>
      <c r="M43" s="392">
        <v>176502.7</v>
      </c>
      <c r="N43" s="331">
        <f t="shared" si="0"/>
        <v>2389611.5247820383</v>
      </c>
      <c r="O43" s="396">
        <v>329.95</v>
      </c>
      <c r="P43" s="396">
        <v>0</v>
      </c>
      <c r="Q43" s="396">
        <v>74223.199999999997</v>
      </c>
      <c r="R43" s="396">
        <v>7184.7</v>
      </c>
      <c r="S43" s="373">
        <v>16353.8</v>
      </c>
      <c r="T43" s="332">
        <f t="shared" si="1"/>
        <v>2487703.1747820387</v>
      </c>
      <c r="U43" s="446">
        <v>69</v>
      </c>
      <c r="V43" s="10">
        <v>993</v>
      </c>
      <c r="W43" s="10">
        <v>-31230.52</v>
      </c>
      <c r="X43" s="10">
        <v>0</v>
      </c>
      <c r="Y43" s="10">
        <v>-92.89</v>
      </c>
      <c r="Z43" s="373">
        <v>1</v>
      </c>
      <c r="AA43" s="400"/>
      <c r="AB43" s="400"/>
      <c r="AC43" s="400"/>
      <c r="AD43" s="400"/>
      <c r="AE43" s="400"/>
      <c r="AF43" s="400"/>
    </row>
    <row r="44" spans="1:32" x14ac:dyDescent="0.25">
      <c r="A44" s="338">
        <v>5474</v>
      </c>
      <c r="B44" s="330" t="s">
        <v>209</v>
      </c>
      <c r="C44" s="392">
        <v>1004873.67</v>
      </c>
      <c r="D44" s="392">
        <v>83910.780000000101</v>
      </c>
      <c r="E44" s="392">
        <v>0</v>
      </c>
      <c r="F44" s="392">
        <v>0</v>
      </c>
      <c r="G44" s="392">
        <v>-368</v>
      </c>
      <c r="H44" s="392">
        <v>105.15</v>
      </c>
      <c r="I44" s="380">
        <v>0</v>
      </c>
      <c r="J44" s="392">
        <v>39282.400000000001</v>
      </c>
      <c r="K44" s="392">
        <v>-6348.54</v>
      </c>
      <c r="L44" s="392">
        <v>665</v>
      </c>
      <c r="M44" s="392">
        <v>84019.4</v>
      </c>
      <c r="N44" s="331">
        <f t="shared" si="0"/>
        <v>1206139.8599999999</v>
      </c>
      <c r="O44" s="396">
        <v>2824.35</v>
      </c>
      <c r="P44" s="396">
        <v>47196.9</v>
      </c>
      <c r="Q44" s="396">
        <v>42106.7</v>
      </c>
      <c r="R44" s="396">
        <v>0</v>
      </c>
      <c r="S44" s="373">
        <v>11852.5</v>
      </c>
      <c r="T44" s="332">
        <f t="shared" si="1"/>
        <v>1310120.3099999998</v>
      </c>
      <c r="U44" s="446">
        <v>77</v>
      </c>
      <c r="V44" s="10">
        <v>395</v>
      </c>
      <c r="W44" s="10">
        <v>-13043.6</v>
      </c>
      <c r="X44" s="10">
        <v>0</v>
      </c>
      <c r="Y44" s="10">
        <v>-3.75</v>
      </c>
      <c r="Z44" s="373">
        <v>1.2</v>
      </c>
      <c r="AA44" s="400"/>
      <c r="AB44" s="400"/>
      <c r="AC44" s="400"/>
      <c r="AD44" s="400"/>
      <c r="AE44" s="400"/>
      <c r="AF44" s="400"/>
    </row>
    <row r="45" spans="1:32" x14ac:dyDescent="0.25">
      <c r="A45" s="338">
        <v>5475</v>
      </c>
      <c r="B45" s="330" t="s">
        <v>371</v>
      </c>
      <c r="C45" s="392">
        <v>218344.49</v>
      </c>
      <c r="D45" s="392">
        <v>37190.32</v>
      </c>
      <c r="E45" s="392">
        <v>0</v>
      </c>
      <c r="F45" s="392">
        <v>0</v>
      </c>
      <c r="G45" s="392">
        <v>-777.55</v>
      </c>
      <c r="H45" s="392">
        <v>226.55</v>
      </c>
      <c r="I45" s="380">
        <v>0</v>
      </c>
      <c r="J45" s="392">
        <v>0</v>
      </c>
      <c r="K45" s="392">
        <v>6656.56</v>
      </c>
      <c r="L45" s="392">
        <v>0</v>
      </c>
      <c r="M45" s="392">
        <v>22550.3</v>
      </c>
      <c r="N45" s="331">
        <f t="shared" si="0"/>
        <v>284190.67</v>
      </c>
      <c r="O45" s="396">
        <v>0</v>
      </c>
      <c r="P45" s="396">
        <v>0</v>
      </c>
      <c r="Q45" s="396">
        <v>20647</v>
      </c>
      <c r="R45" s="396">
        <v>7620.32</v>
      </c>
      <c r="S45" s="373">
        <v>4993.8999999999996</v>
      </c>
      <c r="T45" s="332">
        <f t="shared" si="1"/>
        <v>317451.89</v>
      </c>
      <c r="U45" s="446">
        <v>77</v>
      </c>
      <c r="V45" s="10">
        <v>152</v>
      </c>
      <c r="W45" s="10">
        <v>-57483.12</v>
      </c>
      <c r="X45" s="10">
        <v>0</v>
      </c>
      <c r="Y45" s="10">
        <v>0</v>
      </c>
      <c r="Z45" s="373">
        <v>1</v>
      </c>
      <c r="AA45" s="400"/>
      <c r="AB45" s="400"/>
      <c r="AC45" s="400"/>
      <c r="AD45" s="400"/>
      <c r="AE45" s="400"/>
      <c r="AF45" s="400"/>
    </row>
    <row r="46" spans="1:32" x14ac:dyDescent="0.25">
      <c r="A46" s="338">
        <v>5476</v>
      </c>
      <c r="B46" s="330" t="s">
        <v>372</v>
      </c>
      <c r="C46" s="392">
        <v>743584.82</v>
      </c>
      <c r="D46" s="392">
        <v>121594.7</v>
      </c>
      <c r="E46" s="392">
        <v>0</v>
      </c>
      <c r="F46" s="392">
        <v>0</v>
      </c>
      <c r="G46" s="392">
        <v>1703.6</v>
      </c>
      <c r="H46" s="392">
        <v>5840.35</v>
      </c>
      <c r="I46" s="380">
        <v>968.28521160273385</v>
      </c>
      <c r="J46" s="392">
        <v>0</v>
      </c>
      <c r="K46" s="392">
        <v>9859.86</v>
      </c>
      <c r="L46" s="392">
        <v>0</v>
      </c>
      <c r="M46" s="392">
        <v>59238.7</v>
      </c>
      <c r="N46" s="331">
        <f t="shared" si="0"/>
        <v>942790.31521160249</v>
      </c>
      <c r="O46" s="396">
        <v>0</v>
      </c>
      <c r="P46" s="396">
        <v>0</v>
      </c>
      <c r="Q46" s="396">
        <v>0</v>
      </c>
      <c r="R46" s="396">
        <v>-953.4</v>
      </c>
      <c r="S46" s="373">
        <v>0</v>
      </c>
      <c r="T46" s="332">
        <f t="shared" si="1"/>
        <v>941836.91521160246</v>
      </c>
      <c r="U46" s="446">
        <v>74</v>
      </c>
      <c r="V46" s="10">
        <v>317</v>
      </c>
      <c r="W46" s="10">
        <v>-6646.67</v>
      </c>
      <c r="X46" s="10">
        <v>0</v>
      </c>
      <c r="Y46" s="10">
        <v>-76.180000000000007</v>
      </c>
      <c r="Z46" s="373">
        <v>1</v>
      </c>
      <c r="AA46" s="400"/>
      <c r="AB46" s="400"/>
      <c r="AC46" s="400"/>
      <c r="AD46" s="400"/>
      <c r="AE46" s="400"/>
      <c r="AF46" s="400"/>
    </row>
    <row r="47" spans="1:32" x14ac:dyDescent="0.25">
      <c r="A47" s="338">
        <v>5477</v>
      </c>
      <c r="B47" s="330" t="s">
        <v>373</v>
      </c>
      <c r="C47" s="392">
        <v>8268682.9500000002</v>
      </c>
      <c r="D47" s="392">
        <v>580100.94999999995</v>
      </c>
      <c r="E47" s="392">
        <v>0</v>
      </c>
      <c r="F47" s="392">
        <v>0</v>
      </c>
      <c r="G47" s="392">
        <v>519011.7</v>
      </c>
      <c r="H47" s="392">
        <v>-16973.25</v>
      </c>
      <c r="I47" s="380">
        <v>64437.914725171642</v>
      </c>
      <c r="J47" s="392">
        <v>0</v>
      </c>
      <c r="K47" s="392">
        <v>190554.98</v>
      </c>
      <c r="L47" s="392">
        <v>29786.65</v>
      </c>
      <c r="M47" s="392">
        <v>651385.15</v>
      </c>
      <c r="N47" s="331">
        <f t="shared" si="0"/>
        <v>10286987.044725172</v>
      </c>
      <c r="O47" s="396">
        <v>71916.55</v>
      </c>
      <c r="P47" s="396">
        <v>2864.4</v>
      </c>
      <c r="Q47" s="396">
        <v>305863.84999999998</v>
      </c>
      <c r="R47" s="396">
        <v>18381.79</v>
      </c>
      <c r="S47" s="373">
        <v>158034.20000000001</v>
      </c>
      <c r="T47" s="332">
        <f t="shared" si="1"/>
        <v>10844047.834725171</v>
      </c>
      <c r="U47" s="446">
        <v>71</v>
      </c>
      <c r="V47" s="10">
        <v>4045</v>
      </c>
      <c r="W47" s="10">
        <v>-58674.95</v>
      </c>
      <c r="X47" s="10">
        <v>0</v>
      </c>
      <c r="Y47" s="10">
        <v>-1652.27</v>
      </c>
      <c r="Z47" s="373">
        <v>1</v>
      </c>
      <c r="AA47" s="400"/>
      <c r="AB47" s="400"/>
      <c r="AC47" s="400"/>
      <c r="AD47" s="400"/>
      <c r="AE47" s="400"/>
      <c r="AF47" s="400"/>
    </row>
    <row r="48" spans="1:32" x14ac:dyDescent="0.25">
      <c r="A48" s="338">
        <v>5478</v>
      </c>
      <c r="B48" s="330" t="s">
        <v>240</v>
      </c>
      <c r="C48" s="392">
        <v>1036519.9</v>
      </c>
      <c r="D48" s="392">
        <v>157573.76999999999</v>
      </c>
      <c r="E48" s="392">
        <v>0</v>
      </c>
      <c r="F48" s="392">
        <v>0</v>
      </c>
      <c r="G48" s="392">
        <v>7407.05</v>
      </c>
      <c r="H48" s="392">
        <v>191.7</v>
      </c>
      <c r="I48" s="380">
        <v>975.31893128484091</v>
      </c>
      <c r="J48" s="392">
        <v>0</v>
      </c>
      <c r="K48" s="392">
        <v>23370.23</v>
      </c>
      <c r="L48" s="392">
        <v>250</v>
      </c>
      <c r="M48" s="392">
        <v>80059.25</v>
      </c>
      <c r="N48" s="331">
        <f t="shared" si="0"/>
        <v>1306347.2189312847</v>
      </c>
      <c r="O48" s="396">
        <v>0</v>
      </c>
      <c r="P48" s="396">
        <v>0</v>
      </c>
      <c r="Q48" s="396">
        <v>57615.75</v>
      </c>
      <c r="R48" s="396">
        <v>0</v>
      </c>
      <c r="S48" s="373">
        <v>47468.35</v>
      </c>
      <c r="T48" s="332">
        <f t="shared" si="1"/>
        <v>1411431.3189312848</v>
      </c>
      <c r="U48" s="446">
        <v>74</v>
      </c>
      <c r="V48" s="10">
        <v>487</v>
      </c>
      <c r="W48" s="10">
        <v>-9840.49</v>
      </c>
      <c r="X48" s="10">
        <v>0</v>
      </c>
      <c r="Y48" s="10">
        <v>-1.71</v>
      </c>
      <c r="Z48" s="373">
        <v>1</v>
      </c>
      <c r="AA48" s="400"/>
      <c r="AB48" s="400"/>
      <c r="AC48" s="400"/>
      <c r="AD48" s="400"/>
      <c r="AE48" s="400"/>
      <c r="AF48" s="400"/>
    </row>
    <row r="49" spans="1:32" x14ac:dyDescent="0.25">
      <c r="A49" s="338">
        <v>5479</v>
      </c>
      <c r="B49" s="330" t="s">
        <v>241</v>
      </c>
      <c r="C49" s="392">
        <v>963240.92</v>
      </c>
      <c r="D49" s="392">
        <v>88713.44</v>
      </c>
      <c r="E49" s="392">
        <v>0</v>
      </c>
      <c r="F49" s="392">
        <v>0</v>
      </c>
      <c r="G49" s="392">
        <v>5774.2</v>
      </c>
      <c r="H49" s="392">
        <v>980.7</v>
      </c>
      <c r="I49" s="380">
        <v>867.00863285882167</v>
      </c>
      <c r="J49" s="392">
        <v>202768</v>
      </c>
      <c r="K49" s="392">
        <v>6401.87</v>
      </c>
      <c r="L49" s="392">
        <v>1768</v>
      </c>
      <c r="M49" s="392">
        <v>81992.649999999994</v>
      </c>
      <c r="N49" s="331">
        <f t="shared" si="0"/>
        <v>1352506.7886328588</v>
      </c>
      <c r="O49" s="396">
        <v>6580.5</v>
      </c>
      <c r="P49" s="396">
        <v>12338.1</v>
      </c>
      <c r="Q49" s="396">
        <v>49843.05</v>
      </c>
      <c r="R49" s="396">
        <v>875.68</v>
      </c>
      <c r="S49" s="373">
        <v>-16270.85</v>
      </c>
      <c r="T49" s="332">
        <f t="shared" si="1"/>
        <v>1405873.2686328588</v>
      </c>
      <c r="U49" s="446">
        <v>77</v>
      </c>
      <c r="V49" s="10">
        <v>486</v>
      </c>
      <c r="W49" s="10">
        <v>-23324.34</v>
      </c>
      <c r="X49" s="10">
        <v>0</v>
      </c>
      <c r="Y49" s="10">
        <v>0</v>
      </c>
      <c r="Z49" s="373">
        <v>1</v>
      </c>
      <c r="AA49" s="400"/>
      <c r="AB49" s="400"/>
      <c r="AC49" s="400"/>
      <c r="AD49" s="400"/>
      <c r="AE49" s="400"/>
      <c r="AF49" s="400"/>
    </row>
    <row r="50" spans="1:32" x14ac:dyDescent="0.25">
      <c r="A50" s="338">
        <v>5480</v>
      </c>
      <c r="B50" s="330" t="s">
        <v>242</v>
      </c>
      <c r="C50" s="392">
        <v>2070154.66</v>
      </c>
      <c r="D50" s="392">
        <v>310610.03999999998</v>
      </c>
      <c r="E50" s="392">
        <v>0</v>
      </c>
      <c r="F50" s="392">
        <v>0</v>
      </c>
      <c r="G50" s="392">
        <v>-45167.1</v>
      </c>
      <c r="H50" s="392">
        <v>14133.35</v>
      </c>
      <c r="I50" s="380">
        <v>0</v>
      </c>
      <c r="J50" s="392">
        <v>0</v>
      </c>
      <c r="K50" s="392">
        <v>25542.68</v>
      </c>
      <c r="L50" s="392">
        <v>-23704.85</v>
      </c>
      <c r="M50" s="392">
        <v>361513.1</v>
      </c>
      <c r="N50" s="331">
        <f t="shared" si="0"/>
        <v>2713081.88</v>
      </c>
      <c r="O50" s="396">
        <v>124620.8</v>
      </c>
      <c r="P50" s="396">
        <v>0</v>
      </c>
      <c r="Q50" s="396">
        <v>51315</v>
      </c>
      <c r="R50" s="396">
        <v>18225.18</v>
      </c>
      <c r="S50" s="373">
        <v>83477.55</v>
      </c>
      <c r="T50" s="332">
        <f t="shared" si="1"/>
        <v>2990720.4099999997</v>
      </c>
      <c r="U50" s="446">
        <v>66</v>
      </c>
      <c r="V50" s="10">
        <v>1034</v>
      </c>
      <c r="W50" s="10">
        <v>-11703.86</v>
      </c>
      <c r="X50" s="10">
        <v>0</v>
      </c>
      <c r="Y50" s="10">
        <v>-4766.63</v>
      </c>
      <c r="Z50" s="373">
        <v>1.2</v>
      </c>
      <c r="AA50" s="400"/>
      <c r="AB50" s="400"/>
      <c r="AC50" s="400"/>
      <c r="AD50" s="400"/>
      <c r="AE50" s="400"/>
      <c r="AF50" s="400"/>
    </row>
    <row r="51" spans="1:32" x14ac:dyDescent="0.25">
      <c r="A51" s="338">
        <v>5481</v>
      </c>
      <c r="B51" s="330" t="s">
        <v>243</v>
      </c>
      <c r="C51" s="392">
        <v>657897.18000000005</v>
      </c>
      <c r="D51" s="392">
        <v>7829.52</v>
      </c>
      <c r="E51" s="392">
        <v>0</v>
      </c>
      <c r="F51" s="392">
        <v>0</v>
      </c>
      <c r="G51" s="392">
        <v>50118.6</v>
      </c>
      <c r="H51" s="392">
        <v>319.89999999999998</v>
      </c>
      <c r="I51" s="380">
        <v>6473.9100398895143</v>
      </c>
      <c r="J51" s="392">
        <v>0</v>
      </c>
      <c r="K51" s="392">
        <v>9876.1200000000008</v>
      </c>
      <c r="L51" s="392">
        <v>0</v>
      </c>
      <c r="M51" s="392">
        <v>36349.65</v>
      </c>
      <c r="N51" s="331">
        <f t="shared" si="0"/>
        <v>768864.8800398896</v>
      </c>
      <c r="O51" s="396">
        <v>0</v>
      </c>
      <c r="P51" s="396">
        <v>0</v>
      </c>
      <c r="Q51" s="396">
        <v>135.65</v>
      </c>
      <c r="R51" s="396">
        <v>1558.25</v>
      </c>
      <c r="S51" s="373">
        <v>0</v>
      </c>
      <c r="T51" s="332">
        <f t="shared" si="1"/>
        <v>770558.78003988962</v>
      </c>
      <c r="U51" s="446">
        <v>79</v>
      </c>
      <c r="V51" s="10">
        <v>234</v>
      </c>
      <c r="W51" s="10">
        <v>-3961.46</v>
      </c>
      <c r="X51" s="10">
        <v>0</v>
      </c>
      <c r="Y51" s="10">
        <v>0</v>
      </c>
      <c r="Z51" s="373">
        <v>1</v>
      </c>
      <c r="AA51" s="400"/>
      <c r="AB51" s="400"/>
      <c r="AC51" s="400"/>
      <c r="AD51" s="400"/>
      <c r="AE51" s="400"/>
      <c r="AF51" s="400"/>
    </row>
    <row r="52" spans="1:32" x14ac:dyDescent="0.25">
      <c r="A52" s="338">
        <v>5482</v>
      </c>
      <c r="B52" s="330" t="s">
        <v>244</v>
      </c>
      <c r="C52" s="392">
        <v>1390854.97</v>
      </c>
      <c r="D52" s="392">
        <v>213828.84</v>
      </c>
      <c r="E52" s="392">
        <v>0</v>
      </c>
      <c r="F52" s="392">
        <v>0</v>
      </c>
      <c r="G52" s="392">
        <v>507592.6</v>
      </c>
      <c r="H52" s="392">
        <v>10002.75</v>
      </c>
      <c r="I52" s="380">
        <v>66434.682493831628</v>
      </c>
      <c r="J52" s="392">
        <v>0</v>
      </c>
      <c r="K52" s="392">
        <v>125724.95</v>
      </c>
      <c r="L52" s="392">
        <v>44205.9</v>
      </c>
      <c r="M52" s="392">
        <v>425425.95</v>
      </c>
      <c r="N52" s="331">
        <f t="shared" si="0"/>
        <v>2784070.6424938319</v>
      </c>
      <c r="O52" s="396">
        <v>339856.8</v>
      </c>
      <c r="P52" s="396">
        <v>38895.4</v>
      </c>
      <c r="Q52" s="396">
        <v>38336.75</v>
      </c>
      <c r="R52" s="396">
        <v>3492.72</v>
      </c>
      <c r="S52" s="373">
        <v>28800.15</v>
      </c>
      <c r="T52" s="332">
        <f t="shared" si="1"/>
        <v>3233452.4624938318</v>
      </c>
      <c r="U52" s="446">
        <v>46</v>
      </c>
      <c r="V52" s="10">
        <v>1222</v>
      </c>
      <c r="W52" s="10">
        <v>-9374.34</v>
      </c>
      <c r="X52" s="10">
        <v>0</v>
      </c>
      <c r="Y52" s="10">
        <v>-368.21</v>
      </c>
      <c r="Z52" s="373">
        <v>1</v>
      </c>
      <c r="AA52" s="400"/>
      <c r="AB52" s="400"/>
      <c r="AC52" s="400"/>
      <c r="AD52" s="400"/>
      <c r="AE52" s="400"/>
      <c r="AF52" s="400"/>
    </row>
    <row r="53" spans="1:32" x14ac:dyDescent="0.25">
      <c r="A53" s="338">
        <v>5483</v>
      </c>
      <c r="B53" s="330" t="s">
        <v>139</v>
      </c>
      <c r="C53" s="392">
        <v>678862.54</v>
      </c>
      <c r="D53" s="392">
        <v>100641.37</v>
      </c>
      <c r="E53" s="392">
        <v>0</v>
      </c>
      <c r="F53" s="392">
        <v>0</v>
      </c>
      <c r="G53" s="392">
        <v>5111.8</v>
      </c>
      <c r="H53" s="392">
        <v>2860.35</v>
      </c>
      <c r="I53" s="380">
        <v>1023.2457730603643</v>
      </c>
      <c r="J53" s="392">
        <v>0</v>
      </c>
      <c r="K53" s="392">
        <v>5010.99</v>
      </c>
      <c r="L53" s="392">
        <v>0</v>
      </c>
      <c r="M53" s="392">
        <v>53939.15</v>
      </c>
      <c r="N53" s="331">
        <f t="shared" si="0"/>
        <v>847449.44577306043</v>
      </c>
      <c r="O53" s="396">
        <v>0</v>
      </c>
      <c r="P53" s="396">
        <v>0</v>
      </c>
      <c r="Q53" s="396">
        <v>-4070.4</v>
      </c>
      <c r="R53" s="396">
        <v>0</v>
      </c>
      <c r="S53" s="373">
        <v>63917.7</v>
      </c>
      <c r="T53" s="332">
        <f t="shared" si="1"/>
        <v>907296.74577306036</v>
      </c>
      <c r="U53" s="446">
        <v>76</v>
      </c>
      <c r="V53" s="10">
        <v>320</v>
      </c>
      <c r="W53" s="10">
        <v>384.11</v>
      </c>
      <c r="X53" s="10">
        <v>0</v>
      </c>
      <c r="Y53" s="10">
        <v>0</v>
      </c>
      <c r="Z53" s="373">
        <v>1</v>
      </c>
      <c r="AA53" s="400"/>
      <c r="AB53" s="400"/>
      <c r="AC53" s="400"/>
      <c r="AD53" s="400"/>
      <c r="AE53" s="400"/>
      <c r="AF53" s="400"/>
    </row>
    <row r="54" spans="1:32" x14ac:dyDescent="0.25">
      <c r="A54" s="338">
        <v>5484</v>
      </c>
      <c r="B54" s="330" t="s">
        <v>140</v>
      </c>
      <c r="C54" s="392">
        <v>2081750.76</v>
      </c>
      <c r="D54" s="392">
        <v>230252.32</v>
      </c>
      <c r="E54" s="392">
        <v>0</v>
      </c>
      <c r="F54" s="392">
        <v>0</v>
      </c>
      <c r="G54" s="392">
        <v>6109.74999999999</v>
      </c>
      <c r="H54" s="392">
        <v>2165.4</v>
      </c>
      <c r="I54" s="380">
        <v>1062.1365953902605</v>
      </c>
      <c r="J54" s="392">
        <v>0</v>
      </c>
      <c r="K54" s="392">
        <v>34740.699999999997</v>
      </c>
      <c r="L54" s="392">
        <v>7312.15</v>
      </c>
      <c r="M54" s="392">
        <v>175766.3</v>
      </c>
      <c r="N54" s="331">
        <f t="shared" si="0"/>
        <v>2539159.5165953902</v>
      </c>
      <c r="O54" s="396">
        <v>16240.15</v>
      </c>
      <c r="P54" s="396">
        <v>1445.9</v>
      </c>
      <c r="Q54" s="396">
        <v>154587</v>
      </c>
      <c r="R54" s="396">
        <v>7285.35</v>
      </c>
      <c r="S54" s="373">
        <v>115139.95</v>
      </c>
      <c r="T54" s="332">
        <f t="shared" si="1"/>
        <v>2833857.8665953903</v>
      </c>
      <c r="U54" s="446">
        <v>74</v>
      </c>
      <c r="V54" s="10">
        <v>939</v>
      </c>
      <c r="W54" s="10">
        <v>-47868.38</v>
      </c>
      <c r="X54" s="10">
        <v>0</v>
      </c>
      <c r="Y54" s="10">
        <v>-124.71</v>
      </c>
      <c r="Z54" s="373">
        <v>1</v>
      </c>
      <c r="AA54" s="400"/>
      <c r="AB54" s="400"/>
      <c r="AC54" s="400"/>
      <c r="AD54" s="400"/>
      <c r="AE54" s="400"/>
      <c r="AF54" s="400"/>
    </row>
    <row r="55" spans="1:32" x14ac:dyDescent="0.25">
      <c r="A55" s="338">
        <v>5485</v>
      </c>
      <c r="B55" s="330" t="s">
        <v>141</v>
      </c>
      <c r="C55" s="392">
        <v>924134.61</v>
      </c>
      <c r="D55" s="392">
        <v>180472.64</v>
      </c>
      <c r="E55" s="392">
        <v>0</v>
      </c>
      <c r="F55" s="392">
        <v>0</v>
      </c>
      <c r="G55" s="392">
        <v>4549.7</v>
      </c>
      <c r="H55" s="392">
        <v>259.60000000000002</v>
      </c>
      <c r="I55" s="380">
        <v>617.2859136342405</v>
      </c>
      <c r="J55" s="392">
        <v>0</v>
      </c>
      <c r="K55" s="392">
        <v>10419.08</v>
      </c>
      <c r="L55" s="392">
        <v>0</v>
      </c>
      <c r="M55" s="392">
        <v>73462.850000000006</v>
      </c>
      <c r="N55" s="331">
        <f t="shared" si="0"/>
        <v>1193915.7659136346</v>
      </c>
      <c r="O55" s="396">
        <v>6450.2</v>
      </c>
      <c r="P55" s="396">
        <v>19303.900000000001</v>
      </c>
      <c r="Q55" s="396">
        <v>53043.35</v>
      </c>
      <c r="R55" s="396">
        <v>0</v>
      </c>
      <c r="S55" s="373">
        <v>12904.55</v>
      </c>
      <c r="T55" s="332">
        <f t="shared" si="1"/>
        <v>1285617.7659136346</v>
      </c>
      <c r="U55" s="446">
        <v>70</v>
      </c>
      <c r="V55" s="10">
        <v>397</v>
      </c>
      <c r="W55" s="10">
        <v>-9583.86</v>
      </c>
      <c r="X55" s="10">
        <v>0</v>
      </c>
      <c r="Y55" s="10">
        <v>-345.3</v>
      </c>
      <c r="Z55" s="373">
        <v>1</v>
      </c>
      <c r="AA55" s="400"/>
      <c r="AB55" s="400"/>
      <c r="AC55" s="400"/>
      <c r="AD55" s="400"/>
      <c r="AE55" s="400"/>
      <c r="AF55" s="400"/>
    </row>
    <row r="56" spans="1:32" x14ac:dyDescent="0.25">
      <c r="A56" s="338">
        <v>5486</v>
      </c>
      <c r="B56" s="330" t="s">
        <v>1</v>
      </c>
      <c r="C56" s="392">
        <v>2017129.9</v>
      </c>
      <c r="D56" s="392">
        <v>280103.87</v>
      </c>
      <c r="E56" s="392">
        <v>0</v>
      </c>
      <c r="F56" s="392">
        <v>0</v>
      </c>
      <c r="G56" s="392">
        <v>163619.70000000001</v>
      </c>
      <c r="H56" s="392">
        <v>2800.8</v>
      </c>
      <c r="I56" s="380">
        <v>21360.495371460947</v>
      </c>
      <c r="J56" s="392">
        <v>34900.199999999997</v>
      </c>
      <c r="K56" s="392">
        <v>19241.990000000002</v>
      </c>
      <c r="L56" s="392">
        <v>7888.8</v>
      </c>
      <c r="M56" s="392">
        <v>182570.75</v>
      </c>
      <c r="N56" s="331">
        <f t="shared" si="0"/>
        <v>2729616.5053714612</v>
      </c>
      <c r="O56" s="396">
        <v>53112.2</v>
      </c>
      <c r="P56" s="396">
        <v>258862.5</v>
      </c>
      <c r="Q56" s="396">
        <v>159535.70000000001</v>
      </c>
      <c r="R56" s="396">
        <v>10598.58</v>
      </c>
      <c r="S56" s="373">
        <v>189195.6</v>
      </c>
      <c r="T56" s="332">
        <f t="shared" si="1"/>
        <v>3400921.0853714617</v>
      </c>
      <c r="U56" s="446">
        <v>76</v>
      </c>
      <c r="V56" s="10">
        <v>1011</v>
      </c>
      <c r="W56" s="10">
        <v>-22295.27</v>
      </c>
      <c r="X56" s="10">
        <v>0</v>
      </c>
      <c r="Y56" s="10">
        <v>-195.17</v>
      </c>
      <c r="Z56" s="373">
        <v>1</v>
      </c>
      <c r="AA56" s="400"/>
      <c r="AB56" s="400"/>
      <c r="AC56" s="400"/>
      <c r="AD56" s="400"/>
      <c r="AE56" s="400"/>
      <c r="AF56" s="400"/>
    </row>
    <row r="57" spans="1:32" x14ac:dyDescent="0.25">
      <c r="A57" s="338">
        <v>5487</v>
      </c>
      <c r="B57" s="330" t="s">
        <v>2</v>
      </c>
      <c r="C57" s="392">
        <v>967599.19</v>
      </c>
      <c r="D57" s="392">
        <v>117639.39</v>
      </c>
      <c r="E57" s="392">
        <v>0</v>
      </c>
      <c r="F57" s="392">
        <v>0</v>
      </c>
      <c r="G57" s="392">
        <v>3441.85</v>
      </c>
      <c r="H57" s="392">
        <v>104.1</v>
      </c>
      <c r="I57" s="380">
        <v>455.13172092639991</v>
      </c>
      <c r="J57" s="392">
        <v>0</v>
      </c>
      <c r="K57" s="392">
        <v>4292.26</v>
      </c>
      <c r="L57" s="392">
        <v>992.5</v>
      </c>
      <c r="M57" s="392">
        <v>76437.8</v>
      </c>
      <c r="N57" s="331">
        <f t="shared" si="0"/>
        <v>1170962.2217209265</v>
      </c>
      <c r="O57" s="396">
        <v>0</v>
      </c>
      <c r="P57" s="396">
        <v>32528.6</v>
      </c>
      <c r="Q57" s="396">
        <v>31405</v>
      </c>
      <c r="R57" s="396">
        <v>0</v>
      </c>
      <c r="S57" s="373">
        <v>6280.05</v>
      </c>
      <c r="T57" s="332">
        <f t="shared" si="1"/>
        <v>1241175.8717209266</v>
      </c>
      <c r="U57" s="446">
        <v>75</v>
      </c>
      <c r="V57" s="10">
        <v>459</v>
      </c>
      <c r="W57" s="10">
        <v>-8785.9699999999993</v>
      </c>
      <c r="X57" s="10">
        <v>0</v>
      </c>
      <c r="Y57" s="10">
        <v>-62.59</v>
      </c>
      <c r="Z57" s="373">
        <v>1</v>
      </c>
      <c r="AA57" s="400"/>
      <c r="AB57" s="400"/>
      <c r="AC57" s="400"/>
      <c r="AD57" s="400"/>
      <c r="AE57" s="400"/>
      <c r="AF57" s="400"/>
    </row>
    <row r="58" spans="1:32" x14ac:dyDescent="0.25">
      <c r="A58" s="338">
        <v>5488</v>
      </c>
      <c r="B58" s="330" t="s">
        <v>3</v>
      </c>
      <c r="C58" s="392">
        <v>116953.25</v>
      </c>
      <c r="D58" s="392">
        <v>13136.57</v>
      </c>
      <c r="E58" s="392">
        <v>0</v>
      </c>
      <c r="F58" s="392">
        <v>0</v>
      </c>
      <c r="G58" s="392">
        <v>-458.3</v>
      </c>
      <c r="H58" s="392">
        <v>304.85000000000002</v>
      </c>
      <c r="I58" s="380">
        <v>0</v>
      </c>
      <c r="J58" s="392">
        <v>0</v>
      </c>
      <c r="K58" s="392">
        <v>15.8</v>
      </c>
      <c r="L58" s="392">
        <v>0</v>
      </c>
      <c r="M58" s="392">
        <v>8426</v>
      </c>
      <c r="N58" s="331">
        <f t="shared" si="0"/>
        <v>138378.17000000001</v>
      </c>
      <c r="O58" s="396">
        <v>0</v>
      </c>
      <c r="P58" s="396">
        <v>0</v>
      </c>
      <c r="Q58" s="396">
        <v>0</v>
      </c>
      <c r="R58" s="396">
        <v>0</v>
      </c>
      <c r="S58" s="373">
        <v>0</v>
      </c>
      <c r="T58" s="332">
        <f t="shared" si="1"/>
        <v>138378.17000000001</v>
      </c>
      <c r="U58" s="446">
        <v>78</v>
      </c>
      <c r="V58" s="10">
        <v>57</v>
      </c>
      <c r="W58" s="10">
        <v>-1830.47</v>
      </c>
      <c r="X58" s="10">
        <v>0</v>
      </c>
      <c r="Y58" s="10">
        <v>0</v>
      </c>
      <c r="Z58" s="373">
        <v>1</v>
      </c>
      <c r="AA58" s="400"/>
      <c r="AB58" s="400"/>
      <c r="AC58" s="400"/>
      <c r="AD58" s="400"/>
      <c r="AE58" s="400"/>
      <c r="AF58" s="400"/>
    </row>
    <row r="59" spans="1:32" x14ac:dyDescent="0.25">
      <c r="A59" s="338">
        <v>5489</v>
      </c>
      <c r="B59" s="330" t="s">
        <v>4</v>
      </c>
      <c r="C59" s="392">
        <v>1797351.57</v>
      </c>
      <c r="D59" s="392">
        <v>580676.56999999995</v>
      </c>
      <c r="E59" s="392">
        <v>0</v>
      </c>
      <c r="F59" s="392">
        <v>0</v>
      </c>
      <c r="G59" s="392">
        <v>994436.85</v>
      </c>
      <c r="H59" s="392">
        <v>32222.799999999999</v>
      </c>
      <c r="I59" s="380">
        <v>80185.476119801548</v>
      </c>
      <c r="J59" s="392">
        <v>0</v>
      </c>
      <c r="K59" s="392">
        <v>107093.58</v>
      </c>
      <c r="L59" s="392">
        <v>6591.5</v>
      </c>
      <c r="M59" s="392">
        <v>285308.75</v>
      </c>
      <c r="N59" s="331">
        <f t="shared" si="0"/>
        <v>3883867.0961198015</v>
      </c>
      <c r="O59" s="396">
        <v>144968</v>
      </c>
      <c r="P59" s="396">
        <v>0</v>
      </c>
      <c r="Q59" s="396">
        <v>45107.35</v>
      </c>
      <c r="R59" s="396">
        <v>2220.9499999999998</v>
      </c>
      <c r="S59" s="373">
        <v>26931.7</v>
      </c>
      <c r="T59" s="332">
        <f t="shared" si="1"/>
        <v>4103095.096119802</v>
      </c>
      <c r="U59" s="446">
        <v>61</v>
      </c>
      <c r="V59" s="10">
        <v>718</v>
      </c>
      <c r="W59" s="10">
        <v>-13158.24</v>
      </c>
      <c r="X59" s="10">
        <v>0</v>
      </c>
      <c r="Y59" s="10">
        <v>-1021.17</v>
      </c>
      <c r="Z59" s="373">
        <v>1</v>
      </c>
      <c r="AA59" s="400"/>
      <c r="AB59" s="400"/>
      <c r="AC59" s="400"/>
      <c r="AD59" s="400"/>
      <c r="AE59" s="400"/>
      <c r="AF59" s="400"/>
    </row>
    <row r="60" spans="1:32" x14ac:dyDescent="0.25">
      <c r="A60" s="338">
        <v>5490</v>
      </c>
      <c r="B60" s="330" t="s">
        <v>5</v>
      </c>
      <c r="C60" s="392">
        <v>547896.81000000006</v>
      </c>
      <c r="D60" s="392">
        <v>67899.520000000106</v>
      </c>
      <c r="E60" s="392">
        <v>0</v>
      </c>
      <c r="F60" s="392">
        <v>0</v>
      </c>
      <c r="G60" s="392">
        <v>1402.3</v>
      </c>
      <c r="H60" s="392">
        <v>109.3</v>
      </c>
      <c r="I60" s="380">
        <v>194.01771298307818</v>
      </c>
      <c r="J60" s="392">
        <v>0</v>
      </c>
      <c r="K60" s="392">
        <v>3922.89</v>
      </c>
      <c r="L60" s="392">
        <v>0</v>
      </c>
      <c r="M60" s="392">
        <v>45067.25</v>
      </c>
      <c r="N60" s="331">
        <f t="shared" si="0"/>
        <v>666492.08771298337</v>
      </c>
      <c r="O60" s="396">
        <v>0</v>
      </c>
      <c r="P60" s="396">
        <v>0</v>
      </c>
      <c r="Q60" s="396">
        <v>5258</v>
      </c>
      <c r="R60" s="396">
        <v>12153.32</v>
      </c>
      <c r="S60" s="373">
        <v>13264.35</v>
      </c>
      <c r="T60" s="332">
        <f t="shared" si="1"/>
        <v>697167.75771298329</v>
      </c>
      <c r="U60" s="446">
        <v>78.5</v>
      </c>
      <c r="V60" s="10">
        <v>310</v>
      </c>
      <c r="W60" s="10">
        <v>-23373.06</v>
      </c>
      <c r="X60" s="10">
        <v>0</v>
      </c>
      <c r="Y60" s="10">
        <v>-714.55</v>
      </c>
      <c r="Z60" s="373">
        <v>1</v>
      </c>
      <c r="AA60" s="400"/>
      <c r="AB60" s="400"/>
      <c r="AC60" s="400"/>
      <c r="AD60" s="400"/>
      <c r="AE60" s="400"/>
      <c r="AF60" s="400"/>
    </row>
    <row r="61" spans="1:32" x14ac:dyDescent="0.25">
      <c r="A61" s="338">
        <v>5491</v>
      </c>
      <c r="B61" s="330" t="s">
        <v>163</v>
      </c>
      <c r="C61" s="392">
        <v>861931.75</v>
      </c>
      <c r="D61" s="392">
        <v>97944.8299999999</v>
      </c>
      <c r="E61" s="392">
        <v>0</v>
      </c>
      <c r="F61" s="392">
        <v>0</v>
      </c>
      <c r="G61" s="392">
        <v>22888.2</v>
      </c>
      <c r="H61" s="392">
        <v>2064.9</v>
      </c>
      <c r="I61" s="380">
        <v>3202.7939890434295</v>
      </c>
      <c r="J61" s="392">
        <v>0</v>
      </c>
      <c r="K61" s="392">
        <v>10466.219999999999</v>
      </c>
      <c r="L61" s="392">
        <v>986.75</v>
      </c>
      <c r="M61" s="392">
        <v>81407.850000000006</v>
      </c>
      <c r="N61" s="331">
        <f t="shared" si="0"/>
        <v>1080893.2939890432</v>
      </c>
      <c r="O61" s="396">
        <v>1991.25</v>
      </c>
      <c r="P61" s="396">
        <v>0</v>
      </c>
      <c r="Q61" s="396">
        <v>12867.8</v>
      </c>
      <c r="R61" s="396">
        <v>2209.84</v>
      </c>
      <c r="S61" s="373">
        <v>12585.7</v>
      </c>
      <c r="T61" s="332">
        <f t="shared" si="1"/>
        <v>1110547.8839890433</v>
      </c>
      <c r="U61" s="446">
        <v>76</v>
      </c>
      <c r="V61" s="10">
        <v>478</v>
      </c>
      <c r="W61" s="10">
        <v>-8335.15</v>
      </c>
      <c r="X61" s="10">
        <v>0</v>
      </c>
      <c r="Y61" s="10">
        <v>0.01</v>
      </c>
      <c r="Z61" s="373">
        <v>1</v>
      </c>
      <c r="AA61" s="400"/>
      <c r="AB61" s="400"/>
      <c r="AC61" s="400"/>
      <c r="AD61" s="400"/>
      <c r="AE61" s="400"/>
      <c r="AF61" s="400"/>
    </row>
    <row r="62" spans="1:32" x14ac:dyDescent="0.25">
      <c r="A62" s="338">
        <v>5492</v>
      </c>
      <c r="B62" s="330" t="s">
        <v>164</v>
      </c>
      <c r="C62" s="392">
        <v>5771014.3600000003</v>
      </c>
      <c r="D62" s="392">
        <v>6087112.8799999999</v>
      </c>
      <c r="E62" s="392">
        <v>0</v>
      </c>
      <c r="F62" s="392">
        <v>0</v>
      </c>
      <c r="G62" s="392">
        <v>-17550.900000000001</v>
      </c>
      <c r="H62" s="392">
        <v>2168.6</v>
      </c>
      <c r="I62" s="380">
        <v>0</v>
      </c>
      <c r="J62" s="392">
        <v>0</v>
      </c>
      <c r="K62" s="392">
        <v>61592.37</v>
      </c>
      <c r="L62" s="392">
        <v>4136.95</v>
      </c>
      <c r="M62" s="392">
        <v>72099.25</v>
      </c>
      <c r="N62" s="331">
        <f t="shared" si="0"/>
        <v>11980573.509999998</v>
      </c>
      <c r="O62" s="396">
        <v>4397.25</v>
      </c>
      <c r="P62" s="396">
        <v>0</v>
      </c>
      <c r="Q62" s="396">
        <v>81997.55</v>
      </c>
      <c r="R62" s="396">
        <v>19146.689999999999</v>
      </c>
      <c r="S62" s="373">
        <v>51307.7</v>
      </c>
      <c r="T62" s="332">
        <f t="shared" si="1"/>
        <v>12137422.699999997</v>
      </c>
      <c r="U62" s="446">
        <v>64</v>
      </c>
      <c r="V62" s="10">
        <v>964</v>
      </c>
      <c r="W62" s="10">
        <v>-15069.2</v>
      </c>
      <c r="X62" s="10">
        <v>0</v>
      </c>
      <c r="Y62" s="10">
        <v>-10136.86</v>
      </c>
      <c r="Z62" s="373">
        <v>0.3</v>
      </c>
      <c r="AA62" s="400"/>
      <c r="AB62" s="400"/>
      <c r="AC62" s="400"/>
      <c r="AD62" s="400"/>
      <c r="AE62" s="400"/>
      <c r="AF62" s="400"/>
    </row>
    <row r="63" spans="1:32" x14ac:dyDescent="0.25">
      <c r="A63" s="338">
        <v>5493</v>
      </c>
      <c r="B63" s="330" t="s">
        <v>165</v>
      </c>
      <c r="C63" s="392">
        <v>655461.80000000005</v>
      </c>
      <c r="D63" s="392">
        <v>84534.28</v>
      </c>
      <c r="E63" s="392">
        <v>0</v>
      </c>
      <c r="F63" s="392">
        <v>0</v>
      </c>
      <c r="G63" s="392">
        <v>5554.5</v>
      </c>
      <c r="H63" s="392">
        <v>1123.3499999999999</v>
      </c>
      <c r="I63" s="380">
        <v>857.1190689627208</v>
      </c>
      <c r="J63" s="392">
        <v>0</v>
      </c>
      <c r="K63" s="392">
        <v>535</v>
      </c>
      <c r="L63" s="392">
        <v>493.85</v>
      </c>
      <c r="M63" s="392">
        <v>35340.699999999997</v>
      </c>
      <c r="N63" s="331">
        <f t="shared" si="0"/>
        <v>783900.59906896274</v>
      </c>
      <c r="O63" s="396">
        <v>60984.2</v>
      </c>
      <c r="P63" s="396">
        <v>0</v>
      </c>
      <c r="Q63" s="396">
        <v>68974.399999999994</v>
      </c>
      <c r="R63" s="396">
        <v>-13295.07</v>
      </c>
      <c r="S63" s="373">
        <v>65216.95</v>
      </c>
      <c r="T63" s="332">
        <f t="shared" si="1"/>
        <v>965781.07906896272</v>
      </c>
      <c r="U63" s="446">
        <v>73</v>
      </c>
      <c r="V63" s="10">
        <v>416</v>
      </c>
      <c r="W63" s="10">
        <v>-10640.7</v>
      </c>
      <c r="X63" s="10">
        <v>0</v>
      </c>
      <c r="Y63" s="10">
        <v>-10.91</v>
      </c>
      <c r="Z63" s="373">
        <v>0.65</v>
      </c>
      <c r="AA63" s="400"/>
      <c r="AB63" s="400"/>
      <c r="AC63" s="400"/>
      <c r="AD63" s="400"/>
      <c r="AE63" s="400"/>
      <c r="AF63" s="400"/>
    </row>
    <row r="64" spans="1:32" x14ac:dyDescent="0.25">
      <c r="A64" s="338">
        <v>5494</v>
      </c>
      <c r="B64" s="330" t="s">
        <v>166</v>
      </c>
      <c r="C64" s="392">
        <v>2190260.59</v>
      </c>
      <c r="D64" s="392">
        <v>316179.21000000002</v>
      </c>
      <c r="E64" s="392">
        <v>0</v>
      </c>
      <c r="F64" s="392">
        <v>0</v>
      </c>
      <c r="G64" s="392">
        <v>22083</v>
      </c>
      <c r="H64" s="392">
        <v>3348.85</v>
      </c>
      <c r="I64" s="380">
        <v>3264.2427718501572</v>
      </c>
      <c r="J64" s="392">
        <v>0</v>
      </c>
      <c r="K64" s="392">
        <v>57927.27</v>
      </c>
      <c r="L64" s="392">
        <v>2544.5500000000002</v>
      </c>
      <c r="M64" s="392">
        <v>222574.9</v>
      </c>
      <c r="N64" s="331">
        <f t="shared" si="0"/>
        <v>2818182.6127718496</v>
      </c>
      <c r="O64" s="396">
        <v>30402.1</v>
      </c>
      <c r="P64" s="396">
        <v>112000</v>
      </c>
      <c r="Q64" s="396">
        <v>58784.3</v>
      </c>
      <c r="R64" s="396">
        <v>469.33</v>
      </c>
      <c r="S64" s="373">
        <v>8655.5</v>
      </c>
      <c r="T64" s="332">
        <f t="shared" si="1"/>
        <v>3028493.8427718496</v>
      </c>
      <c r="U64" s="446">
        <v>75</v>
      </c>
      <c r="V64" s="10">
        <v>1103</v>
      </c>
      <c r="W64" s="10">
        <v>-34901.949999999997</v>
      </c>
      <c r="X64" s="10">
        <v>0</v>
      </c>
      <c r="Y64" s="10">
        <v>-571.75</v>
      </c>
      <c r="Z64" s="373">
        <v>1.05</v>
      </c>
      <c r="AA64" s="400"/>
      <c r="AB64" s="400"/>
      <c r="AC64" s="400"/>
      <c r="AD64" s="400"/>
      <c r="AE64" s="400"/>
      <c r="AF64" s="400"/>
    </row>
    <row r="65" spans="1:32" x14ac:dyDescent="0.25">
      <c r="A65" s="338">
        <v>5495</v>
      </c>
      <c r="B65" s="330" t="s">
        <v>167</v>
      </c>
      <c r="C65" s="392">
        <v>5513577.4100000001</v>
      </c>
      <c r="D65" s="392">
        <v>628520.80000000005</v>
      </c>
      <c r="E65" s="392">
        <v>0</v>
      </c>
      <c r="F65" s="392">
        <v>0</v>
      </c>
      <c r="G65" s="392">
        <v>130709</v>
      </c>
      <c r="H65" s="392">
        <v>3846.8</v>
      </c>
      <c r="I65" s="380">
        <v>17270.579905139239</v>
      </c>
      <c r="J65" s="392">
        <v>74140.240000000005</v>
      </c>
      <c r="K65" s="392">
        <v>191151.18</v>
      </c>
      <c r="L65" s="392">
        <v>73744.45</v>
      </c>
      <c r="M65" s="392">
        <v>480901.45</v>
      </c>
      <c r="N65" s="331">
        <f t="shared" si="0"/>
        <v>7113861.9099051394</v>
      </c>
      <c r="O65" s="396">
        <v>195025.4</v>
      </c>
      <c r="P65" s="396">
        <v>61758.3</v>
      </c>
      <c r="Q65" s="396">
        <v>193102.2</v>
      </c>
      <c r="R65" s="396">
        <v>62267.76</v>
      </c>
      <c r="S65" s="373">
        <v>64511.6</v>
      </c>
      <c r="T65" s="332">
        <f t="shared" si="1"/>
        <v>7690527.1699051391</v>
      </c>
      <c r="U65" s="446">
        <v>74</v>
      </c>
      <c r="V65" s="10">
        <v>3257</v>
      </c>
      <c r="W65" s="10">
        <v>-138234.69</v>
      </c>
      <c r="X65" s="10">
        <v>0</v>
      </c>
      <c r="Y65" s="10">
        <v>-1455.81</v>
      </c>
      <c r="Z65" s="373">
        <v>1</v>
      </c>
      <c r="AA65" s="400"/>
      <c r="AB65" s="400"/>
      <c r="AC65" s="400"/>
      <c r="AD65" s="400"/>
      <c r="AE65" s="400"/>
      <c r="AF65" s="400"/>
    </row>
    <row r="66" spans="1:32" x14ac:dyDescent="0.25">
      <c r="A66" s="338">
        <v>5496</v>
      </c>
      <c r="B66" s="330" t="s">
        <v>168</v>
      </c>
      <c r="C66" s="392">
        <v>3415816.46</v>
      </c>
      <c r="D66" s="392">
        <v>347147.15</v>
      </c>
      <c r="E66" s="392">
        <v>0</v>
      </c>
      <c r="F66" s="392">
        <v>0</v>
      </c>
      <c r="G66" s="392">
        <v>93534.399999999994</v>
      </c>
      <c r="H66" s="392">
        <v>12553.05</v>
      </c>
      <c r="I66" s="380">
        <v>13616.594618421976</v>
      </c>
      <c r="J66" s="392">
        <v>0</v>
      </c>
      <c r="K66" s="392">
        <v>99718.43</v>
      </c>
      <c r="L66" s="392">
        <v>19664.349999999999</v>
      </c>
      <c r="M66" s="392">
        <v>317459.15000000002</v>
      </c>
      <c r="N66" s="331">
        <f t="shared" si="0"/>
        <v>4319509.5846184222</v>
      </c>
      <c r="O66" s="396">
        <v>81094.8</v>
      </c>
      <c r="P66" s="396">
        <v>3099.4</v>
      </c>
      <c r="Q66" s="396">
        <v>206416.85</v>
      </c>
      <c r="R66" s="396">
        <v>6115.95</v>
      </c>
      <c r="S66" s="373">
        <v>176577.95</v>
      </c>
      <c r="T66" s="332">
        <f t="shared" si="1"/>
        <v>4792814.5346184224</v>
      </c>
      <c r="U66" s="446">
        <v>71</v>
      </c>
      <c r="V66" s="10">
        <v>1760</v>
      </c>
      <c r="W66" s="10">
        <v>-112333.43</v>
      </c>
      <c r="X66" s="10">
        <v>0</v>
      </c>
      <c r="Y66" s="10">
        <v>-332.66</v>
      </c>
      <c r="Z66" s="373">
        <v>1</v>
      </c>
      <c r="AA66" s="400"/>
      <c r="AB66" s="400"/>
      <c r="AC66" s="400"/>
      <c r="AD66" s="400"/>
      <c r="AE66" s="400"/>
      <c r="AF66" s="400"/>
    </row>
    <row r="67" spans="1:32" x14ac:dyDescent="0.25">
      <c r="A67" s="338">
        <v>5497</v>
      </c>
      <c r="B67" s="330" t="s">
        <v>169</v>
      </c>
      <c r="C67" s="392">
        <v>1024834.16</v>
      </c>
      <c r="D67" s="392">
        <v>144199</v>
      </c>
      <c r="E67" s="392">
        <v>0</v>
      </c>
      <c r="F67" s="392">
        <v>0</v>
      </c>
      <c r="G67" s="392">
        <v>201736.55</v>
      </c>
      <c r="H67" s="392">
        <v>1834.5</v>
      </c>
      <c r="I67" s="380">
        <v>26128.863158615943</v>
      </c>
      <c r="J67" s="392">
        <v>0</v>
      </c>
      <c r="K67" s="392">
        <v>33423.17</v>
      </c>
      <c r="L67" s="392">
        <v>-19719.25</v>
      </c>
      <c r="M67" s="392">
        <v>128371.85</v>
      </c>
      <c r="N67" s="331">
        <f t="shared" si="0"/>
        <v>1540808.8431586162</v>
      </c>
      <c r="O67" s="396">
        <v>197354.2</v>
      </c>
      <c r="P67" s="396">
        <v>25970.9</v>
      </c>
      <c r="Q67" s="396">
        <v>21630.5</v>
      </c>
      <c r="R67" s="396">
        <v>2138.46</v>
      </c>
      <c r="S67" s="373">
        <v>74622.350000000006</v>
      </c>
      <c r="T67" s="332">
        <f t="shared" si="1"/>
        <v>1862525.2531586161</v>
      </c>
      <c r="U67" s="446">
        <v>66</v>
      </c>
      <c r="V67" s="10">
        <v>851</v>
      </c>
      <c r="W67" s="10">
        <v>-46507.19</v>
      </c>
      <c r="X67" s="10">
        <v>0</v>
      </c>
      <c r="Y67" s="10">
        <v>-48.89</v>
      </c>
      <c r="Z67" s="373">
        <v>1</v>
      </c>
      <c r="AA67" s="400"/>
      <c r="AB67" s="400"/>
      <c r="AC67" s="400"/>
      <c r="AD67" s="400"/>
      <c r="AE67" s="400"/>
      <c r="AF67" s="400"/>
    </row>
    <row r="68" spans="1:32" x14ac:dyDescent="0.25">
      <c r="A68" s="338">
        <v>5498</v>
      </c>
      <c r="B68" s="330" t="s">
        <v>170</v>
      </c>
      <c r="C68" s="392">
        <v>4135695.08</v>
      </c>
      <c r="D68" s="392">
        <v>464808.07</v>
      </c>
      <c r="E68" s="392">
        <v>0</v>
      </c>
      <c r="F68" s="392">
        <v>0</v>
      </c>
      <c r="G68" s="392">
        <v>62863</v>
      </c>
      <c r="H68" s="392">
        <v>4705.1499999999996</v>
      </c>
      <c r="I68" s="380">
        <v>8672.544279900485</v>
      </c>
      <c r="J68" s="392">
        <v>0</v>
      </c>
      <c r="K68" s="392">
        <v>119831.07</v>
      </c>
      <c r="L68" s="392">
        <v>17932.150000000001</v>
      </c>
      <c r="M68" s="392">
        <v>389845.35</v>
      </c>
      <c r="N68" s="331">
        <f t="shared" si="0"/>
        <v>5204352.4142799014</v>
      </c>
      <c r="O68" s="396">
        <v>75092.25</v>
      </c>
      <c r="P68" s="396">
        <v>0</v>
      </c>
      <c r="Q68" s="396">
        <v>240098.25</v>
      </c>
      <c r="R68" s="396">
        <v>15298.33</v>
      </c>
      <c r="S68" s="373">
        <v>278979.7</v>
      </c>
      <c r="T68" s="332">
        <f t="shared" si="1"/>
        <v>5813820.9442799017</v>
      </c>
      <c r="U68" s="446">
        <v>66</v>
      </c>
      <c r="V68" s="10">
        <v>2651</v>
      </c>
      <c r="W68" s="10">
        <v>-109867.94</v>
      </c>
      <c r="X68" s="10">
        <v>0</v>
      </c>
      <c r="Y68" s="10">
        <v>-469.77</v>
      </c>
      <c r="Z68" s="373">
        <v>1</v>
      </c>
      <c r="AA68" s="400"/>
      <c r="AB68" s="400"/>
      <c r="AC68" s="400"/>
      <c r="AD68" s="400"/>
      <c r="AE68" s="400"/>
      <c r="AF68" s="400"/>
    </row>
    <row r="69" spans="1:32" x14ac:dyDescent="0.25">
      <c r="A69" s="338">
        <v>5499</v>
      </c>
      <c r="B69" s="330" t="s">
        <v>171</v>
      </c>
      <c r="C69" s="392">
        <v>1106750.5</v>
      </c>
      <c r="D69" s="392">
        <v>93905.34</v>
      </c>
      <c r="E69" s="392">
        <v>0</v>
      </c>
      <c r="F69" s="392">
        <v>0</v>
      </c>
      <c r="G69" s="392">
        <v>22305.55</v>
      </c>
      <c r="H69" s="392">
        <v>995.9</v>
      </c>
      <c r="I69" s="380">
        <v>2990.8005015808067</v>
      </c>
      <c r="J69" s="392">
        <v>0</v>
      </c>
      <c r="K69" s="392">
        <v>14365.9</v>
      </c>
      <c r="L69" s="392">
        <v>0</v>
      </c>
      <c r="M69" s="392">
        <v>94513.600000000006</v>
      </c>
      <c r="N69" s="331">
        <f t="shared" si="0"/>
        <v>1335827.5905015809</v>
      </c>
      <c r="O69" s="396">
        <v>8008.2</v>
      </c>
      <c r="P69" s="396">
        <v>30687.8</v>
      </c>
      <c r="Q69" s="396">
        <v>49534.15</v>
      </c>
      <c r="R69" s="396">
        <v>1395.65</v>
      </c>
      <c r="S69" s="373">
        <v>35226.699999999997</v>
      </c>
      <c r="T69" s="332">
        <f t="shared" si="1"/>
        <v>1460680.0905015806</v>
      </c>
      <c r="U69" s="446">
        <v>68.5</v>
      </c>
      <c r="V69" s="10">
        <v>477</v>
      </c>
      <c r="W69" s="10">
        <v>-234.76</v>
      </c>
      <c r="X69" s="10">
        <v>0</v>
      </c>
      <c r="Y69" s="10">
        <v>-451.45</v>
      </c>
      <c r="Z69" s="373">
        <v>1</v>
      </c>
      <c r="AA69" s="400"/>
      <c r="AB69" s="400"/>
      <c r="AC69" s="400"/>
      <c r="AD69" s="400"/>
      <c r="AE69" s="400"/>
      <c r="AF69" s="400"/>
    </row>
    <row r="70" spans="1:32" x14ac:dyDescent="0.25">
      <c r="A70" s="338">
        <v>5500</v>
      </c>
      <c r="B70" s="330" t="s">
        <v>172</v>
      </c>
      <c r="C70" s="392">
        <v>401293.28</v>
      </c>
      <c r="D70" s="392">
        <v>80915.05</v>
      </c>
      <c r="E70" s="392">
        <v>0</v>
      </c>
      <c r="F70" s="392">
        <v>0</v>
      </c>
      <c r="G70" s="392">
        <v>-1420.35</v>
      </c>
      <c r="H70" s="392">
        <v>573.1</v>
      </c>
      <c r="I70" s="380">
        <v>0</v>
      </c>
      <c r="J70" s="392">
        <v>0</v>
      </c>
      <c r="K70" s="392">
        <v>8545.81</v>
      </c>
      <c r="L70" s="392">
        <v>153.94999999999999</v>
      </c>
      <c r="M70" s="392">
        <v>50710.1</v>
      </c>
      <c r="N70" s="331">
        <f t="shared" ref="N70:N133" si="2">SUM(C70:M70)</f>
        <v>540770.94000000006</v>
      </c>
      <c r="O70" s="396">
        <v>0</v>
      </c>
      <c r="P70" s="396">
        <v>0</v>
      </c>
      <c r="Q70" s="396">
        <v>23221</v>
      </c>
      <c r="R70" s="396">
        <v>0</v>
      </c>
      <c r="S70" s="373">
        <v>8574.25</v>
      </c>
      <c r="T70" s="332">
        <f t="shared" ref="T70:T133" si="3">SUM(N70:S70)</f>
        <v>572566.19000000006</v>
      </c>
      <c r="U70" s="446">
        <v>75</v>
      </c>
      <c r="V70" s="10">
        <v>227</v>
      </c>
      <c r="W70" s="10">
        <v>-8113.74</v>
      </c>
      <c r="X70" s="10">
        <v>0</v>
      </c>
      <c r="Y70" s="10">
        <v>0</v>
      </c>
      <c r="Z70" s="373">
        <v>1.2</v>
      </c>
      <c r="AA70" s="400"/>
      <c r="AB70" s="400"/>
      <c r="AC70" s="400"/>
      <c r="AD70" s="400"/>
      <c r="AE70" s="400"/>
      <c r="AF70" s="400"/>
    </row>
    <row r="71" spans="1:32" x14ac:dyDescent="0.25">
      <c r="A71" s="338">
        <v>5501</v>
      </c>
      <c r="B71" s="330" t="s">
        <v>173</v>
      </c>
      <c r="C71" s="392">
        <v>2114059.5</v>
      </c>
      <c r="D71" s="392">
        <v>439994.15</v>
      </c>
      <c r="E71" s="392">
        <v>0</v>
      </c>
      <c r="F71" s="392">
        <v>0</v>
      </c>
      <c r="G71" s="392">
        <v>11929.5</v>
      </c>
      <c r="H71" s="392">
        <v>849.5</v>
      </c>
      <c r="I71" s="380">
        <v>1640.2172229496932</v>
      </c>
      <c r="J71" s="392">
        <v>38474.65</v>
      </c>
      <c r="K71" s="392">
        <v>26794.66</v>
      </c>
      <c r="L71" s="392">
        <v>0</v>
      </c>
      <c r="M71" s="392">
        <v>221797.75</v>
      </c>
      <c r="N71" s="331">
        <f t="shared" si="2"/>
        <v>2855539.9272229495</v>
      </c>
      <c r="O71" s="396">
        <v>5708.9</v>
      </c>
      <c r="P71" s="396">
        <v>0</v>
      </c>
      <c r="Q71" s="396">
        <v>97828.7</v>
      </c>
      <c r="R71" s="396">
        <v>3221.46</v>
      </c>
      <c r="S71" s="373">
        <v>79520.3</v>
      </c>
      <c r="T71" s="332">
        <f t="shared" si="3"/>
        <v>3041819.2872229493</v>
      </c>
      <c r="U71" s="446">
        <v>70</v>
      </c>
      <c r="V71" s="10">
        <v>1035</v>
      </c>
      <c r="W71" s="10">
        <v>-28998.23</v>
      </c>
      <c r="X71" s="10">
        <v>0</v>
      </c>
      <c r="Y71" s="10">
        <v>-355.29</v>
      </c>
      <c r="Z71" s="373">
        <v>1</v>
      </c>
      <c r="AA71" s="400"/>
      <c r="AB71" s="400"/>
      <c r="AC71" s="400"/>
      <c r="AD71" s="400"/>
      <c r="AE71" s="400"/>
      <c r="AF71" s="400"/>
    </row>
    <row r="72" spans="1:32" x14ac:dyDescent="0.25">
      <c r="A72" s="338">
        <v>5503</v>
      </c>
      <c r="B72" s="330" t="s">
        <v>174</v>
      </c>
      <c r="C72" s="392">
        <v>3973249.97</v>
      </c>
      <c r="D72" s="392">
        <v>585326.51</v>
      </c>
      <c r="E72" s="392">
        <v>0</v>
      </c>
      <c r="F72" s="392">
        <v>0</v>
      </c>
      <c r="G72" s="392">
        <v>877454.7</v>
      </c>
      <c r="H72" s="392">
        <v>20430.150000000001</v>
      </c>
      <c r="I72" s="380">
        <v>185775.4128648639</v>
      </c>
      <c r="J72" s="392">
        <v>0</v>
      </c>
      <c r="K72" s="392">
        <v>-6530.17</v>
      </c>
      <c r="L72" s="392">
        <v>14177.8</v>
      </c>
      <c r="M72" s="392">
        <v>444046.8</v>
      </c>
      <c r="N72" s="331">
        <f t="shared" si="2"/>
        <v>6093931.1728648646</v>
      </c>
      <c r="O72" s="396">
        <v>86713.7</v>
      </c>
      <c r="P72" s="396">
        <v>8647</v>
      </c>
      <c r="Q72" s="396">
        <v>108087.95</v>
      </c>
      <c r="R72" s="396">
        <v>1740.47</v>
      </c>
      <c r="S72" s="373">
        <v>244724.9</v>
      </c>
      <c r="T72" s="332">
        <f t="shared" si="3"/>
        <v>6543845.1928648651</v>
      </c>
      <c r="U72" s="446">
        <v>67</v>
      </c>
      <c r="V72" s="10">
        <v>1295</v>
      </c>
      <c r="W72" s="10">
        <v>-20664.37</v>
      </c>
      <c r="X72" s="10">
        <v>0</v>
      </c>
      <c r="Y72" s="10">
        <v>-674.01</v>
      </c>
      <c r="Z72" s="373">
        <v>1.2</v>
      </c>
      <c r="AA72" s="400"/>
      <c r="AB72" s="400"/>
      <c r="AC72" s="400"/>
      <c r="AD72" s="400"/>
      <c r="AE72" s="400"/>
      <c r="AF72" s="400"/>
    </row>
    <row r="73" spans="1:32" x14ac:dyDescent="0.25">
      <c r="A73" s="338">
        <v>5511</v>
      </c>
      <c r="B73" s="330" t="s">
        <v>175</v>
      </c>
      <c r="C73" s="392">
        <v>2354425.2999999998</v>
      </c>
      <c r="D73" s="392">
        <v>421925.66</v>
      </c>
      <c r="E73" s="392">
        <v>0</v>
      </c>
      <c r="F73" s="392">
        <v>0</v>
      </c>
      <c r="G73" s="392">
        <v>402126.35</v>
      </c>
      <c r="H73" s="392">
        <v>3819.15</v>
      </c>
      <c r="I73" s="380">
        <v>52104.139657166023</v>
      </c>
      <c r="J73" s="392">
        <v>0</v>
      </c>
      <c r="K73" s="392">
        <v>38822.199999999997</v>
      </c>
      <c r="L73" s="392">
        <v>2421</v>
      </c>
      <c r="M73" s="392">
        <v>237314.05</v>
      </c>
      <c r="N73" s="331">
        <f t="shared" si="2"/>
        <v>3512957.8496571658</v>
      </c>
      <c r="O73" s="396">
        <v>11964.55</v>
      </c>
      <c r="P73" s="396">
        <v>0</v>
      </c>
      <c r="Q73" s="396">
        <v>142023.45000000001</v>
      </c>
      <c r="R73" s="396">
        <v>2401.69</v>
      </c>
      <c r="S73" s="373">
        <v>97499.9</v>
      </c>
      <c r="T73" s="332">
        <f t="shared" si="3"/>
        <v>3766847.4396571657</v>
      </c>
      <c r="U73" s="446">
        <v>70</v>
      </c>
      <c r="V73" s="10">
        <v>1074</v>
      </c>
      <c r="W73" s="10">
        <v>-11264.89</v>
      </c>
      <c r="X73" s="10">
        <v>0</v>
      </c>
      <c r="Y73" s="10">
        <v>-107.75</v>
      </c>
      <c r="Z73" s="373">
        <v>1</v>
      </c>
      <c r="AA73" s="400"/>
      <c r="AB73" s="400"/>
      <c r="AC73" s="400"/>
      <c r="AD73" s="400"/>
      <c r="AE73" s="400"/>
      <c r="AF73" s="400"/>
    </row>
    <row r="74" spans="1:32" x14ac:dyDescent="0.25">
      <c r="A74" s="338">
        <v>5512</v>
      </c>
      <c r="B74" s="330" t="s">
        <v>176</v>
      </c>
      <c r="C74" s="392">
        <v>2386879.91</v>
      </c>
      <c r="D74" s="392">
        <v>393560.22</v>
      </c>
      <c r="E74" s="392">
        <v>0</v>
      </c>
      <c r="F74" s="392">
        <v>0</v>
      </c>
      <c r="G74" s="392">
        <v>66152.800000000003</v>
      </c>
      <c r="H74" s="392">
        <v>3289</v>
      </c>
      <c r="I74" s="380">
        <v>8913.0320332285792</v>
      </c>
      <c r="J74" s="392">
        <v>0</v>
      </c>
      <c r="K74" s="392">
        <v>64914.23</v>
      </c>
      <c r="L74" s="392">
        <v>7584.7</v>
      </c>
      <c r="M74" s="392">
        <v>250033</v>
      </c>
      <c r="N74" s="331">
        <f t="shared" si="2"/>
        <v>3181326.8920332287</v>
      </c>
      <c r="O74" s="396">
        <v>54197.25</v>
      </c>
      <c r="P74" s="396">
        <v>4694.5</v>
      </c>
      <c r="Q74" s="396">
        <v>82116.75</v>
      </c>
      <c r="R74" s="396">
        <v>10670.15</v>
      </c>
      <c r="S74" s="373">
        <v>56380.95</v>
      </c>
      <c r="T74" s="332">
        <f t="shared" si="3"/>
        <v>3389386.4920332287</v>
      </c>
      <c r="U74" s="446">
        <v>79</v>
      </c>
      <c r="V74" s="10">
        <v>1280</v>
      </c>
      <c r="W74" s="10">
        <v>-29974.03</v>
      </c>
      <c r="X74" s="10">
        <v>0</v>
      </c>
      <c r="Y74" s="10">
        <v>-903.29</v>
      </c>
      <c r="Z74" s="373">
        <v>1</v>
      </c>
      <c r="AA74" s="400"/>
      <c r="AB74" s="400"/>
      <c r="AC74" s="400"/>
      <c r="AD74" s="400"/>
      <c r="AE74" s="400"/>
      <c r="AF74" s="400"/>
    </row>
    <row r="75" spans="1:32" x14ac:dyDescent="0.25">
      <c r="A75" s="338">
        <v>5513</v>
      </c>
      <c r="B75" s="330" t="s">
        <v>177</v>
      </c>
      <c r="C75" s="392">
        <v>1050220.3500000001</v>
      </c>
      <c r="D75" s="392">
        <v>96294.33</v>
      </c>
      <c r="E75" s="392">
        <v>0</v>
      </c>
      <c r="F75" s="392">
        <v>0</v>
      </c>
      <c r="G75" s="392">
        <v>71254.650000000096</v>
      </c>
      <c r="H75" s="392">
        <v>37316.85</v>
      </c>
      <c r="I75" s="380">
        <v>13935.428767625215</v>
      </c>
      <c r="J75" s="392">
        <v>0</v>
      </c>
      <c r="K75" s="392">
        <v>60903.24</v>
      </c>
      <c r="L75" s="392">
        <v>10166.75</v>
      </c>
      <c r="M75" s="392">
        <v>57535.8</v>
      </c>
      <c r="N75" s="331">
        <f t="shared" si="2"/>
        <v>1397627.3987676257</v>
      </c>
      <c r="O75" s="396">
        <v>131251.35</v>
      </c>
      <c r="P75" s="396">
        <v>6159.8</v>
      </c>
      <c r="Q75" s="396">
        <v>34142.35</v>
      </c>
      <c r="R75" s="396">
        <v>5329.29</v>
      </c>
      <c r="S75" s="373">
        <v>7883.9</v>
      </c>
      <c r="T75" s="332">
        <f t="shared" si="3"/>
        <v>1582394.0887676259</v>
      </c>
      <c r="U75" s="446">
        <v>68</v>
      </c>
      <c r="V75" s="10">
        <v>521</v>
      </c>
      <c r="W75" s="10">
        <v>-26769.8</v>
      </c>
      <c r="X75" s="10">
        <v>0</v>
      </c>
      <c r="Y75" s="10">
        <v>-7.0000000000000007E-2</v>
      </c>
      <c r="Z75" s="373">
        <v>0.5</v>
      </c>
      <c r="AA75" s="400"/>
      <c r="AB75" s="400"/>
      <c r="AC75" s="400"/>
      <c r="AD75" s="400"/>
      <c r="AE75" s="400"/>
      <c r="AF75" s="400"/>
    </row>
    <row r="76" spans="1:32" x14ac:dyDescent="0.25">
      <c r="A76" s="338">
        <v>5514</v>
      </c>
      <c r="B76" s="330" t="s">
        <v>178</v>
      </c>
      <c r="C76" s="392">
        <v>2324990.84</v>
      </c>
      <c r="D76" s="392">
        <v>309491.71999999997</v>
      </c>
      <c r="E76" s="392">
        <v>0</v>
      </c>
      <c r="F76" s="392">
        <v>0</v>
      </c>
      <c r="G76" s="392">
        <v>45964.9</v>
      </c>
      <c r="H76" s="392">
        <v>7271.45</v>
      </c>
      <c r="I76" s="380">
        <v>6833.0212189512404</v>
      </c>
      <c r="J76" s="392">
        <v>36479.1</v>
      </c>
      <c r="K76" s="392">
        <v>66329.039999999994</v>
      </c>
      <c r="L76" s="392">
        <v>9875.5</v>
      </c>
      <c r="M76" s="392">
        <v>230359.8</v>
      </c>
      <c r="N76" s="331">
        <f t="shared" si="2"/>
        <v>3037595.371218951</v>
      </c>
      <c r="O76" s="396">
        <v>5546.8</v>
      </c>
      <c r="P76" s="396">
        <v>0</v>
      </c>
      <c r="Q76" s="396">
        <v>57619.85</v>
      </c>
      <c r="R76" s="396">
        <v>16240.68</v>
      </c>
      <c r="S76" s="373">
        <v>65627.399999999994</v>
      </c>
      <c r="T76" s="332">
        <f t="shared" si="3"/>
        <v>3182630.1012189509</v>
      </c>
      <c r="U76" s="446">
        <v>74</v>
      </c>
      <c r="V76" s="10">
        <v>1299</v>
      </c>
      <c r="W76" s="10">
        <v>-33981.769999999997</v>
      </c>
      <c r="X76" s="10">
        <v>0</v>
      </c>
      <c r="Y76" s="10">
        <v>-27.07</v>
      </c>
      <c r="Z76" s="373">
        <v>1</v>
      </c>
      <c r="AA76" s="400"/>
      <c r="AB76" s="400"/>
      <c r="AC76" s="400"/>
      <c r="AD76" s="400"/>
      <c r="AE76" s="400"/>
      <c r="AF76" s="400"/>
    </row>
    <row r="77" spans="1:32" x14ac:dyDescent="0.25">
      <c r="A77" s="338">
        <v>5515</v>
      </c>
      <c r="B77" s="330" t="s">
        <v>179</v>
      </c>
      <c r="C77" s="392">
        <v>1982495.47</v>
      </c>
      <c r="D77" s="392">
        <v>211595.6</v>
      </c>
      <c r="E77" s="392">
        <v>0</v>
      </c>
      <c r="F77" s="392">
        <v>0</v>
      </c>
      <c r="G77" s="392">
        <v>4101.75</v>
      </c>
      <c r="H77" s="392">
        <v>709.8</v>
      </c>
      <c r="I77" s="380">
        <v>617.57470686936358</v>
      </c>
      <c r="J77" s="392">
        <v>0</v>
      </c>
      <c r="K77" s="392">
        <v>60964.72</v>
      </c>
      <c r="L77" s="392">
        <v>4856.05</v>
      </c>
      <c r="M77" s="392">
        <v>161813.95000000001</v>
      </c>
      <c r="N77" s="331">
        <f t="shared" si="2"/>
        <v>2427154.9147068691</v>
      </c>
      <c r="O77" s="396">
        <v>8303</v>
      </c>
      <c r="P77" s="396">
        <v>0</v>
      </c>
      <c r="Q77" s="396">
        <v>162427.6</v>
      </c>
      <c r="R77" s="396">
        <v>645.6</v>
      </c>
      <c r="S77" s="373">
        <v>24956.5</v>
      </c>
      <c r="T77" s="332">
        <f t="shared" si="3"/>
        <v>2623487.6147068692</v>
      </c>
      <c r="U77" s="446">
        <v>81</v>
      </c>
      <c r="V77" s="10">
        <v>861</v>
      </c>
      <c r="W77" s="10">
        <v>-92741.65</v>
      </c>
      <c r="X77" s="10">
        <v>-855.55</v>
      </c>
      <c r="Y77" s="10">
        <v>0.05</v>
      </c>
      <c r="Z77" s="373">
        <v>1</v>
      </c>
      <c r="AA77" s="400"/>
      <c r="AB77" s="400"/>
      <c r="AC77" s="400"/>
      <c r="AD77" s="400"/>
      <c r="AE77" s="400"/>
      <c r="AF77" s="400"/>
    </row>
    <row r="78" spans="1:32" x14ac:dyDescent="0.25">
      <c r="A78" s="338">
        <v>5516</v>
      </c>
      <c r="B78" s="330" t="s">
        <v>180</v>
      </c>
      <c r="C78" s="392">
        <v>6798166.6699999999</v>
      </c>
      <c r="D78" s="392">
        <v>1086830.0900000001</v>
      </c>
      <c r="E78" s="392">
        <v>0</v>
      </c>
      <c r="F78" s="392">
        <v>0</v>
      </c>
      <c r="G78" s="392">
        <v>117893.55</v>
      </c>
      <c r="H78" s="392">
        <v>9034.5499999999993</v>
      </c>
      <c r="I78" s="380">
        <v>16291.545167562483</v>
      </c>
      <c r="J78" s="392">
        <v>804.45</v>
      </c>
      <c r="K78" s="392">
        <v>119548.36</v>
      </c>
      <c r="L78" s="392">
        <v>26829.7</v>
      </c>
      <c r="M78" s="392">
        <v>691202.65</v>
      </c>
      <c r="N78" s="331">
        <f t="shared" si="2"/>
        <v>8866601.565167563</v>
      </c>
      <c r="O78" s="396">
        <v>81623.75</v>
      </c>
      <c r="P78" s="396">
        <v>0</v>
      </c>
      <c r="Q78" s="396">
        <v>166230.79999999999</v>
      </c>
      <c r="R78" s="396">
        <v>46876.55</v>
      </c>
      <c r="S78" s="373">
        <v>80093.95</v>
      </c>
      <c r="T78" s="332">
        <f t="shared" si="3"/>
        <v>9241426.6151675638</v>
      </c>
      <c r="U78" s="446">
        <v>78</v>
      </c>
      <c r="V78" s="10">
        <v>2768</v>
      </c>
      <c r="W78" s="10">
        <v>-144740.09</v>
      </c>
      <c r="X78" s="10">
        <v>0</v>
      </c>
      <c r="Y78" s="10">
        <v>-2180.11</v>
      </c>
      <c r="Z78" s="373">
        <v>1.2</v>
      </c>
      <c r="AA78" s="400"/>
      <c r="AB78" s="400"/>
      <c r="AC78" s="400"/>
      <c r="AD78" s="400"/>
      <c r="AE78" s="400"/>
      <c r="AF78" s="400"/>
    </row>
    <row r="79" spans="1:32" x14ac:dyDescent="0.25">
      <c r="A79" s="338">
        <v>5518</v>
      </c>
      <c r="B79" s="330" t="s">
        <v>181</v>
      </c>
      <c r="C79" s="392">
        <v>10805324.73</v>
      </c>
      <c r="D79" s="392">
        <v>1311849.45</v>
      </c>
      <c r="E79" s="392">
        <v>0</v>
      </c>
      <c r="F79" s="392">
        <v>0</v>
      </c>
      <c r="G79" s="392">
        <v>442866.65</v>
      </c>
      <c r="H79" s="392">
        <v>54831.85</v>
      </c>
      <c r="I79" s="380">
        <v>63880.871080384059</v>
      </c>
      <c r="J79" s="392">
        <v>0</v>
      </c>
      <c r="K79" s="392">
        <v>220538.18</v>
      </c>
      <c r="L79" s="392">
        <v>55525.4</v>
      </c>
      <c r="M79" s="392">
        <v>1047812.85</v>
      </c>
      <c r="N79" s="331">
        <f t="shared" si="2"/>
        <v>14002629.981080383</v>
      </c>
      <c r="O79" s="396">
        <v>155319.45000000001</v>
      </c>
      <c r="P79" s="396">
        <v>64299.6</v>
      </c>
      <c r="Q79" s="396">
        <v>1137846.8</v>
      </c>
      <c r="R79" s="396">
        <v>70193.87</v>
      </c>
      <c r="S79" s="373">
        <v>233674.95</v>
      </c>
      <c r="T79" s="332">
        <f t="shared" si="3"/>
        <v>15663964.651080381</v>
      </c>
      <c r="U79" s="446">
        <v>74</v>
      </c>
      <c r="V79" s="10">
        <v>5725</v>
      </c>
      <c r="W79" s="10">
        <v>-326551.06</v>
      </c>
      <c r="X79" s="10">
        <v>0</v>
      </c>
      <c r="Y79" s="10">
        <v>-1447.36</v>
      </c>
      <c r="Z79" s="373">
        <v>1</v>
      </c>
      <c r="AA79" s="400"/>
      <c r="AB79" s="400"/>
      <c r="AC79" s="400"/>
      <c r="AD79" s="400"/>
      <c r="AE79" s="400"/>
      <c r="AF79" s="400"/>
    </row>
    <row r="80" spans="1:32" x14ac:dyDescent="0.25">
      <c r="A80" s="338">
        <v>5520</v>
      </c>
      <c r="B80" s="330" t="s">
        <v>182</v>
      </c>
      <c r="C80" s="392">
        <v>1718444.61</v>
      </c>
      <c r="D80" s="392">
        <v>244982.36</v>
      </c>
      <c r="E80" s="392">
        <v>0</v>
      </c>
      <c r="F80" s="392">
        <v>0</v>
      </c>
      <c r="G80" s="392">
        <v>16297.45</v>
      </c>
      <c r="H80" s="392">
        <v>2492.5</v>
      </c>
      <c r="I80" s="380">
        <v>2411.7379770219568</v>
      </c>
      <c r="J80" s="392">
        <v>0</v>
      </c>
      <c r="K80" s="392">
        <v>12580.81</v>
      </c>
      <c r="L80" s="392">
        <v>3421.25</v>
      </c>
      <c r="M80" s="392">
        <v>181911.15</v>
      </c>
      <c r="N80" s="331">
        <f t="shared" si="2"/>
        <v>2182541.8679770222</v>
      </c>
      <c r="O80" s="396">
        <v>0</v>
      </c>
      <c r="P80" s="396">
        <v>-17472.099999999999</v>
      </c>
      <c r="Q80" s="396">
        <v>103141.75</v>
      </c>
      <c r="R80" s="396">
        <v>20059.57</v>
      </c>
      <c r="S80" s="373">
        <v>40313.949999999997</v>
      </c>
      <c r="T80" s="332">
        <f t="shared" si="3"/>
        <v>2328585.0379770221</v>
      </c>
      <c r="U80" s="446">
        <v>73</v>
      </c>
      <c r="V80" s="10">
        <v>1030</v>
      </c>
      <c r="W80" s="10">
        <v>-24676.41</v>
      </c>
      <c r="X80" s="10">
        <v>0</v>
      </c>
      <c r="Y80" s="10">
        <v>-141.34</v>
      </c>
      <c r="Z80" s="373">
        <v>1</v>
      </c>
      <c r="AA80" s="400"/>
      <c r="AB80" s="400"/>
      <c r="AC80" s="400"/>
      <c r="AD80" s="400"/>
      <c r="AE80" s="400"/>
      <c r="AF80" s="400"/>
    </row>
    <row r="81" spans="1:32" x14ac:dyDescent="0.25">
      <c r="A81" s="338">
        <v>5521</v>
      </c>
      <c r="B81" s="330" t="s">
        <v>183</v>
      </c>
      <c r="C81" s="392">
        <v>2900304</v>
      </c>
      <c r="D81" s="392">
        <v>257442.67</v>
      </c>
      <c r="E81" s="392">
        <v>0</v>
      </c>
      <c r="F81" s="392">
        <v>0</v>
      </c>
      <c r="G81" s="392">
        <v>46289.05</v>
      </c>
      <c r="H81" s="392">
        <v>4285.7</v>
      </c>
      <c r="I81" s="380">
        <v>6491.398074683073</v>
      </c>
      <c r="J81" s="392">
        <v>0</v>
      </c>
      <c r="K81" s="392">
        <v>50029.01</v>
      </c>
      <c r="L81" s="392">
        <v>17056.25</v>
      </c>
      <c r="M81" s="392">
        <v>247388.7</v>
      </c>
      <c r="N81" s="331">
        <f t="shared" si="2"/>
        <v>3529286.7780746832</v>
      </c>
      <c r="O81" s="396">
        <v>46383.55</v>
      </c>
      <c r="P81" s="396">
        <v>0</v>
      </c>
      <c r="Q81" s="396">
        <v>146942.95000000001</v>
      </c>
      <c r="R81" s="396">
        <v>1013.43</v>
      </c>
      <c r="S81" s="373">
        <v>88958.5</v>
      </c>
      <c r="T81" s="332">
        <f t="shared" si="3"/>
        <v>3812585.2080746833</v>
      </c>
      <c r="U81" s="446">
        <v>73</v>
      </c>
      <c r="V81" s="10">
        <v>1143</v>
      </c>
      <c r="W81" s="10">
        <v>-19066.88</v>
      </c>
      <c r="X81" s="10">
        <v>0</v>
      </c>
      <c r="Y81" s="10">
        <v>-484.24</v>
      </c>
      <c r="Z81" s="373">
        <v>1</v>
      </c>
      <c r="AA81" s="400"/>
      <c r="AB81" s="400"/>
      <c r="AC81" s="400"/>
      <c r="AD81" s="400"/>
      <c r="AE81" s="400"/>
      <c r="AF81" s="400"/>
    </row>
    <row r="82" spans="1:32" x14ac:dyDescent="0.25">
      <c r="A82" s="338">
        <v>5522</v>
      </c>
      <c r="B82" s="330" t="s">
        <v>184</v>
      </c>
      <c r="C82" s="392">
        <v>1404834.25</v>
      </c>
      <c r="D82" s="392">
        <v>198383.44</v>
      </c>
      <c r="E82" s="392">
        <v>0</v>
      </c>
      <c r="F82" s="392">
        <v>0</v>
      </c>
      <c r="G82" s="392">
        <v>-7185.35</v>
      </c>
      <c r="H82" s="392">
        <v>1440.8</v>
      </c>
      <c r="I82" s="380">
        <v>0</v>
      </c>
      <c r="J82" s="392">
        <v>0</v>
      </c>
      <c r="K82" s="392">
        <v>-5465.24</v>
      </c>
      <c r="L82" s="392">
        <v>2219.9499999999998</v>
      </c>
      <c r="M82" s="392">
        <v>132643.6</v>
      </c>
      <c r="N82" s="331">
        <f t="shared" si="2"/>
        <v>1726871.45</v>
      </c>
      <c r="O82" s="396">
        <v>12806.3</v>
      </c>
      <c r="P82" s="396">
        <v>0</v>
      </c>
      <c r="Q82" s="396">
        <v>93179.199999999997</v>
      </c>
      <c r="R82" s="396">
        <v>6406.08</v>
      </c>
      <c r="S82" s="373">
        <v>3417.45</v>
      </c>
      <c r="T82" s="332">
        <f t="shared" si="3"/>
        <v>1842680.48</v>
      </c>
      <c r="U82" s="446">
        <v>75</v>
      </c>
      <c r="V82" s="10">
        <v>751</v>
      </c>
      <c r="W82" s="10">
        <v>-33381.32</v>
      </c>
      <c r="X82" s="10">
        <v>0</v>
      </c>
      <c r="Y82" s="10">
        <v>-12.73</v>
      </c>
      <c r="Z82" s="373">
        <v>1</v>
      </c>
      <c r="AA82" s="400"/>
      <c r="AB82" s="400"/>
      <c r="AC82" s="400"/>
      <c r="AD82" s="400"/>
      <c r="AE82" s="400"/>
      <c r="AF82" s="400"/>
    </row>
    <row r="83" spans="1:32" x14ac:dyDescent="0.25">
      <c r="A83" s="338">
        <v>5523</v>
      </c>
      <c r="B83" s="330" t="s">
        <v>185</v>
      </c>
      <c r="C83" s="392">
        <v>5516668.2999999998</v>
      </c>
      <c r="D83" s="392">
        <v>641973.98</v>
      </c>
      <c r="E83" s="392">
        <v>0</v>
      </c>
      <c r="F83" s="392">
        <v>14600</v>
      </c>
      <c r="G83" s="392">
        <v>38154.15</v>
      </c>
      <c r="H83" s="392">
        <v>4262.5</v>
      </c>
      <c r="I83" s="380">
        <v>5444.2851451466549</v>
      </c>
      <c r="J83" s="392">
        <v>0</v>
      </c>
      <c r="K83" s="392">
        <v>70445.600000000006</v>
      </c>
      <c r="L83" s="392">
        <v>22553.9</v>
      </c>
      <c r="M83" s="392">
        <v>621647</v>
      </c>
      <c r="N83" s="331">
        <f t="shared" si="2"/>
        <v>6935749.7151451465</v>
      </c>
      <c r="O83" s="396">
        <v>14220.2</v>
      </c>
      <c r="P83" s="396">
        <v>0</v>
      </c>
      <c r="Q83" s="396">
        <v>167380.95000000001</v>
      </c>
      <c r="R83" s="396">
        <v>54943.45</v>
      </c>
      <c r="S83" s="373">
        <v>73824.600000000006</v>
      </c>
      <c r="T83" s="332">
        <f t="shared" si="3"/>
        <v>7246118.9151451467</v>
      </c>
      <c r="U83" s="446">
        <v>76</v>
      </c>
      <c r="V83" s="10">
        <v>2638</v>
      </c>
      <c r="W83" s="10">
        <v>-91775.19</v>
      </c>
      <c r="X83" s="10">
        <v>0</v>
      </c>
      <c r="Y83" s="10">
        <v>-320.47000000000003</v>
      </c>
      <c r="Z83" s="373">
        <v>1.25</v>
      </c>
      <c r="AA83" s="400"/>
      <c r="AB83" s="400"/>
      <c r="AC83" s="400"/>
      <c r="AD83" s="400"/>
      <c r="AE83" s="400"/>
      <c r="AF83" s="400"/>
    </row>
    <row r="84" spans="1:32" x14ac:dyDescent="0.25">
      <c r="A84" s="338">
        <v>5527</v>
      </c>
      <c r="B84" s="330" t="s">
        <v>186</v>
      </c>
      <c r="C84" s="392">
        <v>2260726.0699999998</v>
      </c>
      <c r="D84" s="392">
        <v>425104.72</v>
      </c>
      <c r="E84" s="392">
        <v>0</v>
      </c>
      <c r="F84" s="392">
        <v>0</v>
      </c>
      <c r="G84" s="392">
        <v>14384.1</v>
      </c>
      <c r="H84" s="392">
        <v>16429.849999999999</v>
      </c>
      <c r="I84" s="380">
        <v>3955.0490255192653</v>
      </c>
      <c r="J84" s="392">
        <v>0</v>
      </c>
      <c r="K84" s="392">
        <v>30263.48</v>
      </c>
      <c r="L84" s="392">
        <v>1930.95</v>
      </c>
      <c r="M84" s="392">
        <v>229347.6</v>
      </c>
      <c r="N84" s="331">
        <f t="shared" si="2"/>
        <v>2982141.8190255198</v>
      </c>
      <c r="O84" s="396">
        <v>9237.4500000000007</v>
      </c>
      <c r="P84" s="396">
        <v>0</v>
      </c>
      <c r="Q84" s="396">
        <v>78115</v>
      </c>
      <c r="R84" s="396">
        <v>4293.16</v>
      </c>
      <c r="S84" s="373">
        <v>153764.29999999999</v>
      </c>
      <c r="T84" s="332">
        <f t="shared" si="3"/>
        <v>3227551.7290255199</v>
      </c>
      <c r="U84" s="446">
        <v>74</v>
      </c>
      <c r="V84" s="10">
        <v>1126</v>
      </c>
      <c r="W84" s="10">
        <v>-14468.92</v>
      </c>
      <c r="X84" s="10">
        <v>-47.65</v>
      </c>
      <c r="Y84" s="10">
        <v>-82.85</v>
      </c>
      <c r="Z84" s="373">
        <v>1</v>
      </c>
      <c r="AA84" s="400"/>
      <c r="AB84" s="400"/>
      <c r="AC84" s="400"/>
      <c r="AD84" s="400"/>
      <c r="AE84" s="400"/>
      <c r="AF84" s="400"/>
    </row>
    <row r="85" spans="1:32" x14ac:dyDescent="0.25">
      <c r="A85" s="338">
        <v>5529</v>
      </c>
      <c r="B85" s="330" t="s">
        <v>187</v>
      </c>
      <c r="C85" s="392">
        <v>1195488.32</v>
      </c>
      <c r="D85" s="392">
        <v>135733.18</v>
      </c>
      <c r="E85" s="392">
        <v>0</v>
      </c>
      <c r="F85" s="392">
        <v>0</v>
      </c>
      <c r="G85" s="392">
        <v>55683.65</v>
      </c>
      <c r="H85" s="392">
        <v>1044.05</v>
      </c>
      <c r="I85" s="380">
        <v>7281.1448907053227</v>
      </c>
      <c r="J85" s="392">
        <v>0</v>
      </c>
      <c r="K85" s="392">
        <v>21140.07</v>
      </c>
      <c r="L85" s="392">
        <v>2560.25</v>
      </c>
      <c r="M85" s="392">
        <v>120175.6</v>
      </c>
      <c r="N85" s="331">
        <f t="shared" si="2"/>
        <v>1539106.2648907055</v>
      </c>
      <c r="O85" s="396">
        <v>1348.8</v>
      </c>
      <c r="P85" s="396">
        <v>0</v>
      </c>
      <c r="Q85" s="396">
        <v>39160</v>
      </c>
      <c r="R85" s="396">
        <v>7125.26</v>
      </c>
      <c r="S85" s="373">
        <v>38863.550000000003</v>
      </c>
      <c r="T85" s="332">
        <f t="shared" si="3"/>
        <v>1625603.8748907056</v>
      </c>
      <c r="U85" s="446">
        <v>71</v>
      </c>
      <c r="V85" s="10">
        <v>615</v>
      </c>
      <c r="W85" s="10">
        <v>-12718.16</v>
      </c>
      <c r="X85" s="10">
        <v>0</v>
      </c>
      <c r="Y85" s="10">
        <v>0</v>
      </c>
      <c r="Z85" s="373">
        <v>1</v>
      </c>
      <c r="AA85" s="400"/>
      <c r="AB85" s="400"/>
      <c r="AC85" s="400"/>
      <c r="AD85" s="400"/>
      <c r="AE85" s="400"/>
      <c r="AF85" s="400"/>
    </row>
    <row r="86" spans="1:32" x14ac:dyDescent="0.25">
      <c r="A86" s="338">
        <v>5530</v>
      </c>
      <c r="B86" s="330" t="s">
        <v>188</v>
      </c>
      <c r="C86" s="392">
        <v>1029078.21</v>
      </c>
      <c r="D86" s="392">
        <v>131707.43</v>
      </c>
      <c r="E86" s="392">
        <v>0</v>
      </c>
      <c r="F86" s="392">
        <v>0</v>
      </c>
      <c r="G86" s="392">
        <v>75430.399999999994</v>
      </c>
      <c r="H86" s="392">
        <v>54.85</v>
      </c>
      <c r="I86" s="380">
        <v>9688.7242451415077</v>
      </c>
      <c r="J86" s="392">
        <v>0</v>
      </c>
      <c r="K86" s="392">
        <v>16570.25</v>
      </c>
      <c r="L86" s="392">
        <v>585.5</v>
      </c>
      <c r="M86" s="392">
        <v>122538.05</v>
      </c>
      <c r="N86" s="331">
        <f t="shared" si="2"/>
        <v>1385653.4142451414</v>
      </c>
      <c r="O86" s="396">
        <v>17160.75</v>
      </c>
      <c r="P86" s="396">
        <v>1522.5</v>
      </c>
      <c r="Q86" s="396">
        <v>64014</v>
      </c>
      <c r="R86" s="396">
        <v>22256.25</v>
      </c>
      <c r="S86" s="373">
        <v>29945.25</v>
      </c>
      <c r="T86" s="332">
        <f t="shared" si="3"/>
        <v>1520552.1642451414</v>
      </c>
      <c r="U86" s="446">
        <v>77.5</v>
      </c>
      <c r="V86" s="10">
        <v>563</v>
      </c>
      <c r="W86" s="10">
        <v>-23002.29</v>
      </c>
      <c r="X86" s="10">
        <v>0</v>
      </c>
      <c r="Y86" s="10">
        <v>0</v>
      </c>
      <c r="Z86" s="373">
        <v>1.2</v>
      </c>
      <c r="AA86" s="400"/>
      <c r="AB86" s="400"/>
      <c r="AC86" s="400"/>
      <c r="AD86" s="400"/>
      <c r="AE86" s="400"/>
      <c r="AF86" s="400"/>
    </row>
    <row r="87" spans="1:32" x14ac:dyDescent="0.25">
      <c r="A87" s="338">
        <v>5531</v>
      </c>
      <c r="B87" s="330" t="s">
        <v>189</v>
      </c>
      <c r="C87" s="392">
        <v>938883.83</v>
      </c>
      <c r="D87" s="392">
        <v>116401.97</v>
      </c>
      <c r="E87" s="392">
        <v>0</v>
      </c>
      <c r="F87" s="392">
        <v>0</v>
      </c>
      <c r="G87" s="392">
        <v>3915.85</v>
      </c>
      <c r="H87" s="392">
        <v>499.9</v>
      </c>
      <c r="I87" s="380">
        <v>566.77276799750427</v>
      </c>
      <c r="J87" s="392">
        <v>0</v>
      </c>
      <c r="K87" s="392">
        <v>3556.23</v>
      </c>
      <c r="L87" s="392">
        <v>887.75</v>
      </c>
      <c r="M87" s="392">
        <v>76674.75</v>
      </c>
      <c r="N87" s="331">
        <f t="shared" si="2"/>
        <v>1141387.0527679976</v>
      </c>
      <c r="O87" s="396">
        <v>6576.7</v>
      </c>
      <c r="P87" s="396">
        <v>0</v>
      </c>
      <c r="Q87" s="396">
        <v>9718.25</v>
      </c>
      <c r="R87" s="396">
        <v>1458.35</v>
      </c>
      <c r="S87" s="373">
        <v>582.45000000000005</v>
      </c>
      <c r="T87" s="332">
        <f t="shared" si="3"/>
        <v>1159722.8027679976</v>
      </c>
      <c r="U87" s="446">
        <v>78</v>
      </c>
      <c r="V87" s="10">
        <v>421</v>
      </c>
      <c r="W87" s="10">
        <v>-139.79</v>
      </c>
      <c r="X87" s="10">
        <v>0</v>
      </c>
      <c r="Y87" s="10">
        <v>-289.16000000000003</v>
      </c>
      <c r="Z87" s="373">
        <v>1</v>
      </c>
      <c r="AA87" s="400"/>
      <c r="AB87" s="400"/>
      <c r="AC87" s="400"/>
      <c r="AD87" s="400"/>
      <c r="AE87" s="400"/>
      <c r="AF87" s="400"/>
    </row>
    <row r="88" spans="1:32" x14ac:dyDescent="0.25">
      <c r="A88" s="338">
        <v>5533</v>
      </c>
      <c r="B88" s="330" t="s">
        <v>190</v>
      </c>
      <c r="C88" s="392">
        <v>1307807.1200000001</v>
      </c>
      <c r="D88" s="392">
        <v>157968.57</v>
      </c>
      <c r="E88" s="392">
        <v>0</v>
      </c>
      <c r="F88" s="392">
        <v>0</v>
      </c>
      <c r="G88" s="392">
        <v>-7245</v>
      </c>
      <c r="H88" s="392">
        <v>687.7</v>
      </c>
      <c r="I88" s="380">
        <v>0</v>
      </c>
      <c r="J88" s="392">
        <v>47228.4</v>
      </c>
      <c r="K88" s="392">
        <v>44615.56</v>
      </c>
      <c r="L88" s="392">
        <v>-3482.75</v>
      </c>
      <c r="M88" s="392">
        <v>142687.70000000001</v>
      </c>
      <c r="N88" s="331">
        <f t="shared" si="2"/>
        <v>1690267.3</v>
      </c>
      <c r="O88" s="396">
        <v>4124.7</v>
      </c>
      <c r="P88" s="396">
        <v>0</v>
      </c>
      <c r="Q88" s="396">
        <v>130356.55</v>
      </c>
      <c r="R88" s="396">
        <v>6839.82</v>
      </c>
      <c r="S88" s="373">
        <v>9974.5</v>
      </c>
      <c r="T88" s="332">
        <f t="shared" si="3"/>
        <v>1841562.87</v>
      </c>
      <c r="U88" s="446">
        <v>73</v>
      </c>
      <c r="V88" s="10">
        <v>829</v>
      </c>
      <c r="W88" s="10">
        <v>-53157.62</v>
      </c>
      <c r="X88" s="10">
        <v>0</v>
      </c>
      <c r="Y88" s="10">
        <v>-10.75</v>
      </c>
      <c r="Z88" s="373">
        <v>1</v>
      </c>
      <c r="AA88" s="400"/>
      <c r="AB88" s="400"/>
      <c r="AC88" s="400"/>
      <c r="AD88" s="400"/>
      <c r="AE88" s="400"/>
      <c r="AF88" s="400"/>
    </row>
    <row r="89" spans="1:32" x14ac:dyDescent="0.25">
      <c r="A89" s="338">
        <v>5534</v>
      </c>
      <c r="B89" s="330" t="s">
        <v>191</v>
      </c>
      <c r="C89" s="392">
        <v>484177.4</v>
      </c>
      <c r="D89" s="392">
        <v>92860.49</v>
      </c>
      <c r="E89" s="392">
        <v>0</v>
      </c>
      <c r="F89" s="392">
        <v>0</v>
      </c>
      <c r="G89" s="392">
        <v>86990.9</v>
      </c>
      <c r="H89" s="392">
        <v>-1504.4</v>
      </c>
      <c r="I89" s="380">
        <v>10972.41017526324</v>
      </c>
      <c r="J89" s="392">
        <v>0</v>
      </c>
      <c r="K89" s="392">
        <v>5607.79</v>
      </c>
      <c r="L89" s="392">
        <v>861</v>
      </c>
      <c r="M89" s="392">
        <v>78799.600000000006</v>
      </c>
      <c r="N89" s="331">
        <f t="shared" si="2"/>
        <v>758765.19017526321</v>
      </c>
      <c r="O89" s="396">
        <v>32174.75</v>
      </c>
      <c r="P89" s="396">
        <v>0</v>
      </c>
      <c r="Q89" s="396">
        <v>14278</v>
      </c>
      <c r="R89" s="396">
        <v>0</v>
      </c>
      <c r="S89" s="373">
        <v>16712.25</v>
      </c>
      <c r="T89" s="332">
        <f t="shared" si="3"/>
        <v>821930.19017526321</v>
      </c>
      <c r="U89" s="446">
        <v>73</v>
      </c>
      <c r="V89" s="10">
        <v>265</v>
      </c>
      <c r="W89" s="10">
        <v>-2749</v>
      </c>
      <c r="X89" s="10">
        <v>0</v>
      </c>
      <c r="Y89" s="10">
        <v>0</v>
      </c>
      <c r="Z89" s="373">
        <v>1</v>
      </c>
      <c r="AA89" s="400"/>
      <c r="AB89" s="400"/>
      <c r="AC89" s="400"/>
      <c r="AD89" s="400"/>
      <c r="AE89" s="400"/>
      <c r="AF89" s="400"/>
    </row>
    <row r="90" spans="1:32" x14ac:dyDescent="0.25">
      <c r="A90" s="338">
        <v>5535</v>
      </c>
      <c r="B90" s="330" t="s">
        <v>30</v>
      </c>
      <c r="C90" s="392">
        <v>1412037.58</v>
      </c>
      <c r="D90" s="392">
        <v>135230.39000000001</v>
      </c>
      <c r="E90" s="392">
        <v>0</v>
      </c>
      <c r="F90" s="392">
        <v>0</v>
      </c>
      <c r="G90" s="392">
        <v>-2478.5</v>
      </c>
      <c r="H90" s="392">
        <v>4441.25</v>
      </c>
      <c r="I90" s="380">
        <v>251.92396543896317</v>
      </c>
      <c r="J90" s="392">
        <v>0</v>
      </c>
      <c r="K90" s="392">
        <v>25901.040000000001</v>
      </c>
      <c r="L90" s="392">
        <v>1504.3</v>
      </c>
      <c r="M90" s="392">
        <v>146768.1</v>
      </c>
      <c r="N90" s="331">
        <f t="shared" si="2"/>
        <v>1723656.0839654393</v>
      </c>
      <c r="O90" s="396">
        <v>42181.4</v>
      </c>
      <c r="P90" s="396">
        <v>0</v>
      </c>
      <c r="Q90" s="396">
        <v>28930</v>
      </c>
      <c r="R90" s="396">
        <v>22972.49</v>
      </c>
      <c r="S90" s="373">
        <v>42511.3</v>
      </c>
      <c r="T90" s="332">
        <f t="shared" si="3"/>
        <v>1860251.2739654393</v>
      </c>
      <c r="U90" s="446">
        <v>77</v>
      </c>
      <c r="V90" s="10">
        <v>791</v>
      </c>
      <c r="W90" s="10">
        <v>-18361.509999999998</v>
      </c>
      <c r="X90" s="10">
        <v>0</v>
      </c>
      <c r="Y90" s="10">
        <v>-8.5299999999999994</v>
      </c>
      <c r="Z90" s="373">
        <v>1</v>
      </c>
      <c r="AA90" s="400"/>
      <c r="AB90" s="400"/>
      <c r="AC90" s="400"/>
      <c r="AD90" s="400"/>
      <c r="AE90" s="400"/>
      <c r="AF90" s="400"/>
    </row>
    <row r="91" spans="1:32" x14ac:dyDescent="0.25">
      <c r="A91" s="338">
        <v>5537</v>
      </c>
      <c r="B91" s="330" t="s">
        <v>31</v>
      </c>
      <c r="C91" s="392">
        <v>2150147.1</v>
      </c>
      <c r="D91" s="392">
        <v>246771.57</v>
      </c>
      <c r="E91" s="392">
        <v>0</v>
      </c>
      <c r="F91" s="392">
        <v>6875</v>
      </c>
      <c r="G91" s="392">
        <v>38404.35</v>
      </c>
      <c r="H91" s="392">
        <v>546.75</v>
      </c>
      <c r="I91" s="380">
        <v>4999.4729691553166</v>
      </c>
      <c r="J91" s="392">
        <v>0</v>
      </c>
      <c r="K91" s="392">
        <v>13406.28</v>
      </c>
      <c r="L91" s="392">
        <v>2556.75</v>
      </c>
      <c r="M91" s="392">
        <v>178613.85</v>
      </c>
      <c r="N91" s="331">
        <f t="shared" si="2"/>
        <v>2642321.1229691552</v>
      </c>
      <c r="O91" s="396">
        <v>0</v>
      </c>
      <c r="P91" s="396">
        <v>2371.1</v>
      </c>
      <c r="Q91" s="396">
        <v>74986.2</v>
      </c>
      <c r="R91" s="396">
        <v>350.7</v>
      </c>
      <c r="S91" s="373">
        <v>16821.150000000001</v>
      </c>
      <c r="T91" s="332">
        <f t="shared" si="3"/>
        <v>2736850.2729691556</v>
      </c>
      <c r="U91" s="446">
        <v>73</v>
      </c>
      <c r="V91" s="10">
        <v>1228</v>
      </c>
      <c r="W91" s="10">
        <v>-38908.65</v>
      </c>
      <c r="X91" s="10">
        <v>0</v>
      </c>
      <c r="Y91" s="10">
        <v>-24.63</v>
      </c>
      <c r="Z91" s="373">
        <v>0.8</v>
      </c>
      <c r="AA91" s="400"/>
      <c r="AB91" s="400"/>
      <c r="AC91" s="400"/>
      <c r="AD91" s="400"/>
      <c r="AE91" s="400"/>
      <c r="AF91" s="400"/>
    </row>
    <row r="92" spans="1:32" x14ac:dyDescent="0.25">
      <c r="A92" s="338">
        <v>5539</v>
      </c>
      <c r="B92" s="330" t="s">
        <v>32</v>
      </c>
      <c r="C92" s="392">
        <v>1873170.23</v>
      </c>
      <c r="D92" s="392">
        <v>197705.62</v>
      </c>
      <c r="E92" s="392">
        <v>0</v>
      </c>
      <c r="F92" s="392">
        <v>0</v>
      </c>
      <c r="G92" s="392">
        <v>16155.3</v>
      </c>
      <c r="H92" s="392">
        <v>565.35</v>
      </c>
      <c r="I92" s="380">
        <v>2146.1380474930584</v>
      </c>
      <c r="J92" s="392">
        <v>0</v>
      </c>
      <c r="K92" s="392">
        <v>21066.37</v>
      </c>
      <c r="L92" s="392">
        <v>4855.3999999999996</v>
      </c>
      <c r="M92" s="392">
        <v>142788.5</v>
      </c>
      <c r="N92" s="331">
        <f t="shared" si="2"/>
        <v>2258452.9080474931</v>
      </c>
      <c r="O92" s="396">
        <v>21711.65</v>
      </c>
      <c r="P92" s="396">
        <v>0</v>
      </c>
      <c r="Q92" s="396">
        <v>160546.95000000001</v>
      </c>
      <c r="R92" s="396">
        <v>15884.41</v>
      </c>
      <c r="S92" s="373">
        <v>33110.800000000003</v>
      </c>
      <c r="T92" s="332">
        <f t="shared" si="3"/>
        <v>2489706.7180474931</v>
      </c>
      <c r="U92" s="446">
        <v>75</v>
      </c>
      <c r="V92" s="10">
        <v>1054</v>
      </c>
      <c r="W92" s="10">
        <v>-59851.69</v>
      </c>
      <c r="X92" s="10">
        <v>0</v>
      </c>
      <c r="Y92" s="10">
        <v>-50.61</v>
      </c>
      <c r="Z92" s="373">
        <v>0.8</v>
      </c>
      <c r="AA92" s="400"/>
      <c r="AB92" s="400"/>
      <c r="AC92" s="400"/>
      <c r="AD92" s="400"/>
      <c r="AE92" s="400"/>
      <c r="AF92" s="400"/>
    </row>
    <row r="93" spans="1:32" x14ac:dyDescent="0.25">
      <c r="A93" s="338">
        <v>5540</v>
      </c>
      <c r="B93" s="330" t="s">
        <v>430</v>
      </c>
      <c r="C93" s="392">
        <v>3825681.55</v>
      </c>
      <c r="D93" s="392">
        <v>510524.87</v>
      </c>
      <c r="E93" s="392">
        <v>0</v>
      </c>
      <c r="F93" s="392">
        <v>0</v>
      </c>
      <c r="G93" s="392">
        <v>60066.6</v>
      </c>
      <c r="H93" s="392">
        <v>4958.3</v>
      </c>
      <c r="I93" s="380">
        <v>8346.1116597997898</v>
      </c>
      <c r="J93" s="392">
        <v>0</v>
      </c>
      <c r="K93" s="392">
        <v>67900.75</v>
      </c>
      <c r="L93" s="392">
        <v>9292.85</v>
      </c>
      <c r="M93" s="392">
        <v>266213</v>
      </c>
      <c r="N93" s="331">
        <f t="shared" si="2"/>
        <v>4752984.0316597987</v>
      </c>
      <c r="O93" s="396">
        <v>2612.8000000000002</v>
      </c>
      <c r="P93" s="396">
        <v>0</v>
      </c>
      <c r="Q93" s="396">
        <v>100167.35</v>
      </c>
      <c r="R93" s="396">
        <v>19583.669999999998</v>
      </c>
      <c r="S93" s="373">
        <v>56097.35</v>
      </c>
      <c r="T93" s="332">
        <f t="shared" si="3"/>
        <v>4931445.2016597977</v>
      </c>
      <c r="U93" s="446">
        <v>74</v>
      </c>
      <c r="V93" s="10">
        <v>1819</v>
      </c>
      <c r="W93" s="10">
        <v>-53955.62</v>
      </c>
      <c r="X93" s="10">
        <v>-1675.1</v>
      </c>
      <c r="Y93" s="10">
        <v>-304.41000000000003</v>
      </c>
      <c r="Z93" s="373">
        <v>0.8</v>
      </c>
      <c r="AA93" s="400"/>
      <c r="AB93" s="400"/>
      <c r="AC93" s="400"/>
      <c r="AD93" s="400"/>
      <c r="AE93" s="400"/>
      <c r="AF93" s="400"/>
    </row>
    <row r="94" spans="1:32" x14ac:dyDescent="0.25">
      <c r="A94" s="338">
        <v>5541</v>
      </c>
      <c r="B94" s="402" t="s">
        <v>429</v>
      </c>
      <c r="C94" s="392">
        <v>2280670.6</v>
      </c>
      <c r="D94" s="392">
        <v>322807.82</v>
      </c>
      <c r="E94" s="392">
        <v>0</v>
      </c>
      <c r="F94" s="392">
        <v>0</v>
      </c>
      <c r="G94" s="392">
        <v>45026.2</v>
      </c>
      <c r="H94" s="392">
        <v>4371.3500000000004</v>
      </c>
      <c r="I94" s="380">
        <v>6340.3014540667209</v>
      </c>
      <c r="J94" s="392">
        <v>0</v>
      </c>
      <c r="K94" s="392">
        <v>18747.310000000001</v>
      </c>
      <c r="L94" s="392">
        <v>1720.65</v>
      </c>
      <c r="M94" s="392">
        <v>207147.85</v>
      </c>
      <c r="N94" s="331">
        <f t="shared" si="2"/>
        <v>2886832.081454067</v>
      </c>
      <c r="O94" s="396">
        <v>3564.9</v>
      </c>
      <c r="P94" s="396">
        <v>129809.1</v>
      </c>
      <c r="Q94" s="396">
        <v>57813.75</v>
      </c>
      <c r="R94" s="396">
        <v>4807.1400000000003</v>
      </c>
      <c r="S94" s="373">
        <v>27385.35</v>
      </c>
      <c r="T94" s="332">
        <f t="shared" si="3"/>
        <v>3110212.3214540672</v>
      </c>
      <c r="U94" s="446">
        <v>77</v>
      </c>
      <c r="V94" s="10">
        <v>1140</v>
      </c>
      <c r="W94" s="10">
        <v>-20384.97</v>
      </c>
      <c r="X94" s="10">
        <v>0</v>
      </c>
      <c r="Y94" s="10">
        <v>-48.27</v>
      </c>
      <c r="Z94" s="373">
        <v>1</v>
      </c>
      <c r="AA94" s="400"/>
      <c r="AB94" s="400"/>
      <c r="AC94" s="400"/>
      <c r="AD94" s="400"/>
      <c r="AE94" s="400"/>
      <c r="AF94" s="400"/>
    </row>
    <row r="95" spans="1:32" x14ac:dyDescent="0.25">
      <c r="A95" s="338">
        <v>5551</v>
      </c>
      <c r="B95" s="330" t="s">
        <v>33</v>
      </c>
      <c r="C95" s="392">
        <v>745611.1</v>
      </c>
      <c r="D95" s="392">
        <v>123538.85</v>
      </c>
      <c r="E95" s="392">
        <v>0</v>
      </c>
      <c r="F95" s="392">
        <v>0</v>
      </c>
      <c r="G95" s="392">
        <v>21349.45</v>
      </c>
      <c r="H95" s="392">
        <v>359.75</v>
      </c>
      <c r="I95" s="380">
        <v>2786.4311555254303</v>
      </c>
      <c r="J95" s="392">
        <v>0</v>
      </c>
      <c r="K95" s="392">
        <v>4469.17</v>
      </c>
      <c r="L95" s="392">
        <v>7170</v>
      </c>
      <c r="M95" s="392">
        <v>112532</v>
      </c>
      <c r="N95" s="331">
        <f t="shared" si="2"/>
        <v>1017816.7511555253</v>
      </c>
      <c r="O95" s="396">
        <v>0</v>
      </c>
      <c r="P95" s="396">
        <v>0</v>
      </c>
      <c r="Q95" s="396">
        <v>10530.9</v>
      </c>
      <c r="R95" s="396">
        <v>0</v>
      </c>
      <c r="S95" s="373">
        <v>13978.6</v>
      </c>
      <c r="T95" s="332">
        <f t="shared" si="3"/>
        <v>1042326.2511555253</v>
      </c>
      <c r="U95" s="446">
        <v>55</v>
      </c>
      <c r="V95" s="10">
        <v>490</v>
      </c>
      <c r="W95" s="10">
        <v>-12238.86</v>
      </c>
      <c r="X95" s="10">
        <v>0</v>
      </c>
      <c r="Y95" s="10">
        <v>-859.49</v>
      </c>
      <c r="Z95" s="373">
        <v>1</v>
      </c>
      <c r="AA95" s="400"/>
      <c r="AB95" s="400"/>
      <c r="AC95" s="400"/>
      <c r="AD95" s="400"/>
      <c r="AE95" s="400"/>
      <c r="AF95" s="400"/>
    </row>
    <row r="96" spans="1:32" x14ac:dyDescent="0.25">
      <c r="A96" s="338">
        <v>5552</v>
      </c>
      <c r="B96" s="330" t="s">
        <v>34</v>
      </c>
      <c r="C96" s="392">
        <v>995355.95</v>
      </c>
      <c r="D96" s="392">
        <v>203230.85</v>
      </c>
      <c r="E96" s="392">
        <v>0</v>
      </c>
      <c r="F96" s="392">
        <v>0</v>
      </c>
      <c r="G96" s="392">
        <v>8643.7999999999993</v>
      </c>
      <c r="H96" s="392">
        <v>2063.65</v>
      </c>
      <c r="I96" s="380">
        <v>1374.3285001856711</v>
      </c>
      <c r="J96" s="392">
        <v>0</v>
      </c>
      <c r="K96" s="392">
        <v>16355.25</v>
      </c>
      <c r="L96" s="392">
        <v>1523.3</v>
      </c>
      <c r="M96" s="392">
        <v>119008</v>
      </c>
      <c r="N96" s="331">
        <f t="shared" si="2"/>
        <v>1347555.1285001857</v>
      </c>
      <c r="O96" s="396">
        <v>53648</v>
      </c>
      <c r="P96" s="396">
        <v>0</v>
      </c>
      <c r="Q96" s="396">
        <v>62296.95</v>
      </c>
      <c r="R96" s="396">
        <v>19.579999999999998</v>
      </c>
      <c r="S96" s="373">
        <v>38656</v>
      </c>
      <c r="T96" s="332">
        <f t="shared" si="3"/>
        <v>1502175.6585001857</v>
      </c>
      <c r="U96" s="446">
        <v>73</v>
      </c>
      <c r="V96" s="10">
        <v>657</v>
      </c>
      <c r="W96" s="10">
        <v>-6413.84</v>
      </c>
      <c r="X96" s="10">
        <v>0</v>
      </c>
      <c r="Y96" s="10">
        <v>-131.47</v>
      </c>
      <c r="Z96" s="373">
        <v>1</v>
      </c>
      <c r="AA96" s="400"/>
      <c r="AB96" s="400"/>
      <c r="AC96" s="400"/>
      <c r="AD96" s="400"/>
      <c r="AE96" s="400"/>
      <c r="AF96" s="400"/>
    </row>
    <row r="97" spans="1:32" x14ac:dyDescent="0.25">
      <c r="A97" s="338">
        <v>5553</v>
      </c>
      <c r="B97" s="330" t="s">
        <v>35</v>
      </c>
      <c r="C97" s="392">
        <v>1783391.39</v>
      </c>
      <c r="D97" s="392">
        <v>293105.95</v>
      </c>
      <c r="E97" s="392">
        <v>0</v>
      </c>
      <c r="F97" s="392">
        <v>0</v>
      </c>
      <c r="G97" s="392">
        <v>73802.3</v>
      </c>
      <c r="H97" s="392">
        <v>30701.45</v>
      </c>
      <c r="I97" s="380">
        <v>13413.322686660067</v>
      </c>
      <c r="J97" s="392">
        <v>0</v>
      </c>
      <c r="K97" s="392">
        <v>23613.39</v>
      </c>
      <c r="L97" s="392">
        <v>31512.35</v>
      </c>
      <c r="M97" s="392">
        <v>225127.9</v>
      </c>
      <c r="N97" s="331">
        <f t="shared" si="2"/>
        <v>2474668.0526866601</v>
      </c>
      <c r="O97" s="396">
        <v>135489</v>
      </c>
      <c r="P97" s="396">
        <v>13213.5</v>
      </c>
      <c r="Q97" s="396">
        <v>71001.3</v>
      </c>
      <c r="R97" s="396">
        <v>10030.790000000001</v>
      </c>
      <c r="S97" s="373">
        <v>53417.15</v>
      </c>
      <c r="T97" s="332">
        <f t="shared" si="3"/>
        <v>2757819.7926866598</v>
      </c>
      <c r="U97" s="446">
        <v>65</v>
      </c>
      <c r="V97" s="10">
        <v>1059</v>
      </c>
      <c r="W97" s="10">
        <v>-30906.28</v>
      </c>
      <c r="X97" s="10">
        <v>0</v>
      </c>
      <c r="Y97" s="10">
        <v>-1479.55</v>
      </c>
      <c r="Z97" s="373">
        <v>1</v>
      </c>
      <c r="AA97" s="400"/>
      <c r="AB97" s="400"/>
      <c r="AC97" s="400"/>
      <c r="AD97" s="400"/>
      <c r="AE97" s="400"/>
      <c r="AF97" s="400"/>
    </row>
    <row r="98" spans="1:32" x14ac:dyDescent="0.25">
      <c r="A98" s="338">
        <v>5554</v>
      </c>
      <c r="B98" s="330" t="s">
        <v>36</v>
      </c>
      <c r="C98" s="392">
        <v>1922693.52</v>
      </c>
      <c r="D98" s="392">
        <v>332438.68</v>
      </c>
      <c r="E98" s="392">
        <v>0</v>
      </c>
      <c r="F98" s="392">
        <v>0</v>
      </c>
      <c r="G98" s="392">
        <v>26261.1</v>
      </c>
      <c r="H98" s="392">
        <v>1422.6</v>
      </c>
      <c r="I98" s="380">
        <v>3524.5096529704506</v>
      </c>
      <c r="J98" s="392">
        <v>0</v>
      </c>
      <c r="K98" s="392">
        <v>51195.12</v>
      </c>
      <c r="L98" s="392">
        <v>-641.54999999999995</v>
      </c>
      <c r="M98" s="392">
        <v>176014.1</v>
      </c>
      <c r="N98" s="331">
        <f t="shared" si="2"/>
        <v>2512908.0796529711</v>
      </c>
      <c r="O98" s="396">
        <v>2698.3</v>
      </c>
      <c r="P98" s="396">
        <v>4050.8</v>
      </c>
      <c r="Q98" s="396">
        <v>235222.65</v>
      </c>
      <c r="R98" s="396">
        <v>2725.29</v>
      </c>
      <c r="S98" s="373">
        <v>129648.2</v>
      </c>
      <c r="T98" s="332">
        <f t="shared" si="3"/>
        <v>2887253.3196529709</v>
      </c>
      <c r="U98" s="446">
        <v>75</v>
      </c>
      <c r="V98" s="10">
        <v>1025</v>
      </c>
      <c r="W98" s="10">
        <v>-16072.26</v>
      </c>
      <c r="X98" s="10">
        <v>0</v>
      </c>
      <c r="Y98" s="10">
        <v>-4047.7</v>
      </c>
      <c r="Z98" s="373">
        <v>1</v>
      </c>
      <c r="AA98" s="400"/>
      <c r="AB98" s="400"/>
      <c r="AC98" s="400"/>
      <c r="AD98" s="400"/>
      <c r="AE98" s="400"/>
      <c r="AF98" s="400"/>
    </row>
    <row r="99" spans="1:32" x14ac:dyDescent="0.25">
      <c r="A99" s="338">
        <v>5555</v>
      </c>
      <c r="B99" s="330" t="s">
        <v>37</v>
      </c>
      <c r="C99" s="392">
        <v>700031.57</v>
      </c>
      <c r="D99" s="392">
        <v>166334.95000000001</v>
      </c>
      <c r="E99" s="392">
        <v>0</v>
      </c>
      <c r="F99" s="392">
        <v>0</v>
      </c>
      <c r="G99" s="392">
        <v>6981</v>
      </c>
      <c r="H99" s="392">
        <v>2196.9</v>
      </c>
      <c r="I99" s="380">
        <v>1178.0068589490561</v>
      </c>
      <c r="J99" s="392">
        <v>0</v>
      </c>
      <c r="K99" s="392">
        <v>-1588.12</v>
      </c>
      <c r="L99" s="392">
        <v>1974.15</v>
      </c>
      <c r="M99" s="392">
        <v>90755.6</v>
      </c>
      <c r="N99" s="331">
        <f t="shared" si="2"/>
        <v>967864.05685894913</v>
      </c>
      <c r="O99" s="396">
        <v>8245.2000000000007</v>
      </c>
      <c r="P99" s="396">
        <v>31777.3</v>
      </c>
      <c r="Q99" s="396">
        <v>34152.449999999997</v>
      </c>
      <c r="R99" s="396">
        <v>0</v>
      </c>
      <c r="S99" s="373">
        <v>21330.5</v>
      </c>
      <c r="T99" s="332">
        <f t="shared" si="3"/>
        <v>1063369.5068589491</v>
      </c>
      <c r="U99" s="446">
        <v>71</v>
      </c>
      <c r="V99" s="10">
        <v>401</v>
      </c>
      <c r="W99" s="10">
        <v>-6902.32</v>
      </c>
      <c r="X99" s="10">
        <v>0</v>
      </c>
      <c r="Y99" s="10">
        <v>-128.57</v>
      </c>
      <c r="Z99" s="373">
        <v>1</v>
      </c>
      <c r="AA99" s="400"/>
      <c r="AB99" s="400"/>
      <c r="AC99" s="400"/>
      <c r="AD99" s="400"/>
      <c r="AE99" s="400"/>
      <c r="AF99" s="400"/>
    </row>
    <row r="100" spans="1:32" x14ac:dyDescent="0.25">
      <c r="A100" s="338">
        <v>5556</v>
      </c>
      <c r="B100" s="330" t="s">
        <v>38</v>
      </c>
      <c r="C100" s="392">
        <v>730361.81</v>
      </c>
      <c r="D100" s="392">
        <v>79248.7</v>
      </c>
      <c r="E100" s="392">
        <v>0</v>
      </c>
      <c r="F100" s="392">
        <v>2440</v>
      </c>
      <c r="G100" s="392">
        <v>11557.5</v>
      </c>
      <c r="H100" s="392">
        <v>69.7</v>
      </c>
      <c r="I100" s="380">
        <v>1492.3807570765061</v>
      </c>
      <c r="J100" s="392">
        <v>0</v>
      </c>
      <c r="K100" s="392">
        <v>7521.72</v>
      </c>
      <c r="L100" s="392">
        <v>580.79999999999995</v>
      </c>
      <c r="M100" s="392">
        <v>84362.5</v>
      </c>
      <c r="N100" s="331">
        <f t="shared" si="2"/>
        <v>917635.11075707653</v>
      </c>
      <c r="O100" s="396">
        <v>0</v>
      </c>
      <c r="P100" s="396">
        <v>0</v>
      </c>
      <c r="Q100" s="396">
        <v>19005.8</v>
      </c>
      <c r="R100" s="396">
        <v>0</v>
      </c>
      <c r="S100" s="373">
        <v>10143.299999999999</v>
      </c>
      <c r="T100" s="332">
        <f t="shared" si="3"/>
        <v>946784.21075707662</v>
      </c>
      <c r="U100" s="446">
        <v>69</v>
      </c>
      <c r="V100" s="10">
        <v>445</v>
      </c>
      <c r="W100" s="10">
        <v>-2067.16</v>
      </c>
      <c r="X100" s="10">
        <v>0</v>
      </c>
      <c r="Y100" s="10">
        <v>0</v>
      </c>
      <c r="Z100" s="373">
        <v>1.2</v>
      </c>
      <c r="AA100" s="400"/>
      <c r="AB100" s="400"/>
      <c r="AC100" s="400"/>
      <c r="AD100" s="400"/>
      <c r="AE100" s="400"/>
      <c r="AF100" s="400"/>
    </row>
    <row r="101" spans="1:32" x14ac:dyDescent="0.25">
      <c r="A101" s="338">
        <v>5557</v>
      </c>
      <c r="B101" s="330" t="s">
        <v>39</v>
      </c>
      <c r="C101" s="392">
        <v>377453.17</v>
      </c>
      <c r="D101" s="392">
        <v>39175.440000000002</v>
      </c>
      <c r="E101" s="392">
        <v>0</v>
      </c>
      <c r="F101" s="392">
        <v>1050</v>
      </c>
      <c r="G101" s="392">
        <v>4015.6</v>
      </c>
      <c r="H101" s="392">
        <v>92.55</v>
      </c>
      <c r="I101" s="380">
        <v>527.2915239424666</v>
      </c>
      <c r="J101" s="392">
        <v>0</v>
      </c>
      <c r="K101" s="392">
        <v>1174.96</v>
      </c>
      <c r="L101" s="392">
        <v>936.95</v>
      </c>
      <c r="M101" s="392">
        <v>36205</v>
      </c>
      <c r="N101" s="331">
        <f t="shared" si="2"/>
        <v>460630.96152394247</v>
      </c>
      <c r="O101" s="396">
        <v>0</v>
      </c>
      <c r="P101" s="396">
        <v>17.100000000000001</v>
      </c>
      <c r="Q101" s="396">
        <v>4350.5</v>
      </c>
      <c r="R101" s="396">
        <v>-581.37</v>
      </c>
      <c r="S101" s="373">
        <v>0</v>
      </c>
      <c r="T101" s="332">
        <f t="shared" si="3"/>
        <v>464417.19152394246</v>
      </c>
      <c r="U101" s="446">
        <v>69</v>
      </c>
      <c r="V101" s="10">
        <v>215</v>
      </c>
      <c r="W101" s="10">
        <v>-9602.2000000000007</v>
      </c>
      <c r="X101" s="10">
        <v>0</v>
      </c>
      <c r="Y101" s="10">
        <v>-0.02</v>
      </c>
      <c r="Z101" s="373">
        <v>1</v>
      </c>
      <c r="AA101" s="400"/>
      <c r="AB101" s="400"/>
      <c r="AC101" s="400"/>
      <c r="AD101" s="400"/>
      <c r="AE101" s="400"/>
      <c r="AF101" s="400"/>
    </row>
    <row r="102" spans="1:32" x14ac:dyDescent="0.25">
      <c r="A102" s="338">
        <v>5559</v>
      </c>
      <c r="B102" s="330" t="s">
        <v>40</v>
      </c>
      <c r="C102" s="392">
        <v>918098.68</v>
      </c>
      <c r="D102" s="392">
        <v>247865.52</v>
      </c>
      <c r="E102" s="392">
        <v>0</v>
      </c>
      <c r="F102" s="392">
        <v>0</v>
      </c>
      <c r="G102" s="392">
        <v>97515.35</v>
      </c>
      <c r="H102" s="392">
        <v>9683.9</v>
      </c>
      <c r="I102" s="380">
        <v>13759.296982337421</v>
      </c>
      <c r="J102" s="392">
        <v>0</v>
      </c>
      <c r="K102" s="392">
        <v>12538.43</v>
      </c>
      <c r="L102" s="392">
        <v>4011.5</v>
      </c>
      <c r="M102" s="392">
        <v>88771.1</v>
      </c>
      <c r="N102" s="331">
        <f t="shared" si="2"/>
        <v>1392243.7769823375</v>
      </c>
      <c r="O102" s="396">
        <v>17765.05</v>
      </c>
      <c r="P102" s="396">
        <v>31347.200000000001</v>
      </c>
      <c r="Q102" s="396">
        <v>18865</v>
      </c>
      <c r="R102" s="396">
        <v>1170.5999999999999</v>
      </c>
      <c r="S102" s="373">
        <v>21247.25</v>
      </c>
      <c r="T102" s="332">
        <f t="shared" si="3"/>
        <v>1482638.8769823376</v>
      </c>
      <c r="U102" s="446">
        <v>66</v>
      </c>
      <c r="V102" s="10">
        <v>414</v>
      </c>
      <c r="W102" s="10">
        <v>-11784.95</v>
      </c>
      <c r="X102" s="10">
        <v>0</v>
      </c>
      <c r="Y102" s="10">
        <v>-288.51</v>
      </c>
      <c r="Z102" s="373">
        <v>1</v>
      </c>
      <c r="AA102" s="400"/>
      <c r="AB102" s="400"/>
      <c r="AC102" s="400"/>
      <c r="AD102" s="400"/>
      <c r="AE102" s="400"/>
      <c r="AF102" s="400"/>
    </row>
    <row r="103" spans="1:32" x14ac:dyDescent="0.25">
      <c r="A103" s="338">
        <v>5560</v>
      </c>
      <c r="B103" s="330" t="s">
        <v>41</v>
      </c>
      <c r="C103" s="392">
        <v>405985.16</v>
      </c>
      <c r="D103" s="392">
        <v>46464.19</v>
      </c>
      <c r="E103" s="392">
        <v>0</v>
      </c>
      <c r="F103" s="392">
        <v>0</v>
      </c>
      <c r="G103" s="392">
        <v>6189.15</v>
      </c>
      <c r="H103" s="392">
        <v>261.55</v>
      </c>
      <c r="I103" s="380">
        <v>827.96378747019207</v>
      </c>
      <c r="J103" s="392">
        <v>0</v>
      </c>
      <c r="K103" s="392">
        <v>2540.09</v>
      </c>
      <c r="L103" s="392">
        <v>624.70000000000005</v>
      </c>
      <c r="M103" s="392">
        <v>41640.75</v>
      </c>
      <c r="N103" s="331">
        <f t="shared" si="2"/>
        <v>504533.55378747021</v>
      </c>
      <c r="O103" s="396">
        <v>0</v>
      </c>
      <c r="P103" s="396">
        <v>12</v>
      </c>
      <c r="Q103" s="396">
        <v>12100</v>
      </c>
      <c r="R103" s="396">
        <v>0</v>
      </c>
      <c r="S103" s="373">
        <v>16232.45</v>
      </c>
      <c r="T103" s="332">
        <f t="shared" si="3"/>
        <v>532878.00378747017</v>
      </c>
      <c r="U103" s="446">
        <v>68</v>
      </c>
      <c r="V103" s="10">
        <v>222</v>
      </c>
      <c r="W103" s="10">
        <v>-189.3</v>
      </c>
      <c r="X103" s="10">
        <v>0</v>
      </c>
      <c r="Y103" s="10">
        <v>0</v>
      </c>
      <c r="Z103" s="373">
        <v>1</v>
      </c>
      <c r="AA103" s="400"/>
      <c r="AB103" s="400"/>
      <c r="AC103" s="400"/>
      <c r="AD103" s="400"/>
      <c r="AE103" s="400"/>
      <c r="AF103" s="400"/>
    </row>
    <row r="104" spans="1:32" x14ac:dyDescent="0.25">
      <c r="A104" s="338">
        <v>5561</v>
      </c>
      <c r="B104" s="330" t="s">
        <v>42</v>
      </c>
      <c r="C104" s="392">
        <v>5922172.7599999998</v>
      </c>
      <c r="D104" s="392">
        <v>913008.41</v>
      </c>
      <c r="E104" s="392">
        <v>0</v>
      </c>
      <c r="F104" s="392">
        <v>0</v>
      </c>
      <c r="G104" s="392">
        <v>298046.84999999998</v>
      </c>
      <c r="H104" s="392">
        <v>13778</v>
      </c>
      <c r="I104" s="380">
        <v>40023.514321441784</v>
      </c>
      <c r="J104" s="392">
        <v>0</v>
      </c>
      <c r="K104" s="392">
        <v>110614.16</v>
      </c>
      <c r="L104" s="392">
        <v>33835.9</v>
      </c>
      <c r="M104" s="392">
        <v>587592.19999999995</v>
      </c>
      <c r="N104" s="331">
        <f t="shared" si="2"/>
        <v>7919071.794321442</v>
      </c>
      <c r="O104" s="396">
        <v>297970.95</v>
      </c>
      <c r="P104" s="396">
        <v>1550963.1</v>
      </c>
      <c r="Q104" s="396">
        <v>424592</v>
      </c>
      <c r="R104" s="396">
        <v>17404.52</v>
      </c>
      <c r="S104" s="373">
        <v>482151.55</v>
      </c>
      <c r="T104" s="332">
        <f t="shared" si="3"/>
        <v>10692153.914321443</v>
      </c>
      <c r="U104" s="446">
        <v>69</v>
      </c>
      <c r="V104" s="10">
        <v>3340</v>
      </c>
      <c r="W104" s="10">
        <v>-120110.19</v>
      </c>
      <c r="X104" s="10">
        <v>0</v>
      </c>
      <c r="Y104" s="10">
        <v>-516.75</v>
      </c>
      <c r="Z104" s="373">
        <v>1</v>
      </c>
      <c r="AA104" s="400"/>
      <c r="AB104" s="400"/>
      <c r="AC104" s="400"/>
      <c r="AD104" s="400"/>
      <c r="AE104" s="400"/>
      <c r="AF104" s="400"/>
    </row>
    <row r="105" spans="1:32" x14ac:dyDescent="0.25">
      <c r="A105" s="338">
        <v>5562</v>
      </c>
      <c r="B105" s="330" t="s">
        <v>43</v>
      </c>
      <c r="C105" s="392">
        <v>219702.12</v>
      </c>
      <c r="D105" s="392">
        <v>125869.83</v>
      </c>
      <c r="E105" s="392">
        <v>0</v>
      </c>
      <c r="F105" s="392">
        <v>900</v>
      </c>
      <c r="G105" s="392">
        <v>-268.45</v>
      </c>
      <c r="H105" s="392">
        <v>103.35</v>
      </c>
      <c r="I105" s="380">
        <v>0</v>
      </c>
      <c r="J105" s="392">
        <v>0</v>
      </c>
      <c r="K105" s="392">
        <v>10650.41</v>
      </c>
      <c r="L105" s="392">
        <v>1280</v>
      </c>
      <c r="M105" s="392">
        <v>35797.050000000003</v>
      </c>
      <c r="N105" s="331">
        <f t="shared" si="2"/>
        <v>394034.30999999994</v>
      </c>
      <c r="O105" s="396">
        <v>0</v>
      </c>
      <c r="P105" s="396">
        <v>43.3</v>
      </c>
      <c r="Q105" s="396">
        <v>29821</v>
      </c>
      <c r="R105" s="396">
        <v>0</v>
      </c>
      <c r="S105" s="373">
        <v>53350.15</v>
      </c>
      <c r="T105" s="332">
        <f t="shared" si="3"/>
        <v>477248.75999999995</v>
      </c>
      <c r="U105" s="446">
        <v>70</v>
      </c>
      <c r="V105" s="10">
        <v>120</v>
      </c>
      <c r="W105" s="10">
        <v>-4328.28</v>
      </c>
      <c r="X105" s="10">
        <v>0</v>
      </c>
      <c r="Y105" s="10">
        <v>-9.9700000000000006</v>
      </c>
      <c r="Z105" s="373">
        <v>1.2</v>
      </c>
      <c r="AA105" s="400"/>
      <c r="AB105" s="400"/>
      <c r="AC105" s="400"/>
      <c r="AD105" s="400"/>
      <c r="AE105" s="400"/>
      <c r="AF105" s="400"/>
    </row>
    <row r="106" spans="1:32" x14ac:dyDescent="0.25">
      <c r="A106" s="338">
        <v>5563</v>
      </c>
      <c r="B106" s="330" t="s">
        <v>284</v>
      </c>
      <c r="C106" s="392">
        <v>254456.2</v>
      </c>
      <c r="D106" s="392">
        <v>46460.639999999999</v>
      </c>
      <c r="E106" s="392">
        <v>0</v>
      </c>
      <c r="F106" s="392">
        <v>516</v>
      </c>
      <c r="G106" s="392">
        <v>1765.9</v>
      </c>
      <c r="H106" s="392">
        <v>18.95</v>
      </c>
      <c r="I106" s="380">
        <v>229.09004698190466</v>
      </c>
      <c r="J106" s="392">
        <v>0</v>
      </c>
      <c r="K106" s="392">
        <v>829.92</v>
      </c>
      <c r="L106" s="392">
        <v>0</v>
      </c>
      <c r="M106" s="392">
        <v>21810.35</v>
      </c>
      <c r="N106" s="331">
        <f t="shared" si="2"/>
        <v>326087.05004698195</v>
      </c>
      <c r="O106" s="396">
        <v>0</v>
      </c>
      <c r="P106" s="396">
        <v>2722.5</v>
      </c>
      <c r="Q106" s="396">
        <v>852.5</v>
      </c>
      <c r="R106" s="396">
        <v>0</v>
      </c>
      <c r="S106" s="373">
        <v>1170.95</v>
      </c>
      <c r="T106" s="332">
        <f t="shared" si="3"/>
        <v>330833.00004698196</v>
      </c>
      <c r="U106" s="446">
        <v>80</v>
      </c>
      <c r="V106" s="10">
        <v>153</v>
      </c>
      <c r="W106" s="10">
        <v>-4155.03</v>
      </c>
      <c r="X106" s="10">
        <v>0</v>
      </c>
      <c r="Y106" s="10">
        <v>-0.95</v>
      </c>
      <c r="Z106" s="373">
        <v>1</v>
      </c>
      <c r="AA106" s="400"/>
      <c r="AB106" s="400"/>
      <c r="AC106" s="400"/>
      <c r="AD106" s="400"/>
      <c r="AE106" s="400"/>
      <c r="AF106" s="400"/>
    </row>
    <row r="107" spans="1:32" x14ac:dyDescent="0.25">
      <c r="A107" s="338">
        <v>5564</v>
      </c>
      <c r="B107" s="330" t="s">
        <v>285</v>
      </c>
      <c r="C107" s="392">
        <v>144993.19</v>
      </c>
      <c r="D107" s="392">
        <v>14280.34</v>
      </c>
      <c r="E107" s="392">
        <v>0</v>
      </c>
      <c r="F107" s="392">
        <v>0</v>
      </c>
      <c r="G107" s="392">
        <v>8.15</v>
      </c>
      <c r="H107" s="392">
        <v>23.5</v>
      </c>
      <c r="I107" s="380">
        <v>4.0623581740635251</v>
      </c>
      <c r="J107" s="392">
        <v>0</v>
      </c>
      <c r="K107" s="392">
        <v>0</v>
      </c>
      <c r="L107" s="392">
        <v>0</v>
      </c>
      <c r="M107" s="392">
        <v>10898.7</v>
      </c>
      <c r="N107" s="331">
        <f t="shared" si="2"/>
        <v>170207.94235817407</v>
      </c>
      <c r="O107" s="396">
        <v>0</v>
      </c>
      <c r="P107" s="396">
        <v>0</v>
      </c>
      <c r="Q107" s="396">
        <v>19.8</v>
      </c>
      <c r="R107" s="396">
        <v>0</v>
      </c>
      <c r="S107" s="373">
        <v>0</v>
      </c>
      <c r="T107" s="332">
        <f t="shared" si="3"/>
        <v>170227.74235817406</v>
      </c>
      <c r="U107" s="446">
        <v>76</v>
      </c>
      <c r="V107" s="10">
        <v>100</v>
      </c>
      <c r="W107" s="10">
        <v>-933.84</v>
      </c>
      <c r="X107" s="10">
        <v>0</v>
      </c>
      <c r="Y107" s="10">
        <v>-18.37</v>
      </c>
      <c r="Z107" s="373">
        <v>0.8</v>
      </c>
      <c r="AA107" s="400"/>
      <c r="AB107" s="400"/>
      <c r="AC107" s="400"/>
      <c r="AD107" s="400"/>
      <c r="AE107" s="400"/>
      <c r="AF107" s="400"/>
    </row>
    <row r="108" spans="1:32" x14ac:dyDescent="0.25">
      <c r="A108" s="338">
        <v>5565</v>
      </c>
      <c r="B108" s="330" t="s">
        <v>286</v>
      </c>
      <c r="C108" s="392">
        <v>721551.71</v>
      </c>
      <c r="D108" s="392">
        <v>90420.21</v>
      </c>
      <c r="E108" s="392">
        <v>0</v>
      </c>
      <c r="F108" s="392">
        <v>0</v>
      </c>
      <c r="G108" s="392">
        <v>60359.5</v>
      </c>
      <c r="H108" s="392">
        <v>159873.04999999999</v>
      </c>
      <c r="I108" s="380">
        <v>28267.409152838987</v>
      </c>
      <c r="J108" s="392">
        <v>0</v>
      </c>
      <c r="K108" s="392">
        <v>5853.74</v>
      </c>
      <c r="L108" s="392">
        <v>24137.8</v>
      </c>
      <c r="M108" s="392">
        <v>127397.25</v>
      </c>
      <c r="N108" s="331">
        <f t="shared" si="2"/>
        <v>1217860.6691528391</v>
      </c>
      <c r="O108" s="396">
        <v>31769.45</v>
      </c>
      <c r="P108" s="396">
        <v>79714.8</v>
      </c>
      <c r="Q108" s="396">
        <v>53810.400000000001</v>
      </c>
      <c r="R108" s="396">
        <v>755.63</v>
      </c>
      <c r="S108" s="373">
        <v>27250.15</v>
      </c>
      <c r="T108" s="332">
        <f t="shared" si="3"/>
        <v>1411161.0991528388</v>
      </c>
      <c r="U108" s="446">
        <v>65</v>
      </c>
      <c r="V108" s="10">
        <v>497</v>
      </c>
      <c r="W108" s="10">
        <v>-5554.02</v>
      </c>
      <c r="X108" s="10">
        <v>0</v>
      </c>
      <c r="Y108" s="10">
        <v>0</v>
      </c>
      <c r="Z108" s="373">
        <v>1</v>
      </c>
      <c r="AA108" s="400"/>
      <c r="AB108" s="400"/>
      <c r="AC108" s="400"/>
      <c r="AD108" s="400"/>
      <c r="AE108" s="400"/>
      <c r="AF108" s="400"/>
    </row>
    <row r="109" spans="1:32" x14ac:dyDescent="0.25">
      <c r="A109" s="338">
        <v>5566</v>
      </c>
      <c r="B109" s="330" t="s">
        <v>287</v>
      </c>
      <c r="C109" s="392">
        <v>534609.1</v>
      </c>
      <c r="D109" s="392">
        <v>69081.97</v>
      </c>
      <c r="E109" s="392">
        <v>0</v>
      </c>
      <c r="F109" s="392">
        <v>2590</v>
      </c>
      <c r="G109" s="392">
        <v>16795.45</v>
      </c>
      <c r="H109" s="392">
        <v>4864</v>
      </c>
      <c r="I109" s="380">
        <v>2780.0456162154887</v>
      </c>
      <c r="J109" s="392">
        <v>0</v>
      </c>
      <c r="K109" s="392">
        <v>13059.1</v>
      </c>
      <c r="L109" s="392">
        <v>2954.9</v>
      </c>
      <c r="M109" s="392">
        <v>76599</v>
      </c>
      <c r="N109" s="331">
        <f t="shared" si="2"/>
        <v>723333.56561621535</v>
      </c>
      <c r="O109" s="396">
        <v>33043.65</v>
      </c>
      <c r="P109" s="396">
        <v>206.2</v>
      </c>
      <c r="Q109" s="396">
        <v>44456.7</v>
      </c>
      <c r="R109" s="396">
        <v>0</v>
      </c>
      <c r="S109" s="373">
        <v>23108.400000000001</v>
      </c>
      <c r="T109" s="332">
        <f t="shared" si="3"/>
        <v>824148.5156162153</v>
      </c>
      <c r="U109" s="446">
        <v>81</v>
      </c>
      <c r="V109" s="10">
        <v>379</v>
      </c>
      <c r="W109" s="10">
        <v>-8691.17</v>
      </c>
      <c r="X109" s="10">
        <v>0</v>
      </c>
      <c r="Y109" s="10">
        <v>0</v>
      </c>
      <c r="Z109" s="373">
        <v>1.5</v>
      </c>
      <c r="AA109" s="400"/>
      <c r="AB109" s="400"/>
      <c r="AC109" s="400"/>
      <c r="AD109" s="400"/>
      <c r="AE109" s="400"/>
      <c r="AF109" s="400"/>
    </row>
    <row r="110" spans="1:32" x14ac:dyDescent="0.25">
      <c r="A110" s="338">
        <v>5568</v>
      </c>
      <c r="B110" s="330" t="s">
        <v>118</v>
      </c>
      <c r="C110" s="392">
        <v>5941529.6900000004</v>
      </c>
      <c r="D110" s="392">
        <v>683368.45</v>
      </c>
      <c r="E110" s="392">
        <v>0</v>
      </c>
      <c r="F110" s="392">
        <v>0</v>
      </c>
      <c r="G110" s="392">
        <v>323048.45</v>
      </c>
      <c r="H110" s="392">
        <v>76586</v>
      </c>
      <c r="I110" s="380">
        <v>51294.100303155807</v>
      </c>
      <c r="J110" s="392">
        <v>31067.05</v>
      </c>
      <c r="K110" s="392">
        <v>114101.18</v>
      </c>
      <c r="L110" s="392">
        <v>53776.05</v>
      </c>
      <c r="M110" s="392">
        <v>597754.44999999995</v>
      </c>
      <c r="N110" s="331">
        <f t="shared" si="2"/>
        <v>7872525.4203031557</v>
      </c>
      <c r="O110" s="396">
        <v>1673786.35</v>
      </c>
      <c r="P110" s="396">
        <v>305285</v>
      </c>
      <c r="Q110" s="396">
        <v>507039.4</v>
      </c>
      <c r="R110" s="396">
        <v>22074.35</v>
      </c>
      <c r="S110" s="373">
        <v>303012</v>
      </c>
      <c r="T110" s="332">
        <f t="shared" si="3"/>
        <v>10683722.520303156</v>
      </c>
      <c r="U110" s="446">
        <v>70</v>
      </c>
      <c r="V110" s="10">
        <v>4888</v>
      </c>
      <c r="W110" s="10">
        <v>-230356.9</v>
      </c>
      <c r="X110" s="10">
        <v>0</v>
      </c>
      <c r="Y110" s="10">
        <v>-3267.83</v>
      </c>
      <c r="Z110" s="373">
        <v>1</v>
      </c>
      <c r="AA110" s="400"/>
      <c r="AB110" s="400"/>
      <c r="AC110" s="400"/>
      <c r="AD110" s="400"/>
      <c r="AE110" s="400"/>
      <c r="AF110" s="400"/>
    </row>
    <row r="111" spans="1:32" x14ac:dyDescent="0.25">
      <c r="A111" s="338">
        <v>5571</v>
      </c>
      <c r="B111" s="330" t="s">
        <v>427</v>
      </c>
      <c r="C111" s="392">
        <v>1499322.04</v>
      </c>
      <c r="D111" s="392">
        <v>144870.66</v>
      </c>
      <c r="E111" s="392">
        <v>0</v>
      </c>
      <c r="F111" s="392">
        <v>0</v>
      </c>
      <c r="G111" s="392">
        <v>4766.55</v>
      </c>
      <c r="H111" s="392">
        <v>424.2</v>
      </c>
      <c r="I111" s="380">
        <v>666.24599342875956</v>
      </c>
      <c r="J111" s="392">
        <v>0</v>
      </c>
      <c r="K111" s="392">
        <v>16215.75</v>
      </c>
      <c r="L111" s="392">
        <v>8507.7000000000007</v>
      </c>
      <c r="M111" s="392">
        <v>196325.35</v>
      </c>
      <c r="N111" s="331">
        <f t="shared" si="2"/>
        <v>1871098.4959934289</v>
      </c>
      <c r="O111" s="396">
        <v>46447.8</v>
      </c>
      <c r="P111" s="396">
        <v>31138.400000000001</v>
      </c>
      <c r="Q111" s="396">
        <v>44458.35</v>
      </c>
      <c r="R111" s="396">
        <v>33063.4</v>
      </c>
      <c r="S111" s="373">
        <v>35805.800000000003</v>
      </c>
      <c r="T111" s="332">
        <f t="shared" si="3"/>
        <v>2062012.2459934289</v>
      </c>
      <c r="U111" s="446">
        <v>73</v>
      </c>
      <c r="V111" s="10">
        <v>896</v>
      </c>
      <c r="W111" s="10">
        <v>-59913.84</v>
      </c>
      <c r="X111" s="10">
        <v>0</v>
      </c>
      <c r="Y111" s="10">
        <v>-51.17</v>
      </c>
      <c r="Z111" s="373">
        <v>1.2</v>
      </c>
      <c r="AA111" s="400"/>
      <c r="AB111" s="400"/>
      <c r="AC111" s="400"/>
      <c r="AD111" s="400"/>
      <c r="AE111" s="400"/>
      <c r="AF111" s="400"/>
    </row>
    <row r="112" spans="1:32" x14ac:dyDescent="0.25">
      <c r="A112" s="338">
        <v>5581</v>
      </c>
      <c r="B112" s="330" t="s">
        <v>387</v>
      </c>
      <c r="C112" s="392">
        <v>10603768.18</v>
      </c>
      <c r="D112" s="392">
        <v>1842025.37</v>
      </c>
      <c r="E112" s="392">
        <v>0</v>
      </c>
      <c r="F112" s="392">
        <v>0</v>
      </c>
      <c r="G112" s="392">
        <v>-126290.7</v>
      </c>
      <c r="H112" s="392">
        <v>12897.85</v>
      </c>
      <c r="I112" s="380">
        <v>0</v>
      </c>
      <c r="J112" s="392">
        <v>88521.05</v>
      </c>
      <c r="K112" s="392">
        <v>274717.03000000003</v>
      </c>
      <c r="L112" s="392">
        <v>32108.45</v>
      </c>
      <c r="M112" s="392">
        <v>1342767.25</v>
      </c>
      <c r="N112" s="331">
        <f t="shared" si="2"/>
        <v>14070514.48</v>
      </c>
      <c r="O112" s="396">
        <v>2747.25</v>
      </c>
      <c r="P112" s="396">
        <v>100047.4</v>
      </c>
      <c r="Q112" s="396">
        <v>393885.15</v>
      </c>
      <c r="R112" s="396">
        <v>26112.94</v>
      </c>
      <c r="S112" s="373">
        <v>244763.55</v>
      </c>
      <c r="T112" s="332">
        <f t="shared" si="3"/>
        <v>14838070.770000001</v>
      </c>
      <c r="U112" s="446">
        <v>72</v>
      </c>
      <c r="V112" s="10">
        <v>3773</v>
      </c>
      <c r="W112" s="10">
        <v>-144371.24</v>
      </c>
      <c r="X112" s="10">
        <v>0</v>
      </c>
      <c r="Y112" s="10">
        <v>-12565.71</v>
      </c>
      <c r="Z112" s="373">
        <v>1.5</v>
      </c>
      <c r="AA112" s="400"/>
      <c r="AB112" s="400"/>
      <c r="AC112" s="400"/>
      <c r="AD112" s="400"/>
      <c r="AE112" s="400"/>
      <c r="AF112" s="400"/>
    </row>
    <row r="113" spans="1:32" x14ac:dyDescent="0.25">
      <c r="A113" s="338">
        <v>5582</v>
      </c>
      <c r="B113" s="330" t="s">
        <v>388</v>
      </c>
      <c r="C113" s="392">
        <v>9539132.4700000007</v>
      </c>
      <c r="D113" s="392">
        <v>1026169.28</v>
      </c>
      <c r="E113" s="392">
        <v>0</v>
      </c>
      <c r="F113" s="392">
        <v>0</v>
      </c>
      <c r="G113" s="392">
        <v>289764.05</v>
      </c>
      <c r="H113" s="392">
        <v>463935.55</v>
      </c>
      <c r="I113" s="380">
        <v>96739.26479773804</v>
      </c>
      <c r="J113" s="392">
        <v>25637.35</v>
      </c>
      <c r="K113" s="392">
        <v>273052.06</v>
      </c>
      <c r="L113" s="392">
        <v>36801.699999999997</v>
      </c>
      <c r="M113" s="392">
        <v>900135.85</v>
      </c>
      <c r="N113" s="331">
        <f t="shared" si="2"/>
        <v>12651367.574797738</v>
      </c>
      <c r="O113" s="396">
        <v>456234.5</v>
      </c>
      <c r="P113" s="396">
        <v>130260.7</v>
      </c>
      <c r="Q113" s="396">
        <v>331577.75</v>
      </c>
      <c r="R113" s="396">
        <v>-105661.12</v>
      </c>
      <c r="S113" s="373">
        <v>477718.9</v>
      </c>
      <c r="T113" s="332">
        <f t="shared" si="3"/>
        <v>13941498.304797739</v>
      </c>
      <c r="U113" s="446">
        <v>74.5</v>
      </c>
      <c r="V113" s="10">
        <v>4339</v>
      </c>
      <c r="W113" s="10">
        <v>-202100.63</v>
      </c>
      <c r="X113" s="10">
        <v>0</v>
      </c>
      <c r="Y113" s="10">
        <v>-6688.62</v>
      </c>
      <c r="Z113" s="373">
        <v>1</v>
      </c>
      <c r="AA113" s="400"/>
      <c r="AB113" s="400"/>
      <c r="AC113" s="400"/>
      <c r="AD113" s="400"/>
      <c r="AE113" s="400"/>
      <c r="AF113" s="400"/>
    </row>
    <row r="114" spans="1:32" x14ac:dyDescent="0.25">
      <c r="A114" s="338">
        <v>5583</v>
      </c>
      <c r="B114" s="330" t="s">
        <v>389</v>
      </c>
      <c r="C114" s="392">
        <v>11823292.359999999</v>
      </c>
      <c r="D114" s="392">
        <v>1675818.69</v>
      </c>
      <c r="E114" s="392">
        <v>0</v>
      </c>
      <c r="F114" s="392">
        <v>0</v>
      </c>
      <c r="G114" s="392">
        <v>2454366.85</v>
      </c>
      <c r="H114" s="392">
        <v>330636.34999999998</v>
      </c>
      <c r="I114" s="380">
        <v>357462.25953595818</v>
      </c>
      <c r="J114" s="392">
        <v>0</v>
      </c>
      <c r="K114" s="392">
        <v>808417.71</v>
      </c>
      <c r="L114" s="392">
        <v>317099.09999999998</v>
      </c>
      <c r="M114" s="392">
        <v>2363526.4500000002</v>
      </c>
      <c r="N114" s="331">
        <f t="shared" si="2"/>
        <v>20130619.769535959</v>
      </c>
      <c r="O114" s="396">
        <v>1828974.65</v>
      </c>
      <c r="P114" s="396">
        <v>95237.1</v>
      </c>
      <c r="Q114" s="396">
        <v>1294126.8500000001</v>
      </c>
      <c r="R114" s="396">
        <v>90940.39</v>
      </c>
      <c r="S114" s="373">
        <v>394841.7</v>
      </c>
      <c r="T114" s="332">
        <f t="shared" si="3"/>
        <v>23834740.45953596</v>
      </c>
      <c r="U114" s="446">
        <v>65</v>
      </c>
      <c r="V114" s="10">
        <v>7944</v>
      </c>
      <c r="W114" s="10">
        <v>-239520.29</v>
      </c>
      <c r="X114" s="10">
        <v>0</v>
      </c>
      <c r="Y114" s="10">
        <v>-1942</v>
      </c>
      <c r="Z114" s="373">
        <v>1</v>
      </c>
      <c r="AA114" s="400"/>
      <c r="AB114" s="400"/>
      <c r="AC114" s="400"/>
      <c r="AD114" s="400"/>
      <c r="AE114" s="400"/>
      <c r="AF114" s="400"/>
    </row>
    <row r="115" spans="1:32" x14ac:dyDescent="0.25">
      <c r="A115" s="338">
        <v>5584</v>
      </c>
      <c r="B115" s="330" t="s">
        <v>390</v>
      </c>
      <c r="C115" s="392">
        <v>22937218.370000001</v>
      </c>
      <c r="D115" s="392">
        <v>4318571.2300000004</v>
      </c>
      <c r="E115" s="392">
        <v>0</v>
      </c>
      <c r="F115" s="392">
        <v>0</v>
      </c>
      <c r="G115" s="392">
        <v>563105.69999999995</v>
      </c>
      <c r="H115" s="392">
        <v>218242.85</v>
      </c>
      <c r="I115" s="380">
        <v>100288.07800585097</v>
      </c>
      <c r="J115" s="392">
        <v>443823.94</v>
      </c>
      <c r="K115" s="392">
        <v>533594.48</v>
      </c>
      <c r="L115" s="392">
        <v>258502.75</v>
      </c>
      <c r="M115" s="392">
        <v>2205843.2999999998</v>
      </c>
      <c r="N115" s="331">
        <f t="shared" si="2"/>
        <v>31579190.698005855</v>
      </c>
      <c r="O115" s="396">
        <v>263683.25</v>
      </c>
      <c r="P115" s="396">
        <v>559960.81999999995</v>
      </c>
      <c r="Q115" s="396">
        <v>1023124</v>
      </c>
      <c r="R115" s="396">
        <v>97434.25</v>
      </c>
      <c r="S115" s="373">
        <v>695415</v>
      </c>
      <c r="T115" s="332">
        <f t="shared" si="3"/>
        <v>34218808.018005855</v>
      </c>
      <c r="U115" s="446">
        <v>66</v>
      </c>
      <c r="V115" s="10">
        <v>9701</v>
      </c>
      <c r="W115" s="10">
        <v>-328503.65000000002</v>
      </c>
      <c r="X115" s="10">
        <v>0</v>
      </c>
      <c r="Y115" s="10">
        <v>-50265.46</v>
      </c>
      <c r="Z115" s="373">
        <v>1</v>
      </c>
      <c r="AA115" s="400"/>
      <c r="AB115" s="400"/>
      <c r="AC115" s="400"/>
      <c r="AD115" s="400"/>
      <c r="AE115" s="400"/>
      <c r="AF115" s="400"/>
    </row>
    <row r="116" spans="1:32" x14ac:dyDescent="0.25">
      <c r="A116" s="338">
        <v>5585</v>
      </c>
      <c r="B116" s="330" t="s">
        <v>391</v>
      </c>
      <c r="C116" s="392">
        <v>8730729.4499999993</v>
      </c>
      <c r="D116" s="392">
        <v>3867707.33</v>
      </c>
      <c r="E116" s="392">
        <v>0</v>
      </c>
      <c r="F116" s="392">
        <v>0</v>
      </c>
      <c r="G116" s="392">
        <v>20967.849999999999</v>
      </c>
      <c r="H116" s="392">
        <v>5033.6000000000004</v>
      </c>
      <c r="I116" s="380">
        <v>3337.3523837284056</v>
      </c>
      <c r="J116" s="392">
        <v>424238.45</v>
      </c>
      <c r="K116" s="392">
        <v>-11838.68</v>
      </c>
      <c r="L116" s="392">
        <v>8461</v>
      </c>
      <c r="M116" s="392">
        <v>529965.85</v>
      </c>
      <c r="N116" s="331">
        <f t="shared" si="2"/>
        <v>13578602.202383727</v>
      </c>
      <c r="O116" s="396">
        <v>1587.1</v>
      </c>
      <c r="P116" s="396">
        <v>27717.8</v>
      </c>
      <c r="Q116" s="396">
        <v>171383.65</v>
      </c>
      <c r="R116" s="396">
        <v>1227.6500000000001</v>
      </c>
      <c r="S116" s="373">
        <v>239248.85</v>
      </c>
      <c r="T116" s="332">
        <f t="shared" si="3"/>
        <v>14019767.252383728</v>
      </c>
      <c r="U116" s="446">
        <v>59</v>
      </c>
      <c r="V116" s="10">
        <v>1423</v>
      </c>
      <c r="W116" s="10">
        <v>-16208.7</v>
      </c>
      <c r="X116" s="10">
        <v>0</v>
      </c>
      <c r="Y116" s="10">
        <v>-13252.54</v>
      </c>
      <c r="Z116" s="373">
        <v>1</v>
      </c>
      <c r="AA116" s="400"/>
      <c r="AB116" s="400"/>
      <c r="AC116" s="400"/>
      <c r="AD116" s="400"/>
      <c r="AE116" s="400"/>
      <c r="AF116" s="400"/>
    </row>
    <row r="117" spans="1:32" x14ac:dyDescent="0.25">
      <c r="A117" s="338">
        <v>5586</v>
      </c>
      <c r="B117" s="330" t="s">
        <v>119</v>
      </c>
      <c r="C117" s="392">
        <v>311960699.84999996</v>
      </c>
      <c r="D117" s="392">
        <v>43371821.600000001</v>
      </c>
      <c r="E117" s="392">
        <v>0</v>
      </c>
      <c r="F117" s="392">
        <v>0</v>
      </c>
      <c r="G117" s="392">
        <v>45306248.149999999</v>
      </c>
      <c r="H117" s="392">
        <v>7259206.75</v>
      </c>
      <c r="I117" s="380">
        <v>6746910.1227924982</v>
      </c>
      <c r="J117" s="392">
        <v>5210112.4000000004</v>
      </c>
      <c r="K117" s="392">
        <v>24839326.210000001</v>
      </c>
      <c r="L117" s="392">
        <v>5734078.9000000004</v>
      </c>
      <c r="M117" s="392">
        <v>37197352.149999999</v>
      </c>
      <c r="N117" s="331">
        <f t="shared" si="2"/>
        <v>487625756.13279235</v>
      </c>
      <c r="O117" s="396">
        <v>11639074.1</v>
      </c>
      <c r="P117" s="396">
        <v>15757882.5</v>
      </c>
      <c r="Q117" s="396">
        <v>8863389.5</v>
      </c>
      <c r="R117" s="396">
        <v>2415500.98</v>
      </c>
      <c r="S117" s="373">
        <v>8816891.0500000007</v>
      </c>
      <c r="T117" s="332">
        <f t="shared" si="3"/>
        <v>535118494.26279241</v>
      </c>
      <c r="U117" s="446">
        <v>79</v>
      </c>
      <c r="V117" s="10">
        <v>139726</v>
      </c>
      <c r="W117" s="10">
        <v>-9279648.9900000002</v>
      </c>
      <c r="X117" s="10">
        <v>0</v>
      </c>
      <c r="Y117" s="10">
        <v>-591696.21</v>
      </c>
      <c r="Z117" s="373">
        <v>1.5</v>
      </c>
      <c r="AA117" s="400"/>
      <c r="AB117" s="400"/>
      <c r="AC117" s="400"/>
      <c r="AD117" s="400"/>
      <c r="AE117" s="400"/>
      <c r="AF117" s="400"/>
    </row>
    <row r="118" spans="1:32" x14ac:dyDescent="0.25">
      <c r="A118" s="338">
        <v>5587</v>
      </c>
      <c r="B118" s="330" t="s">
        <v>120</v>
      </c>
      <c r="C118" s="392">
        <v>23436270.98</v>
      </c>
      <c r="D118" s="392">
        <v>3532074.11</v>
      </c>
      <c r="E118" s="392">
        <v>0</v>
      </c>
      <c r="F118" s="392">
        <v>0</v>
      </c>
      <c r="G118" s="392">
        <v>1837337.15</v>
      </c>
      <c r="H118" s="392">
        <v>508822.75</v>
      </c>
      <c r="I118" s="380">
        <v>301135.60339415679</v>
      </c>
      <c r="J118" s="392">
        <v>253663.5</v>
      </c>
      <c r="K118" s="392">
        <v>579945.64</v>
      </c>
      <c r="L118" s="392">
        <v>244727.05</v>
      </c>
      <c r="M118" s="392">
        <v>2772849.5</v>
      </c>
      <c r="N118" s="331">
        <f t="shared" si="2"/>
        <v>33466826.283394158</v>
      </c>
      <c r="O118" s="396">
        <v>464277.7</v>
      </c>
      <c r="P118" s="396">
        <v>178958.7</v>
      </c>
      <c r="Q118" s="396">
        <v>997443.6</v>
      </c>
      <c r="R118" s="396">
        <v>125564.65</v>
      </c>
      <c r="S118" s="373">
        <v>392541.2</v>
      </c>
      <c r="T118" s="332">
        <f t="shared" si="3"/>
        <v>35625612.133394167</v>
      </c>
      <c r="U118" s="446">
        <v>75</v>
      </c>
      <c r="V118" s="10">
        <v>8991</v>
      </c>
      <c r="W118" s="10">
        <v>-436783.94</v>
      </c>
      <c r="X118" s="10">
        <v>0</v>
      </c>
      <c r="Y118" s="10">
        <v>-44045.35</v>
      </c>
      <c r="Z118" s="373">
        <v>1.2</v>
      </c>
      <c r="AA118" s="400"/>
      <c r="AB118" s="400"/>
      <c r="AC118" s="400"/>
      <c r="AD118" s="400"/>
      <c r="AE118" s="400"/>
      <c r="AF118" s="400"/>
    </row>
    <row r="119" spans="1:32" x14ac:dyDescent="0.25">
      <c r="A119" s="338">
        <v>5588</v>
      </c>
      <c r="B119" s="330" t="s">
        <v>121</v>
      </c>
      <c r="C119" s="392">
        <v>5612177.4400000004</v>
      </c>
      <c r="D119" s="392">
        <v>1317242.6299999999</v>
      </c>
      <c r="E119" s="392">
        <v>0</v>
      </c>
      <c r="F119" s="392">
        <v>0</v>
      </c>
      <c r="G119" s="392">
        <v>278310.55</v>
      </c>
      <c r="H119" s="392">
        <v>317121.55</v>
      </c>
      <c r="I119" s="380">
        <v>76425.227757813918</v>
      </c>
      <c r="J119" s="392">
        <v>685216.77</v>
      </c>
      <c r="K119" s="392">
        <v>361167.68</v>
      </c>
      <c r="L119" s="392">
        <v>18214.55</v>
      </c>
      <c r="M119" s="392">
        <v>360219.65</v>
      </c>
      <c r="N119" s="331">
        <f t="shared" si="2"/>
        <v>9026096.0477578156</v>
      </c>
      <c r="O119" s="396">
        <v>6796.8</v>
      </c>
      <c r="P119" s="396">
        <v>2272.8000000000002</v>
      </c>
      <c r="Q119" s="396">
        <v>112495.85</v>
      </c>
      <c r="R119" s="396">
        <v>15299.89</v>
      </c>
      <c r="S119" s="373">
        <v>50238.7</v>
      </c>
      <c r="T119" s="332">
        <f t="shared" si="3"/>
        <v>9213200.0877578165</v>
      </c>
      <c r="U119" s="446">
        <v>68</v>
      </c>
      <c r="V119" s="10">
        <v>1532</v>
      </c>
      <c r="W119" s="10">
        <v>-51003.55</v>
      </c>
      <c r="X119" s="10">
        <v>0</v>
      </c>
      <c r="Y119" s="10">
        <v>-87805.11</v>
      </c>
      <c r="Z119" s="373">
        <v>0.7</v>
      </c>
      <c r="AA119" s="400"/>
      <c r="AB119" s="400"/>
      <c r="AC119" s="400"/>
      <c r="AD119" s="400"/>
      <c r="AE119" s="400"/>
      <c r="AF119" s="400"/>
    </row>
    <row r="120" spans="1:32" x14ac:dyDescent="0.25">
      <c r="A120" s="338">
        <v>5589</v>
      </c>
      <c r="B120" s="330" t="s">
        <v>122</v>
      </c>
      <c r="C120" s="392">
        <v>19362622.039999999</v>
      </c>
      <c r="D120" s="392">
        <v>2153256.0499999998</v>
      </c>
      <c r="E120" s="392">
        <v>0</v>
      </c>
      <c r="F120" s="392">
        <v>0</v>
      </c>
      <c r="G120" s="392">
        <v>3728303.5</v>
      </c>
      <c r="H120" s="392">
        <v>380475.5</v>
      </c>
      <c r="I120" s="380">
        <v>527372.2576957522</v>
      </c>
      <c r="J120" s="392">
        <v>220436.72</v>
      </c>
      <c r="K120" s="392">
        <v>1464985.74</v>
      </c>
      <c r="L120" s="392">
        <v>372847.75</v>
      </c>
      <c r="M120" s="392">
        <v>2769317.7</v>
      </c>
      <c r="N120" s="331">
        <f t="shared" si="2"/>
        <v>30979617.257695749</v>
      </c>
      <c r="O120" s="396">
        <v>1109829.25</v>
      </c>
      <c r="P120" s="396">
        <v>334470.8</v>
      </c>
      <c r="Q120" s="396">
        <v>602913.05000000005</v>
      </c>
      <c r="R120" s="396">
        <v>168095.45</v>
      </c>
      <c r="S120" s="373">
        <v>578732.75</v>
      </c>
      <c r="T120" s="332">
        <f t="shared" si="3"/>
        <v>33773658.557695746</v>
      </c>
      <c r="U120" s="446">
        <v>73.5</v>
      </c>
      <c r="V120" s="10">
        <v>12423</v>
      </c>
      <c r="W120" s="10">
        <v>-618271.66</v>
      </c>
      <c r="X120" s="10">
        <v>0</v>
      </c>
      <c r="Y120" s="10">
        <v>-12230.55</v>
      </c>
      <c r="Z120" s="373">
        <v>1.3</v>
      </c>
      <c r="AA120" s="400"/>
      <c r="AB120" s="400"/>
      <c r="AC120" s="400"/>
      <c r="AD120" s="400"/>
      <c r="AE120" s="400"/>
      <c r="AF120" s="400"/>
    </row>
    <row r="121" spans="1:32" x14ac:dyDescent="0.25">
      <c r="A121" s="338">
        <v>5590</v>
      </c>
      <c r="B121" s="330" t="s">
        <v>123</v>
      </c>
      <c r="C121" s="392">
        <v>61535714.729999997</v>
      </c>
      <c r="D121" s="392">
        <v>18146813.600000001</v>
      </c>
      <c r="E121" s="392">
        <v>0</v>
      </c>
      <c r="F121" s="392">
        <v>0</v>
      </c>
      <c r="G121" s="392">
        <v>2736965.75</v>
      </c>
      <c r="H121" s="392">
        <v>1235181.75</v>
      </c>
      <c r="I121" s="380">
        <v>509835.25640477077</v>
      </c>
      <c r="J121" s="392">
        <v>3301288.37</v>
      </c>
      <c r="K121" s="392">
        <v>1186437.55</v>
      </c>
      <c r="L121" s="392">
        <v>414725.95</v>
      </c>
      <c r="M121" s="392">
        <v>3468655</v>
      </c>
      <c r="N121" s="331">
        <f t="shared" si="2"/>
        <v>92535617.956404775</v>
      </c>
      <c r="O121" s="396">
        <v>164601.25</v>
      </c>
      <c r="P121" s="396">
        <v>4380266.4000000004</v>
      </c>
      <c r="Q121" s="396">
        <v>3501253.45</v>
      </c>
      <c r="R121" s="396">
        <v>153991.18</v>
      </c>
      <c r="S121" s="373">
        <v>2027511.3</v>
      </c>
      <c r="T121" s="332">
        <f t="shared" si="3"/>
        <v>102763241.53640479</v>
      </c>
      <c r="U121" s="446">
        <v>61</v>
      </c>
      <c r="V121" s="10">
        <v>18495</v>
      </c>
      <c r="W121" s="10">
        <v>-638237.35</v>
      </c>
      <c r="X121" s="10">
        <v>0</v>
      </c>
      <c r="Y121" s="10">
        <v>-504571.96</v>
      </c>
      <c r="Z121" s="373">
        <v>0.7</v>
      </c>
      <c r="AA121" s="400"/>
      <c r="AB121" s="400"/>
      <c r="AC121" s="400"/>
      <c r="AD121" s="400"/>
      <c r="AE121" s="400"/>
      <c r="AF121" s="400"/>
    </row>
    <row r="122" spans="1:32" x14ac:dyDescent="0.25">
      <c r="A122" s="338">
        <v>5591</v>
      </c>
      <c r="B122" s="330" t="s">
        <v>394</v>
      </c>
      <c r="C122" s="392">
        <v>30073160.219999999</v>
      </c>
      <c r="D122" s="392">
        <v>3285627.08</v>
      </c>
      <c r="E122" s="392">
        <v>0</v>
      </c>
      <c r="F122" s="392">
        <v>0</v>
      </c>
      <c r="G122" s="392">
        <v>4019567.1</v>
      </c>
      <c r="H122" s="392">
        <v>772892.45</v>
      </c>
      <c r="I122" s="380">
        <v>615124.39895138401</v>
      </c>
      <c r="J122" s="392">
        <v>0</v>
      </c>
      <c r="K122" s="392">
        <v>2461175.16</v>
      </c>
      <c r="L122" s="392">
        <v>652885.94999999995</v>
      </c>
      <c r="M122" s="392">
        <v>5078530.3499999996</v>
      </c>
      <c r="N122" s="331">
        <f t="shared" si="2"/>
        <v>46958962.708951391</v>
      </c>
      <c r="O122" s="396">
        <v>1922457.75</v>
      </c>
      <c r="P122" s="396">
        <v>921785.2</v>
      </c>
      <c r="Q122" s="396">
        <v>1260308.05</v>
      </c>
      <c r="R122" s="396">
        <v>230692.33</v>
      </c>
      <c r="S122" s="373">
        <v>608267.94999999995</v>
      </c>
      <c r="T122" s="332">
        <f t="shared" si="3"/>
        <v>51902473.988951392</v>
      </c>
      <c r="U122" s="446">
        <v>78.5</v>
      </c>
      <c r="V122" s="10">
        <v>20928</v>
      </c>
      <c r="W122" s="10">
        <v>-1702671.9</v>
      </c>
      <c r="X122" s="10">
        <v>0</v>
      </c>
      <c r="Y122" s="10">
        <v>-5717.87</v>
      </c>
      <c r="Z122" s="373">
        <v>1.4</v>
      </c>
      <c r="AA122" s="400"/>
      <c r="AB122" s="400"/>
      <c r="AC122" s="400"/>
      <c r="AD122" s="400"/>
      <c r="AE122" s="400"/>
      <c r="AF122" s="400"/>
    </row>
    <row r="123" spans="1:32" x14ac:dyDescent="0.25">
      <c r="A123" s="338">
        <v>5592</v>
      </c>
      <c r="B123" s="330" t="s">
        <v>215</v>
      </c>
      <c r="C123" s="392">
        <v>5813410.1699999999</v>
      </c>
      <c r="D123" s="392">
        <v>725740.89</v>
      </c>
      <c r="E123" s="392">
        <v>0</v>
      </c>
      <c r="F123" s="392">
        <v>0</v>
      </c>
      <c r="G123" s="392">
        <v>368294</v>
      </c>
      <c r="H123" s="392">
        <v>59828.2</v>
      </c>
      <c r="I123" s="380">
        <v>41676.111147737087</v>
      </c>
      <c r="J123" s="392">
        <v>43700.4</v>
      </c>
      <c r="K123" s="392">
        <v>162880.34</v>
      </c>
      <c r="L123" s="392">
        <v>161439.85</v>
      </c>
      <c r="M123" s="392">
        <v>994337.9</v>
      </c>
      <c r="N123" s="331">
        <f t="shared" si="2"/>
        <v>8371307.8611477371</v>
      </c>
      <c r="O123" s="396">
        <v>201383</v>
      </c>
      <c r="P123" s="396">
        <v>380218</v>
      </c>
      <c r="Q123" s="396">
        <v>121950.1</v>
      </c>
      <c r="R123" s="396">
        <v>41231</v>
      </c>
      <c r="S123" s="373">
        <v>94441</v>
      </c>
      <c r="T123" s="332">
        <f t="shared" si="3"/>
        <v>9210530.9611477368</v>
      </c>
      <c r="U123" s="446">
        <v>72</v>
      </c>
      <c r="V123" s="10">
        <v>3294</v>
      </c>
      <c r="W123" s="10">
        <v>-100338.42</v>
      </c>
      <c r="X123" s="10">
        <v>0</v>
      </c>
      <c r="Y123" s="10">
        <v>-6801.54</v>
      </c>
      <c r="Z123" s="373">
        <v>1.25</v>
      </c>
      <c r="AA123" s="400"/>
      <c r="AB123" s="400"/>
      <c r="AC123" s="400"/>
      <c r="AD123" s="400"/>
      <c r="AE123" s="400"/>
      <c r="AF123" s="400"/>
    </row>
    <row r="124" spans="1:32" x14ac:dyDescent="0.25">
      <c r="A124" s="338">
        <v>5601</v>
      </c>
      <c r="B124" s="330" t="s">
        <v>297</v>
      </c>
      <c r="C124" s="392">
        <v>5293392.26</v>
      </c>
      <c r="D124" s="392">
        <v>1139897.3400000001</v>
      </c>
      <c r="E124" s="392">
        <v>0</v>
      </c>
      <c r="F124" s="392">
        <v>0</v>
      </c>
      <c r="G124" s="392">
        <v>70624.2</v>
      </c>
      <c r="H124" s="392">
        <v>20350.400000000001</v>
      </c>
      <c r="I124" s="380">
        <v>11676.821799120367</v>
      </c>
      <c r="J124" s="392">
        <v>64727.199999999997</v>
      </c>
      <c r="K124" s="392">
        <v>103715.89</v>
      </c>
      <c r="L124" s="392">
        <v>17302.2</v>
      </c>
      <c r="M124" s="392">
        <v>469284.35</v>
      </c>
      <c r="N124" s="331">
        <f t="shared" si="2"/>
        <v>7190970.6617991198</v>
      </c>
      <c r="O124" s="396">
        <v>57507.3</v>
      </c>
      <c r="P124" s="396">
        <v>256324.27</v>
      </c>
      <c r="Q124" s="396">
        <v>311922.5</v>
      </c>
      <c r="R124" s="396">
        <v>2989.27</v>
      </c>
      <c r="S124" s="373">
        <v>247739.15</v>
      </c>
      <c r="T124" s="332">
        <f t="shared" si="3"/>
        <v>8067453.1517991191</v>
      </c>
      <c r="U124" s="446">
        <v>69</v>
      </c>
      <c r="V124" s="10">
        <v>2235</v>
      </c>
      <c r="W124" s="10">
        <v>-57692.12</v>
      </c>
      <c r="X124" s="10">
        <v>0</v>
      </c>
      <c r="Y124" s="10">
        <v>-9677.6</v>
      </c>
      <c r="Z124" s="373">
        <v>1</v>
      </c>
      <c r="AA124" s="400"/>
      <c r="AB124" s="400"/>
      <c r="AC124" s="400"/>
      <c r="AD124" s="400"/>
      <c r="AE124" s="400"/>
      <c r="AF124" s="400"/>
    </row>
    <row r="125" spans="1:32" x14ac:dyDescent="0.25">
      <c r="A125" s="338">
        <v>5604</v>
      </c>
      <c r="B125" s="330" t="s">
        <v>142</v>
      </c>
      <c r="C125" s="392">
        <v>3806559.69</v>
      </c>
      <c r="D125" s="392">
        <v>551897.65</v>
      </c>
      <c r="E125" s="392">
        <v>0</v>
      </c>
      <c r="F125" s="392">
        <v>0</v>
      </c>
      <c r="G125" s="392">
        <v>308439.40000000002</v>
      </c>
      <c r="H125" s="392">
        <v>17440.2</v>
      </c>
      <c r="I125" s="380">
        <v>41827.477308706213</v>
      </c>
      <c r="J125" s="392">
        <v>-51604.83</v>
      </c>
      <c r="K125" s="392">
        <v>89157.26</v>
      </c>
      <c r="L125" s="392">
        <v>35285.199999999997</v>
      </c>
      <c r="M125" s="392">
        <v>395619</v>
      </c>
      <c r="N125" s="331">
        <f t="shared" si="2"/>
        <v>5194621.0473087067</v>
      </c>
      <c r="O125" s="396">
        <v>86564.800000000003</v>
      </c>
      <c r="P125" s="396">
        <v>0</v>
      </c>
      <c r="Q125" s="396">
        <v>184340.3</v>
      </c>
      <c r="R125" s="396">
        <v>9002.76</v>
      </c>
      <c r="S125" s="373">
        <v>160109.79999999999</v>
      </c>
      <c r="T125" s="332">
        <f t="shared" si="3"/>
        <v>5634638.7073087059</v>
      </c>
      <c r="U125" s="446">
        <v>70</v>
      </c>
      <c r="V125" s="10">
        <v>2064</v>
      </c>
      <c r="W125" s="10">
        <v>-45194.54</v>
      </c>
      <c r="X125" s="10">
        <v>0</v>
      </c>
      <c r="Y125" s="10">
        <v>-2048.46</v>
      </c>
      <c r="Z125" s="373">
        <v>1</v>
      </c>
      <c r="AA125" s="400"/>
      <c r="AB125" s="400"/>
      <c r="AC125" s="400"/>
      <c r="AD125" s="400"/>
      <c r="AE125" s="400"/>
      <c r="AF125" s="400"/>
    </row>
    <row r="126" spans="1:32" x14ac:dyDescent="0.25">
      <c r="A126" s="338">
        <v>5606</v>
      </c>
      <c r="B126" s="330" t="s">
        <v>143</v>
      </c>
      <c r="C126" s="392">
        <v>31097030.600000001</v>
      </c>
      <c r="D126" s="392">
        <v>7111698.71</v>
      </c>
      <c r="E126" s="392">
        <v>0</v>
      </c>
      <c r="F126" s="392">
        <v>0</v>
      </c>
      <c r="G126" s="392">
        <v>2087285.55</v>
      </c>
      <c r="H126" s="392">
        <v>67441.95</v>
      </c>
      <c r="I126" s="380">
        <v>276564.76690377458</v>
      </c>
      <c r="J126" s="392">
        <v>661389.89</v>
      </c>
      <c r="K126" s="392">
        <v>732958.03</v>
      </c>
      <c r="L126" s="392">
        <v>15175.75</v>
      </c>
      <c r="M126" s="392">
        <v>2170178.4</v>
      </c>
      <c r="N126" s="331">
        <f t="shared" si="2"/>
        <v>44219723.646903776</v>
      </c>
      <c r="O126" s="396">
        <v>105724.85</v>
      </c>
      <c r="P126" s="396">
        <v>3701485.1</v>
      </c>
      <c r="Q126" s="396">
        <v>1961135.05</v>
      </c>
      <c r="R126" s="396">
        <v>154093.64000000001</v>
      </c>
      <c r="S126" s="373">
        <v>1637609.95</v>
      </c>
      <c r="T126" s="332">
        <f t="shared" si="3"/>
        <v>51779772.236903779</v>
      </c>
      <c r="U126" s="446">
        <v>55.5</v>
      </c>
      <c r="V126" s="10">
        <v>10357</v>
      </c>
      <c r="W126" s="10">
        <v>-303794.59999999998</v>
      </c>
      <c r="X126" s="10">
        <v>0</v>
      </c>
      <c r="Y126" s="10">
        <v>-159766.5</v>
      </c>
      <c r="Z126" s="373">
        <v>0.7</v>
      </c>
      <c r="AA126" s="400"/>
      <c r="AB126" s="400"/>
      <c r="AC126" s="400"/>
      <c r="AD126" s="400"/>
      <c r="AE126" s="400"/>
      <c r="AF126" s="400"/>
    </row>
    <row r="127" spans="1:32" x14ac:dyDescent="0.25">
      <c r="A127" s="338">
        <v>5607</v>
      </c>
      <c r="B127" s="330" t="s">
        <v>299</v>
      </c>
      <c r="C127" s="392">
        <v>4690777.95</v>
      </c>
      <c r="D127" s="392">
        <v>878982.08</v>
      </c>
      <c r="E127" s="392">
        <v>0</v>
      </c>
      <c r="F127" s="392">
        <v>0</v>
      </c>
      <c r="G127" s="392">
        <v>400506.45</v>
      </c>
      <c r="H127" s="392">
        <v>149598</v>
      </c>
      <c r="I127" s="380">
        <v>70607.308342692544</v>
      </c>
      <c r="J127" s="392">
        <v>316.95</v>
      </c>
      <c r="K127" s="392">
        <v>161595.10999999999</v>
      </c>
      <c r="L127" s="392">
        <v>87492.800000000003</v>
      </c>
      <c r="M127" s="392">
        <v>721367.35</v>
      </c>
      <c r="N127" s="331">
        <f t="shared" si="2"/>
        <v>7161243.9983426929</v>
      </c>
      <c r="O127" s="396">
        <v>204335.45</v>
      </c>
      <c r="P127" s="396">
        <v>15639.5</v>
      </c>
      <c r="Q127" s="396">
        <v>175089.25</v>
      </c>
      <c r="R127" s="396">
        <v>8091.47</v>
      </c>
      <c r="S127" s="373">
        <v>53142.6</v>
      </c>
      <c r="T127" s="332">
        <f t="shared" si="3"/>
        <v>7617542.2683426924</v>
      </c>
      <c r="U127" s="446">
        <v>70</v>
      </c>
      <c r="V127" s="10">
        <v>2881</v>
      </c>
      <c r="W127" s="10">
        <v>-74781.320000000007</v>
      </c>
      <c r="X127" s="10">
        <v>0</v>
      </c>
      <c r="Y127" s="10">
        <v>-5345.3</v>
      </c>
      <c r="Z127" s="373">
        <v>1.1499999999999999</v>
      </c>
      <c r="AA127" s="400"/>
      <c r="AB127" s="400"/>
      <c r="AC127" s="400"/>
      <c r="AD127" s="400"/>
      <c r="AE127" s="400"/>
      <c r="AF127" s="400"/>
    </row>
    <row r="128" spans="1:32" x14ac:dyDescent="0.25">
      <c r="A128" s="338">
        <v>5609</v>
      </c>
      <c r="B128" s="330" t="s">
        <v>127</v>
      </c>
      <c r="C128" s="392">
        <v>657977.5</v>
      </c>
      <c r="D128" s="392">
        <v>122441.88</v>
      </c>
      <c r="E128" s="392">
        <v>0</v>
      </c>
      <c r="F128" s="392">
        <v>0</v>
      </c>
      <c r="G128" s="392">
        <v>27752.7</v>
      </c>
      <c r="H128" s="392">
        <v>633.79999999999995</v>
      </c>
      <c r="I128" s="380">
        <v>3643.4796305862319</v>
      </c>
      <c r="J128" s="392">
        <v>0</v>
      </c>
      <c r="K128" s="392">
        <v>1962.36</v>
      </c>
      <c r="L128" s="392">
        <v>-2215.1</v>
      </c>
      <c r="M128" s="392">
        <v>56532.35</v>
      </c>
      <c r="N128" s="331">
        <f t="shared" si="2"/>
        <v>868728.96963058622</v>
      </c>
      <c r="O128" s="396">
        <v>0</v>
      </c>
      <c r="P128" s="396">
        <v>0</v>
      </c>
      <c r="Q128" s="396">
        <v>37235</v>
      </c>
      <c r="R128" s="396">
        <v>0</v>
      </c>
      <c r="S128" s="373">
        <v>0</v>
      </c>
      <c r="T128" s="332">
        <f t="shared" si="3"/>
        <v>905963.96963058622</v>
      </c>
      <c r="U128" s="446">
        <v>63.5</v>
      </c>
      <c r="V128" s="10">
        <v>342</v>
      </c>
      <c r="W128" s="10">
        <v>186.16</v>
      </c>
      <c r="X128" s="10">
        <v>0</v>
      </c>
      <c r="Y128" s="10">
        <v>-797.53</v>
      </c>
      <c r="Z128" s="373">
        <v>1</v>
      </c>
      <c r="AA128" s="400"/>
      <c r="AB128" s="400"/>
      <c r="AC128" s="400"/>
      <c r="AD128" s="400"/>
      <c r="AE128" s="400"/>
      <c r="AF128" s="400"/>
    </row>
    <row r="129" spans="1:32" x14ac:dyDescent="0.25">
      <c r="A129" s="338">
        <v>5610</v>
      </c>
      <c r="B129" s="330" t="s">
        <v>128</v>
      </c>
      <c r="C129" s="392">
        <v>1087644.56</v>
      </c>
      <c r="D129" s="392">
        <v>242745.99</v>
      </c>
      <c r="E129" s="392">
        <v>0</v>
      </c>
      <c r="F129" s="392">
        <v>0</v>
      </c>
      <c r="G129" s="392">
        <v>4368.7</v>
      </c>
      <c r="H129" s="392">
        <v>5933.1</v>
      </c>
      <c r="I129" s="380">
        <v>1322.2622887067178</v>
      </c>
      <c r="J129" s="392">
        <v>50381</v>
      </c>
      <c r="K129" s="392">
        <v>34295.31</v>
      </c>
      <c r="L129" s="392">
        <v>6538.15</v>
      </c>
      <c r="M129" s="392">
        <v>117784.25</v>
      </c>
      <c r="N129" s="331">
        <f t="shared" si="2"/>
        <v>1551013.3222887067</v>
      </c>
      <c r="O129" s="396">
        <v>0</v>
      </c>
      <c r="P129" s="396">
        <v>86</v>
      </c>
      <c r="Q129" s="396">
        <v>22836</v>
      </c>
      <c r="R129" s="396">
        <v>14240.1</v>
      </c>
      <c r="S129" s="373">
        <v>10880.35</v>
      </c>
      <c r="T129" s="332">
        <f t="shared" si="3"/>
        <v>1599055.7722887069</v>
      </c>
      <c r="U129" s="446">
        <v>70</v>
      </c>
      <c r="V129" s="10">
        <v>384</v>
      </c>
      <c r="W129" s="10">
        <v>-3365.87</v>
      </c>
      <c r="X129" s="10">
        <v>0</v>
      </c>
      <c r="Y129" s="10">
        <v>-2770.18</v>
      </c>
      <c r="Z129" s="373">
        <v>1</v>
      </c>
      <c r="AA129" s="400"/>
      <c r="AB129" s="400"/>
      <c r="AC129" s="400"/>
      <c r="AD129" s="400"/>
      <c r="AE129" s="400"/>
      <c r="AF129" s="400"/>
    </row>
    <row r="130" spans="1:32" x14ac:dyDescent="0.25">
      <c r="A130" s="338">
        <v>5611</v>
      </c>
      <c r="B130" s="330" t="s">
        <v>296</v>
      </c>
      <c r="C130" s="392">
        <v>6962533.79</v>
      </c>
      <c r="D130" s="392">
        <v>1034322.39</v>
      </c>
      <c r="E130" s="392">
        <v>0</v>
      </c>
      <c r="F130" s="392">
        <v>0</v>
      </c>
      <c r="G130" s="392">
        <v>305791.05</v>
      </c>
      <c r="H130" s="392">
        <v>19242.25</v>
      </c>
      <c r="I130" s="380">
        <v>41718.852546535294</v>
      </c>
      <c r="J130" s="392">
        <v>190349.05</v>
      </c>
      <c r="K130" s="392">
        <v>80537.88</v>
      </c>
      <c r="L130" s="392">
        <v>21559.95</v>
      </c>
      <c r="M130" s="392">
        <v>784765.65</v>
      </c>
      <c r="N130" s="331">
        <f t="shared" si="2"/>
        <v>9440820.8625465352</v>
      </c>
      <c r="O130" s="396">
        <v>112933.35</v>
      </c>
      <c r="P130" s="396">
        <v>464859.4</v>
      </c>
      <c r="Q130" s="396">
        <v>449852.7</v>
      </c>
      <c r="R130" s="396">
        <v>60029.8</v>
      </c>
      <c r="S130" s="373">
        <v>327873.59999999998</v>
      </c>
      <c r="T130" s="332">
        <f t="shared" si="3"/>
        <v>10856369.712546535</v>
      </c>
      <c r="U130" s="446">
        <v>69</v>
      </c>
      <c r="V130" s="10">
        <v>3359</v>
      </c>
      <c r="W130" s="10">
        <v>-86054.84</v>
      </c>
      <c r="X130" s="10">
        <v>0</v>
      </c>
      <c r="Y130" s="10">
        <v>-2681.59</v>
      </c>
      <c r="Z130" s="373">
        <v>1.2</v>
      </c>
      <c r="AA130" s="400"/>
      <c r="AB130" s="400"/>
      <c r="AC130" s="400"/>
      <c r="AD130" s="400"/>
      <c r="AE130" s="400"/>
      <c r="AF130" s="400"/>
    </row>
    <row r="131" spans="1:32" x14ac:dyDescent="0.25">
      <c r="A131" s="338">
        <v>5613</v>
      </c>
      <c r="B131" s="330" t="s">
        <v>426</v>
      </c>
      <c r="C131" s="392">
        <v>15688772.189999999</v>
      </c>
      <c r="D131" s="392">
        <v>3804237.45</v>
      </c>
      <c r="E131" s="392">
        <v>0</v>
      </c>
      <c r="F131" s="392">
        <v>0</v>
      </c>
      <c r="G131" s="392">
        <v>133094.35</v>
      </c>
      <c r="H131" s="392">
        <v>59867.1</v>
      </c>
      <c r="I131" s="380">
        <v>24767.093955344397</v>
      </c>
      <c r="J131" s="392">
        <v>58526.3</v>
      </c>
      <c r="K131" s="392">
        <v>287131.86</v>
      </c>
      <c r="L131" s="392">
        <v>13872.85</v>
      </c>
      <c r="M131" s="392">
        <v>2109251.5499999998</v>
      </c>
      <c r="N131" s="331">
        <f t="shared" si="2"/>
        <v>22179520.743955351</v>
      </c>
      <c r="O131" s="396">
        <v>39562.800000000003</v>
      </c>
      <c r="P131" s="396">
        <v>86891.4</v>
      </c>
      <c r="Q131" s="396">
        <v>900803.75</v>
      </c>
      <c r="R131" s="396">
        <v>18206.759999999998</v>
      </c>
      <c r="S131" s="373">
        <v>975496.75</v>
      </c>
      <c r="T131" s="332">
        <f t="shared" si="3"/>
        <v>24200482.203955352</v>
      </c>
      <c r="U131" s="446">
        <v>64</v>
      </c>
      <c r="V131" s="10">
        <v>5345</v>
      </c>
      <c r="W131" s="10">
        <v>-152033.82999999999</v>
      </c>
      <c r="X131" s="10">
        <v>0</v>
      </c>
      <c r="Y131" s="10">
        <v>-34937.79</v>
      </c>
      <c r="Z131" s="373">
        <v>1.5</v>
      </c>
      <c r="AA131" s="400"/>
      <c r="AB131" s="400"/>
      <c r="AC131" s="400"/>
      <c r="AD131" s="400"/>
      <c r="AE131" s="400"/>
      <c r="AF131" s="400"/>
    </row>
    <row r="132" spans="1:32" x14ac:dyDescent="0.25">
      <c r="A132" s="338">
        <v>5621</v>
      </c>
      <c r="B132" s="330" t="s">
        <v>403</v>
      </c>
      <c r="C132" s="392">
        <v>1046748.13</v>
      </c>
      <c r="D132" s="392">
        <v>128875.79</v>
      </c>
      <c r="E132" s="392">
        <v>0</v>
      </c>
      <c r="F132" s="392">
        <v>0</v>
      </c>
      <c r="G132" s="392">
        <v>306129.3</v>
      </c>
      <c r="H132" s="392">
        <v>2931.6</v>
      </c>
      <c r="I132" s="380">
        <v>39668.75429378925</v>
      </c>
      <c r="J132" s="392">
        <v>0</v>
      </c>
      <c r="K132" s="392">
        <v>71331.09</v>
      </c>
      <c r="L132" s="392">
        <v>24888.65</v>
      </c>
      <c r="M132" s="392">
        <v>316197.90000000002</v>
      </c>
      <c r="N132" s="331">
        <f t="shared" si="2"/>
        <v>1936771.2142937891</v>
      </c>
      <c r="O132" s="396">
        <v>163883.20000000001</v>
      </c>
      <c r="P132" s="396">
        <v>43551</v>
      </c>
      <c r="Q132" s="396">
        <v>118046.65</v>
      </c>
      <c r="R132" s="396">
        <v>34.49</v>
      </c>
      <c r="S132" s="373">
        <v>25159.75</v>
      </c>
      <c r="T132" s="332">
        <f t="shared" si="3"/>
        <v>2287446.3042937894</v>
      </c>
      <c r="U132" s="446">
        <v>62</v>
      </c>
      <c r="V132" s="10">
        <v>539</v>
      </c>
      <c r="W132" s="10">
        <v>-231875.29</v>
      </c>
      <c r="X132" s="10">
        <v>0</v>
      </c>
      <c r="Y132" s="10">
        <v>-1477.67</v>
      </c>
      <c r="Z132" s="373">
        <v>1.1000000000000001</v>
      </c>
      <c r="AA132" s="400"/>
      <c r="AB132" s="400"/>
      <c r="AC132" s="400"/>
      <c r="AD132" s="400"/>
      <c r="AE132" s="400"/>
      <c r="AF132" s="400"/>
    </row>
    <row r="133" spans="1:32" x14ac:dyDescent="0.25">
      <c r="A133" s="338">
        <v>5622</v>
      </c>
      <c r="B133" s="330" t="s">
        <v>146</v>
      </c>
      <c r="C133" s="392">
        <v>1399502.94</v>
      </c>
      <c r="D133" s="392">
        <v>286396.55</v>
      </c>
      <c r="E133" s="392">
        <v>0</v>
      </c>
      <c r="F133" s="392">
        <v>0</v>
      </c>
      <c r="G133" s="392">
        <v>-46230.25</v>
      </c>
      <c r="H133" s="392">
        <v>1840.6</v>
      </c>
      <c r="I133" s="380">
        <v>0</v>
      </c>
      <c r="J133" s="392">
        <v>0</v>
      </c>
      <c r="K133" s="392">
        <v>606.11</v>
      </c>
      <c r="L133" s="392">
        <v>5229</v>
      </c>
      <c r="M133" s="392">
        <v>144929.4</v>
      </c>
      <c r="N133" s="331">
        <f t="shared" si="2"/>
        <v>1792274.35</v>
      </c>
      <c r="O133" s="396">
        <v>25229.55</v>
      </c>
      <c r="P133" s="396">
        <v>0</v>
      </c>
      <c r="Q133" s="396">
        <v>103342.3</v>
      </c>
      <c r="R133" s="396">
        <v>56.41</v>
      </c>
      <c r="S133" s="373">
        <v>123840.05</v>
      </c>
      <c r="T133" s="332">
        <f t="shared" si="3"/>
        <v>2044742.6600000001</v>
      </c>
      <c r="U133" s="446">
        <v>66</v>
      </c>
      <c r="V133" s="10">
        <v>577</v>
      </c>
      <c r="W133" s="10">
        <v>-14399.56</v>
      </c>
      <c r="X133" s="10">
        <v>0</v>
      </c>
      <c r="Y133" s="10">
        <v>-66.39</v>
      </c>
      <c r="Z133" s="373">
        <v>1</v>
      </c>
      <c r="AA133" s="400"/>
      <c r="AB133" s="400"/>
      <c r="AC133" s="400"/>
      <c r="AD133" s="400"/>
      <c r="AE133" s="400"/>
      <c r="AF133" s="400"/>
    </row>
    <row r="134" spans="1:32" x14ac:dyDescent="0.25">
      <c r="A134" s="338">
        <v>5623</v>
      </c>
      <c r="B134" s="330" t="s">
        <v>147</v>
      </c>
      <c r="C134" s="392">
        <v>2013599.87</v>
      </c>
      <c r="D134" s="392">
        <v>2094802.73</v>
      </c>
      <c r="E134" s="392">
        <v>0</v>
      </c>
      <c r="F134" s="392">
        <v>0</v>
      </c>
      <c r="G134" s="392">
        <v>-29882.7</v>
      </c>
      <c r="H134" s="392">
        <v>153579.45000000001</v>
      </c>
      <c r="I134" s="380">
        <v>15876.793158533723</v>
      </c>
      <c r="J134" s="392">
        <v>218773.05</v>
      </c>
      <c r="K134" s="392">
        <v>-25990.65</v>
      </c>
      <c r="L134" s="392">
        <v>2749</v>
      </c>
      <c r="M134" s="392">
        <v>342307.8</v>
      </c>
      <c r="N134" s="331">
        <f t="shared" ref="N134:N197" si="4">SUM(C134:M134)</f>
        <v>4785815.3431585329</v>
      </c>
      <c r="O134" s="396">
        <v>1708.45</v>
      </c>
      <c r="P134" s="396">
        <v>0</v>
      </c>
      <c r="Q134" s="396">
        <v>252395.05</v>
      </c>
      <c r="R134" s="396">
        <v>0</v>
      </c>
      <c r="S134" s="373">
        <v>213419.05</v>
      </c>
      <c r="T134" s="332">
        <f t="shared" ref="T134:T197" si="5">SUM(N134:S134)</f>
        <v>5253337.8931585327</v>
      </c>
      <c r="U134" s="446">
        <v>53</v>
      </c>
      <c r="V134" s="10">
        <v>686</v>
      </c>
      <c r="W134" s="10">
        <v>-14018.87</v>
      </c>
      <c r="X134" s="10">
        <v>0</v>
      </c>
      <c r="Y134" s="10">
        <v>-30316.97</v>
      </c>
      <c r="Z134" s="373">
        <v>1</v>
      </c>
      <c r="AA134" s="400"/>
      <c r="AB134" s="400"/>
      <c r="AC134" s="400"/>
      <c r="AD134" s="400"/>
      <c r="AE134" s="400"/>
      <c r="AF134" s="400"/>
    </row>
    <row r="135" spans="1:32" x14ac:dyDescent="0.25">
      <c r="A135" s="338">
        <v>5624</v>
      </c>
      <c r="B135" s="330" t="s">
        <v>438</v>
      </c>
      <c r="C135" s="392">
        <v>14021890.98</v>
      </c>
      <c r="D135" s="392">
        <v>1399279.75</v>
      </c>
      <c r="E135" s="392">
        <v>0</v>
      </c>
      <c r="F135" s="392">
        <v>0</v>
      </c>
      <c r="G135" s="392">
        <v>6757493.5499999998</v>
      </c>
      <c r="H135" s="392">
        <v>149743.79999999999</v>
      </c>
      <c r="I135" s="380">
        <v>886561.52003062819</v>
      </c>
      <c r="J135" s="392">
        <v>0</v>
      </c>
      <c r="K135" s="392">
        <v>740012.36</v>
      </c>
      <c r="L135" s="392">
        <v>378271.35</v>
      </c>
      <c r="M135" s="392">
        <v>2419953.65</v>
      </c>
      <c r="N135" s="331">
        <f t="shared" si="4"/>
        <v>26753206.96003063</v>
      </c>
      <c r="O135" s="396">
        <v>1135079.8999999999</v>
      </c>
      <c r="P135" s="396">
        <v>105709.2</v>
      </c>
      <c r="Q135" s="396">
        <v>1641700.45</v>
      </c>
      <c r="R135" s="396">
        <v>78504.429999999993</v>
      </c>
      <c r="S135" s="373">
        <v>1435197.45</v>
      </c>
      <c r="T135" s="332">
        <f t="shared" si="5"/>
        <v>31149398.390030626</v>
      </c>
      <c r="U135" s="446">
        <v>64</v>
      </c>
      <c r="V135" s="10">
        <v>8962</v>
      </c>
      <c r="W135" s="10">
        <v>-387152.82</v>
      </c>
      <c r="X135" s="10">
        <v>0</v>
      </c>
      <c r="Y135" s="10">
        <v>-335600.95</v>
      </c>
      <c r="Z135" s="373">
        <v>1.25</v>
      </c>
      <c r="AA135" s="400"/>
      <c r="AB135" s="400"/>
      <c r="AC135" s="400"/>
      <c r="AD135" s="400"/>
      <c r="AE135" s="400"/>
      <c r="AF135" s="400"/>
    </row>
    <row r="136" spans="1:32" x14ac:dyDescent="0.25">
      <c r="A136" s="338">
        <v>5625</v>
      </c>
      <c r="B136" s="330" t="s">
        <v>300</v>
      </c>
      <c r="C136" s="392">
        <v>955652.88</v>
      </c>
      <c r="D136" s="392">
        <v>133019.35</v>
      </c>
      <c r="E136" s="392">
        <v>0</v>
      </c>
      <c r="F136" s="392">
        <v>0</v>
      </c>
      <c r="G136" s="392">
        <v>18174.900000000001</v>
      </c>
      <c r="H136" s="392">
        <v>2431.1</v>
      </c>
      <c r="I136" s="380">
        <v>2644.8326235309</v>
      </c>
      <c r="J136" s="392">
        <v>49113.7</v>
      </c>
      <c r="K136" s="392">
        <v>34954.1</v>
      </c>
      <c r="L136" s="392">
        <v>6069.5</v>
      </c>
      <c r="M136" s="392">
        <v>113056.6</v>
      </c>
      <c r="N136" s="331">
        <f t="shared" si="4"/>
        <v>1315116.962623531</v>
      </c>
      <c r="O136" s="396">
        <v>0</v>
      </c>
      <c r="P136" s="396">
        <v>19338</v>
      </c>
      <c r="Q136" s="396">
        <v>64394.5</v>
      </c>
      <c r="R136" s="396">
        <v>0</v>
      </c>
      <c r="S136" s="373">
        <v>3389.35</v>
      </c>
      <c r="T136" s="332">
        <f t="shared" si="5"/>
        <v>1402238.8126235311</v>
      </c>
      <c r="U136" s="446">
        <v>77</v>
      </c>
      <c r="V136" s="10">
        <v>384</v>
      </c>
      <c r="W136" s="10">
        <v>-1509.34</v>
      </c>
      <c r="X136" s="10">
        <v>0</v>
      </c>
      <c r="Y136" s="10">
        <v>0</v>
      </c>
      <c r="Z136" s="373">
        <v>1.2</v>
      </c>
      <c r="AA136" s="400"/>
      <c r="AB136" s="400"/>
      <c r="AC136" s="400"/>
      <c r="AD136" s="400"/>
      <c r="AE136" s="400"/>
      <c r="AF136" s="400"/>
    </row>
    <row r="137" spans="1:32" x14ac:dyDescent="0.25">
      <c r="A137" s="338">
        <v>5627</v>
      </c>
      <c r="B137" s="330" t="s">
        <v>254</v>
      </c>
      <c r="C137" s="392">
        <v>10327926</v>
      </c>
      <c r="D137" s="392">
        <v>705799.75</v>
      </c>
      <c r="E137" s="392">
        <v>0</v>
      </c>
      <c r="F137" s="392">
        <v>0</v>
      </c>
      <c r="G137" s="392">
        <v>3511224.35</v>
      </c>
      <c r="H137" s="392">
        <v>178956.05</v>
      </c>
      <c r="I137" s="380">
        <v>473644.06040154846</v>
      </c>
      <c r="J137" s="392">
        <v>0</v>
      </c>
      <c r="K137" s="392">
        <v>780514.01</v>
      </c>
      <c r="L137" s="392">
        <v>300233.40000000002</v>
      </c>
      <c r="M137" s="392">
        <v>1584737.8</v>
      </c>
      <c r="N137" s="331">
        <f t="shared" si="4"/>
        <v>17863035.420401547</v>
      </c>
      <c r="O137" s="396">
        <v>311973.45</v>
      </c>
      <c r="P137" s="396">
        <v>77730</v>
      </c>
      <c r="Q137" s="396">
        <v>2063922.8</v>
      </c>
      <c r="R137" s="396">
        <v>90439.6</v>
      </c>
      <c r="S137" s="373">
        <v>508679.1</v>
      </c>
      <c r="T137" s="332">
        <f t="shared" si="5"/>
        <v>20915780.37040155</v>
      </c>
      <c r="U137" s="446">
        <v>79</v>
      </c>
      <c r="V137" s="10">
        <v>7887</v>
      </c>
      <c r="W137" s="10">
        <v>-492020.83</v>
      </c>
      <c r="X137" s="10">
        <v>0</v>
      </c>
      <c r="Y137" s="10">
        <v>-445.13</v>
      </c>
      <c r="Z137" s="373">
        <v>1.5</v>
      </c>
      <c r="AA137" s="400"/>
      <c r="AB137" s="400"/>
      <c r="AC137" s="400"/>
      <c r="AD137" s="400"/>
      <c r="AE137" s="400"/>
      <c r="AF137" s="400"/>
    </row>
    <row r="138" spans="1:32" x14ac:dyDescent="0.25">
      <c r="A138" s="338">
        <v>5628</v>
      </c>
      <c r="B138" s="333" t="s">
        <v>255</v>
      </c>
      <c r="C138" s="392">
        <v>1274527.1000000001</v>
      </c>
      <c r="D138" s="392">
        <v>0</v>
      </c>
      <c r="E138" s="392">
        <v>0</v>
      </c>
      <c r="F138" s="392">
        <v>0</v>
      </c>
      <c r="G138" s="392">
        <v>-1091.05</v>
      </c>
      <c r="H138" s="392">
        <v>404.1</v>
      </c>
      <c r="I138" s="380">
        <v>0</v>
      </c>
      <c r="J138" s="392">
        <v>0</v>
      </c>
      <c r="K138" s="392">
        <v>22632.46</v>
      </c>
      <c r="L138" s="392">
        <v>859.5</v>
      </c>
      <c r="M138" s="392">
        <v>94605.7</v>
      </c>
      <c r="N138" s="331">
        <f t="shared" si="4"/>
        <v>1391937.81</v>
      </c>
      <c r="O138" s="396">
        <v>11124.5</v>
      </c>
      <c r="P138" s="396">
        <v>2488.6999999999998</v>
      </c>
      <c r="Q138" s="396">
        <v>84964.65</v>
      </c>
      <c r="R138" s="396">
        <v>0</v>
      </c>
      <c r="S138" s="373">
        <v>64963.1</v>
      </c>
      <c r="T138" s="332">
        <f t="shared" si="5"/>
        <v>1555478.76</v>
      </c>
      <c r="U138" s="446">
        <v>62</v>
      </c>
      <c r="V138" s="10">
        <v>382</v>
      </c>
      <c r="W138" s="10">
        <v>-4872.49</v>
      </c>
      <c r="X138" s="10">
        <v>0</v>
      </c>
      <c r="Y138" s="10">
        <v>0</v>
      </c>
      <c r="Z138" s="373">
        <v>1</v>
      </c>
      <c r="AA138" s="400"/>
      <c r="AB138" s="400"/>
      <c r="AC138" s="400"/>
      <c r="AD138" s="400"/>
      <c r="AE138" s="400"/>
      <c r="AF138" s="400"/>
    </row>
    <row r="139" spans="1:32" x14ac:dyDescent="0.25">
      <c r="A139" s="338">
        <v>5629</v>
      </c>
      <c r="B139" s="330" t="s">
        <v>150</v>
      </c>
      <c r="C139" s="392">
        <v>401479.69</v>
      </c>
      <c r="D139" s="392">
        <v>53856.800000000003</v>
      </c>
      <c r="E139" s="392">
        <v>0</v>
      </c>
      <c r="F139" s="392">
        <v>0</v>
      </c>
      <c r="G139" s="392">
        <v>-647.85</v>
      </c>
      <c r="H139" s="392">
        <v>319.45</v>
      </c>
      <c r="I139" s="380">
        <v>0</v>
      </c>
      <c r="J139" s="392">
        <v>0</v>
      </c>
      <c r="K139" s="392">
        <v>16923.8</v>
      </c>
      <c r="L139" s="392">
        <v>715.55</v>
      </c>
      <c r="M139" s="392">
        <v>36561.1</v>
      </c>
      <c r="N139" s="331">
        <f t="shared" si="4"/>
        <v>509208.54</v>
      </c>
      <c r="O139" s="396">
        <v>0</v>
      </c>
      <c r="P139" s="396">
        <v>3209.4</v>
      </c>
      <c r="Q139" s="396">
        <v>34505.599999999999</v>
      </c>
      <c r="R139" s="396">
        <v>0</v>
      </c>
      <c r="S139" s="373">
        <v>64977.95</v>
      </c>
      <c r="T139" s="332">
        <f t="shared" si="5"/>
        <v>611901.49</v>
      </c>
      <c r="U139" s="446">
        <v>75</v>
      </c>
      <c r="V139" s="10">
        <v>191</v>
      </c>
      <c r="W139" s="10">
        <v>-2964.76</v>
      </c>
      <c r="X139" s="10">
        <v>0</v>
      </c>
      <c r="Y139" s="10">
        <v>0</v>
      </c>
      <c r="Z139" s="373">
        <v>1</v>
      </c>
      <c r="AA139" s="400"/>
      <c r="AB139" s="400"/>
      <c r="AC139" s="400"/>
      <c r="AD139" s="400"/>
      <c r="AE139" s="400"/>
      <c r="AF139" s="400"/>
    </row>
    <row r="140" spans="1:32" x14ac:dyDescent="0.25">
      <c r="A140" s="338">
        <v>5631</v>
      </c>
      <c r="B140" s="330" t="s">
        <v>151</v>
      </c>
      <c r="C140" s="392">
        <v>2527498.0099999998</v>
      </c>
      <c r="D140" s="392">
        <v>755833.18</v>
      </c>
      <c r="E140" s="392">
        <v>0</v>
      </c>
      <c r="F140" s="392">
        <v>0</v>
      </c>
      <c r="G140" s="392">
        <v>-1863.95</v>
      </c>
      <c r="H140" s="392">
        <v>1720.2</v>
      </c>
      <c r="I140" s="380">
        <v>0</v>
      </c>
      <c r="J140" s="392">
        <v>101041.75</v>
      </c>
      <c r="K140" s="392">
        <v>60445.14</v>
      </c>
      <c r="L140" s="392">
        <v>2363.65</v>
      </c>
      <c r="M140" s="392">
        <v>203402.45</v>
      </c>
      <c r="N140" s="331">
        <f t="shared" si="4"/>
        <v>3650440.43</v>
      </c>
      <c r="O140" s="396">
        <v>0</v>
      </c>
      <c r="P140" s="396">
        <v>3647.2</v>
      </c>
      <c r="Q140" s="396">
        <v>73340.05</v>
      </c>
      <c r="R140" s="396">
        <v>0</v>
      </c>
      <c r="S140" s="373">
        <v>27032.35</v>
      </c>
      <c r="T140" s="332">
        <f t="shared" si="5"/>
        <v>3754460.0300000003</v>
      </c>
      <c r="U140" s="446">
        <v>70</v>
      </c>
      <c r="V140" s="10">
        <v>742</v>
      </c>
      <c r="W140" s="10">
        <v>-39463.47</v>
      </c>
      <c r="X140" s="10">
        <v>0</v>
      </c>
      <c r="Y140" s="10">
        <v>-14790.27</v>
      </c>
      <c r="Z140" s="373">
        <v>1</v>
      </c>
      <c r="AA140" s="400"/>
      <c r="AB140" s="400"/>
      <c r="AC140" s="400"/>
      <c r="AD140" s="400"/>
      <c r="AE140" s="400"/>
      <c r="AF140" s="400"/>
    </row>
    <row r="141" spans="1:32" x14ac:dyDescent="0.25">
      <c r="A141" s="338">
        <v>5632</v>
      </c>
      <c r="B141" s="330" t="s">
        <v>152</v>
      </c>
      <c r="C141" s="392">
        <v>3092591.47</v>
      </c>
      <c r="D141" s="392">
        <v>638742.60999999905</v>
      </c>
      <c r="E141" s="392">
        <v>0</v>
      </c>
      <c r="F141" s="392">
        <v>0</v>
      </c>
      <c r="G141" s="392">
        <v>277959.45</v>
      </c>
      <c r="H141" s="392">
        <v>17983.95</v>
      </c>
      <c r="I141" s="380">
        <v>37943.882147183831</v>
      </c>
      <c r="J141" s="392">
        <v>0</v>
      </c>
      <c r="K141" s="392">
        <v>177144.53</v>
      </c>
      <c r="L141" s="392">
        <v>28386.3</v>
      </c>
      <c r="M141" s="392">
        <v>338397.1</v>
      </c>
      <c r="N141" s="331">
        <f t="shared" si="4"/>
        <v>4609149.2921471829</v>
      </c>
      <c r="O141" s="396">
        <v>46752.800000000003</v>
      </c>
      <c r="P141" s="396">
        <v>2487.1</v>
      </c>
      <c r="Q141" s="396">
        <v>224497.25</v>
      </c>
      <c r="R141" s="396">
        <v>5392.71</v>
      </c>
      <c r="S141" s="373">
        <v>89055.9</v>
      </c>
      <c r="T141" s="332">
        <f t="shared" si="5"/>
        <v>4977335.0521471826</v>
      </c>
      <c r="U141" s="446">
        <v>62</v>
      </c>
      <c r="V141" s="10">
        <v>1609</v>
      </c>
      <c r="W141" s="10">
        <v>-76071.17</v>
      </c>
      <c r="X141" s="10">
        <v>0</v>
      </c>
      <c r="Y141" s="10">
        <v>-2538.1799999999998</v>
      </c>
      <c r="Z141" s="373">
        <v>1</v>
      </c>
      <c r="AA141" s="400"/>
      <c r="AB141" s="400"/>
      <c r="AC141" s="400"/>
      <c r="AD141" s="400"/>
      <c r="AE141" s="400"/>
      <c r="AF141" s="400"/>
    </row>
    <row r="142" spans="1:32" x14ac:dyDescent="0.25">
      <c r="A142" s="338">
        <v>5633</v>
      </c>
      <c r="B142" s="330" t="s">
        <v>153</v>
      </c>
      <c r="C142" s="392">
        <v>6711381.9299999997</v>
      </c>
      <c r="D142" s="392">
        <v>1788755.47</v>
      </c>
      <c r="E142" s="392">
        <v>0</v>
      </c>
      <c r="F142" s="392">
        <v>0</v>
      </c>
      <c r="G142" s="392">
        <v>450265.97</v>
      </c>
      <c r="H142" s="392">
        <v>57591.1</v>
      </c>
      <c r="I142" s="380">
        <v>44968.392533903971</v>
      </c>
      <c r="J142" s="392">
        <v>0</v>
      </c>
      <c r="K142" s="392">
        <v>313881.11</v>
      </c>
      <c r="L142" s="392">
        <v>28810.7</v>
      </c>
      <c r="M142" s="392">
        <v>633023.19999999995</v>
      </c>
      <c r="N142" s="331">
        <f t="shared" si="4"/>
        <v>10028677.872533903</v>
      </c>
      <c r="O142" s="396">
        <v>224162.65</v>
      </c>
      <c r="P142" s="396">
        <v>50467</v>
      </c>
      <c r="Q142" s="396">
        <v>197033.5</v>
      </c>
      <c r="R142" s="396">
        <v>-320.33999999999997</v>
      </c>
      <c r="S142" s="373">
        <v>227823.38</v>
      </c>
      <c r="T142" s="332">
        <f t="shared" si="5"/>
        <v>10727844.062533904</v>
      </c>
      <c r="U142" s="446">
        <v>62</v>
      </c>
      <c r="V142" s="10">
        <v>2739</v>
      </c>
      <c r="W142" s="10">
        <v>-101237.96</v>
      </c>
      <c r="X142" s="10">
        <v>0</v>
      </c>
      <c r="Y142" s="10">
        <v>0</v>
      </c>
      <c r="Z142" s="373">
        <v>1</v>
      </c>
      <c r="AA142" s="400"/>
      <c r="AB142" s="400"/>
      <c r="AC142" s="400"/>
      <c r="AD142" s="400"/>
      <c r="AE142" s="400"/>
      <c r="AF142" s="400"/>
    </row>
    <row r="143" spans="1:32" x14ac:dyDescent="0.25">
      <c r="A143" s="338">
        <v>5634</v>
      </c>
      <c r="B143" s="330" t="s">
        <v>154</v>
      </c>
      <c r="C143" s="392">
        <v>8993915.8300000001</v>
      </c>
      <c r="D143" s="392">
        <v>1535796.47</v>
      </c>
      <c r="E143" s="392">
        <v>0</v>
      </c>
      <c r="F143" s="392">
        <v>0</v>
      </c>
      <c r="G143" s="392">
        <v>470848.5</v>
      </c>
      <c r="H143" s="392">
        <v>23573.45</v>
      </c>
      <c r="I143" s="380">
        <v>63460.317536143055</v>
      </c>
      <c r="J143" s="392">
        <v>95607.55</v>
      </c>
      <c r="K143" s="392">
        <v>62649.75</v>
      </c>
      <c r="L143" s="392">
        <v>-9073.4</v>
      </c>
      <c r="M143" s="392">
        <v>623912.19999999995</v>
      </c>
      <c r="N143" s="331">
        <f t="shared" si="4"/>
        <v>11860690.667536143</v>
      </c>
      <c r="O143" s="396">
        <v>32250.05</v>
      </c>
      <c r="P143" s="396">
        <v>830901.1</v>
      </c>
      <c r="Q143" s="396">
        <v>245669.95</v>
      </c>
      <c r="R143" s="396">
        <v>23807.08</v>
      </c>
      <c r="S143" s="373">
        <v>215107.85</v>
      </c>
      <c r="T143" s="332">
        <f t="shared" si="5"/>
        <v>13208426.697536143</v>
      </c>
      <c r="U143" s="446">
        <v>68</v>
      </c>
      <c r="V143" s="10">
        <v>3077</v>
      </c>
      <c r="W143" s="10">
        <v>-53301.96</v>
      </c>
      <c r="X143" s="10">
        <v>0</v>
      </c>
      <c r="Y143" s="10">
        <v>-6746.24</v>
      </c>
      <c r="Z143" s="373">
        <v>1</v>
      </c>
      <c r="AA143" s="400"/>
      <c r="AB143" s="400"/>
      <c r="AC143" s="400"/>
      <c r="AD143" s="400"/>
      <c r="AE143" s="400"/>
      <c r="AF143" s="400"/>
    </row>
    <row r="144" spans="1:32" x14ac:dyDescent="0.25">
      <c r="A144" s="338">
        <v>5635</v>
      </c>
      <c r="B144" s="330" t="s">
        <v>155</v>
      </c>
      <c r="C144" s="392">
        <v>19510139.809999999</v>
      </c>
      <c r="D144" s="392">
        <v>2519536.13</v>
      </c>
      <c r="E144" s="392">
        <v>0</v>
      </c>
      <c r="F144" s="392">
        <v>0</v>
      </c>
      <c r="G144" s="392">
        <v>3514587.95</v>
      </c>
      <c r="H144" s="392">
        <v>858624.4</v>
      </c>
      <c r="I144" s="380">
        <v>561312.95219393552</v>
      </c>
      <c r="J144" s="392">
        <v>0</v>
      </c>
      <c r="K144" s="392">
        <v>2019376.32</v>
      </c>
      <c r="L144" s="392">
        <v>456449.65</v>
      </c>
      <c r="M144" s="392">
        <v>2736104.25</v>
      </c>
      <c r="N144" s="331">
        <f t="shared" si="4"/>
        <v>32176131.462193929</v>
      </c>
      <c r="O144" s="396">
        <v>2637319.7000000002</v>
      </c>
      <c r="P144" s="396">
        <v>365998.6</v>
      </c>
      <c r="Q144" s="396">
        <v>1139430.6499999999</v>
      </c>
      <c r="R144" s="396">
        <v>226915.32</v>
      </c>
      <c r="S144" s="373">
        <v>768928.25</v>
      </c>
      <c r="T144" s="332">
        <f t="shared" si="5"/>
        <v>37314723.982193932</v>
      </c>
      <c r="U144" s="446">
        <v>64</v>
      </c>
      <c r="V144" s="10">
        <v>13089</v>
      </c>
      <c r="W144" s="10">
        <v>-664495.43999999994</v>
      </c>
      <c r="X144" s="10">
        <v>0</v>
      </c>
      <c r="Y144" s="10">
        <v>-18039.45</v>
      </c>
      <c r="Z144" s="373">
        <v>1.2</v>
      </c>
      <c r="AA144" s="400"/>
      <c r="AB144" s="400"/>
      <c r="AC144" s="400"/>
      <c r="AD144" s="400"/>
      <c r="AE144" s="400"/>
      <c r="AF144" s="400"/>
    </row>
    <row r="145" spans="1:32" x14ac:dyDescent="0.25">
      <c r="A145" s="338">
        <v>5636</v>
      </c>
      <c r="B145" s="333" t="s">
        <v>156</v>
      </c>
      <c r="C145" s="392">
        <v>5930831.5099999998</v>
      </c>
      <c r="D145" s="392">
        <v>795982.53</v>
      </c>
      <c r="E145" s="392">
        <v>0</v>
      </c>
      <c r="F145" s="392">
        <v>0</v>
      </c>
      <c r="G145" s="392">
        <v>1979847.4</v>
      </c>
      <c r="H145" s="392">
        <v>164655.04999999999</v>
      </c>
      <c r="I145" s="380">
        <v>275252.35567319929</v>
      </c>
      <c r="J145" s="392">
        <v>32257.9</v>
      </c>
      <c r="K145" s="392">
        <v>373806.47</v>
      </c>
      <c r="L145" s="392">
        <v>263230.15000000002</v>
      </c>
      <c r="M145" s="392">
        <v>1173372.95</v>
      </c>
      <c r="N145" s="331">
        <f t="shared" si="4"/>
        <v>10989236.3156732</v>
      </c>
      <c r="O145" s="396">
        <v>399939.55</v>
      </c>
      <c r="P145" s="396">
        <v>447133.8</v>
      </c>
      <c r="Q145" s="396">
        <v>474254.5</v>
      </c>
      <c r="R145" s="396">
        <v>8232.76</v>
      </c>
      <c r="S145" s="373">
        <v>124298.95</v>
      </c>
      <c r="T145" s="332">
        <f t="shared" si="5"/>
        <v>12443095.875673201</v>
      </c>
      <c r="U145" s="446">
        <v>61</v>
      </c>
      <c r="V145" s="10">
        <v>2933</v>
      </c>
      <c r="W145" s="10">
        <v>-205987.35</v>
      </c>
      <c r="X145" s="10">
        <v>0</v>
      </c>
      <c r="Y145" s="10">
        <v>-4752.66</v>
      </c>
      <c r="Z145" s="373">
        <v>1</v>
      </c>
      <c r="AA145" s="400"/>
      <c r="AB145" s="400"/>
      <c r="AC145" s="400"/>
      <c r="AD145" s="400"/>
      <c r="AE145" s="400"/>
      <c r="AF145" s="400"/>
    </row>
    <row r="146" spans="1:32" x14ac:dyDescent="0.25">
      <c r="A146" s="338">
        <v>5637</v>
      </c>
      <c r="B146" s="330" t="s">
        <v>157</v>
      </c>
      <c r="C146" s="392">
        <v>2335581.1</v>
      </c>
      <c r="D146" s="392">
        <v>201458.93</v>
      </c>
      <c r="E146" s="392">
        <v>0</v>
      </c>
      <c r="F146" s="392">
        <v>0</v>
      </c>
      <c r="G146" s="392">
        <v>35054.699999999997</v>
      </c>
      <c r="H146" s="392">
        <v>1055.6500000000001</v>
      </c>
      <c r="I146" s="380">
        <v>4634.8554657439126</v>
      </c>
      <c r="J146" s="392">
        <v>0</v>
      </c>
      <c r="K146" s="392">
        <v>11133.04</v>
      </c>
      <c r="L146" s="392">
        <v>5192.3500000000004</v>
      </c>
      <c r="M146" s="392">
        <v>284574.05</v>
      </c>
      <c r="N146" s="331">
        <f t="shared" si="4"/>
        <v>2878684.675465744</v>
      </c>
      <c r="O146" s="396">
        <v>207758.15</v>
      </c>
      <c r="P146" s="396">
        <v>3108.3</v>
      </c>
      <c r="Q146" s="396">
        <v>90394.05</v>
      </c>
      <c r="R146" s="396">
        <v>13718.99</v>
      </c>
      <c r="S146" s="373">
        <v>21970.65</v>
      </c>
      <c r="T146" s="332">
        <f t="shared" si="5"/>
        <v>3215634.8154657437</v>
      </c>
      <c r="U146" s="446">
        <v>74.5</v>
      </c>
      <c r="V146" s="10">
        <v>992</v>
      </c>
      <c r="W146" s="10">
        <v>-29860.47</v>
      </c>
      <c r="X146" s="10">
        <v>0</v>
      </c>
      <c r="Y146" s="10">
        <v>-927.84</v>
      </c>
      <c r="Z146" s="373">
        <v>1.5</v>
      </c>
      <c r="AA146" s="400"/>
      <c r="AB146" s="400"/>
      <c r="AC146" s="400"/>
      <c r="AD146" s="400"/>
      <c r="AE146" s="400"/>
      <c r="AF146" s="400"/>
    </row>
    <row r="147" spans="1:32" x14ac:dyDescent="0.25">
      <c r="A147" s="338">
        <v>5638</v>
      </c>
      <c r="B147" s="330" t="s">
        <v>158</v>
      </c>
      <c r="C147" s="392">
        <v>5622459.7800000003</v>
      </c>
      <c r="D147" s="392">
        <v>1454129.51</v>
      </c>
      <c r="E147" s="392">
        <v>0</v>
      </c>
      <c r="F147" s="392">
        <v>0</v>
      </c>
      <c r="G147" s="392">
        <v>354372.45</v>
      </c>
      <c r="H147" s="392">
        <v>86859.7</v>
      </c>
      <c r="I147" s="380">
        <v>56633.271128345135</v>
      </c>
      <c r="J147" s="392">
        <v>212486.2</v>
      </c>
      <c r="K147" s="392">
        <v>130473.22</v>
      </c>
      <c r="L147" s="392">
        <v>62974.15</v>
      </c>
      <c r="M147" s="392">
        <v>644454.9</v>
      </c>
      <c r="N147" s="331">
        <f t="shared" si="4"/>
        <v>8624843.1811283454</v>
      </c>
      <c r="O147" s="396">
        <v>214877.05</v>
      </c>
      <c r="P147" s="396">
        <v>2114261</v>
      </c>
      <c r="Q147" s="396">
        <v>596402.05000000005</v>
      </c>
      <c r="R147" s="396">
        <v>8379.7900000000009</v>
      </c>
      <c r="S147" s="373">
        <v>436565.85</v>
      </c>
      <c r="T147" s="332">
        <f t="shared" si="5"/>
        <v>11995328.921128346</v>
      </c>
      <c r="U147" s="446">
        <v>55</v>
      </c>
      <c r="V147" s="10">
        <v>2676</v>
      </c>
      <c r="W147" s="10">
        <v>-107181.02</v>
      </c>
      <c r="X147" s="10">
        <v>0</v>
      </c>
      <c r="Y147" s="10">
        <v>-12185.43</v>
      </c>
      <c r="Z147" s="373">
        <v>1</v>
      </c>
      <c r="AA147" s="400"/>
      <c r="AB147" s="400"/>
      <c r="AC147" s="400"/>
      <c r="AD147" s="400"/>
      <c r="AE147" s="400"/>
      <c r="AF147" s="400"/>
    </row>
    <row r="148" spans="1:32" x14ac:dyDescent="0.25">
      <c r="A148" s="338">
        <v>5639</v>
      </c>
      <c r="B148" s="330" t="s">
        <v>159</v>
      </c>
      <c r="C148" s="392">
        <v>2171884.23</v>
      </c>
      <c r="D148" s="392">
        <v>484623.95</v>
      </c>
      <c r="E148" s="392">
        <v>0</v>
      </c>
      <c r="F148" s="392">
        <v>0</v>
      </c>
      <c r="G148" s="392">
        <v>356.64999999998798</v>
      </c>
      <c r="H148" s="392">
        <v>4320.6000000000004</v>
      </c>
      <c r="I148" s="380">
        <v>600.33695954624147</v>
      </c>
      <c r="J148" s="392">
        <v>0</v>
      </c>
      <c r="K148" s="392">
        <v>20138.64</v>
      </c>
      <c r="L148" s="392">
        <v>2899.85</v>
      </c>
      <c r="M148" s="392">
        <v>245743.6</v>
      </c>
      <c r="N148" s="331">
        <f t="shared" si="4"/>
        <v>2930567.8569595469</v>
      </c>
      <c r="O148" s="396">
        <v>19523.8</v>
      </c>
      <c r="P148" s="396">
        <v>26199.7</v>
      </c>
      <c r="Q148" s="396">
        <v>19754.650000000001</v>
      </c>
      <c r="R148" s="396">
        <v>0</v>
      </c>
      <c r="S148" s="373">
        <v>72627.05</v>
      </c>
      <c r="T148" s="332">
        <f t="shared" si="5"/>
        <v>3068673.0569595466</v>
      </c>
      <c r="U148" s="446">
        <v>61</v>
      </c>
      <c r="V148" s="10">
        <v>818</v>
      </c>
      <c r="W148" s="10">
        <v>-14999.26</v>
      </c>
      <c r="X148" s="10">
        <v>0</v>
      </c>
      <c r="Y148" s="10">
        <v>0</v>
      </c>
      <c r="Z148" s="373">
        <v>1.25</v>
      </c>
      <c r="AA148" s="400"/>
      <c r="AB148" s="400"/>
      <c r="AC148" s="400"/>
      <c r="AD148" s="400"/>
      <c r="AE148" s="400"/>
      <c r="AF148" s="400"/>
    </row>
    <row r="149" spans="1:32" x14ac:dyDescent="0.25">
      <c r="A149" s="338">
        <v>5640</v>
      </c>
      <c r="B149" s="330" t="s">
        <v>160</v>
      </c>
      <c r="C149" s="392">
        <v>2981721.71</v>
      </c>
      <c r="D149" s="392">
        <v>732237.12</v>
      </c>
      <c r="E149" s="392">
        <v>0</v>
      </c>
      <c r="F149" s="392">
        <v>0</v>
      </c>
      <c r="G149" s="392">
        <v>5327.6500000000096</v>
      </c>
      <c r="H149" s="392">
        <v>2572.3000000000002</v>
      </c>
      <c r="I149" s="380">
        <v>1013.978719026641</v>
      </c>
      <c r="J149" s="392">
        <v>119895.5</v>
      </c>
      <c r="K149" s="392">
        <v>18504.43</v>
      </c>
      <c r="L149" s="392">
        <v>3117.85</v>
      </c>
      <c r="M149" s="392">
        <v>193586.65</v>
      </c>
      <c r="N149" s="331">
        <f t="shared" si="4"/>
        <v>4057977.1887190267</v>
      </c>
      <c r="O149" s="396">
        <v>15620.7</v>
      </c>
      <c r="P149" s="396">
        <v>113753.3</v>
      </c>
      <c r="Q149" s="396">
        <v>195804.35</v>
      </c>
      <c r="R149" s="396">
        <v>28.27</v>
      </c>
      <c r="S149" s="373">
        <v>143142.1</v>
      </c>
      <c r="T149" s="332">
        <f t="shared" si="5"/>
        <v>4526325.9087190256</v>
      </c>
      <c r="U149" s="446">
        <v>66</v>
      </c>
      <c r="V149" s="10">
        <v>696</v>
      </c>
      <c r="W149" s="10">
        <v>-16185.91</v>
      </c>
      <c r="X149" s="10">
        <v>0</v>
      </c>
      <c r="Y149" s="10">
        <v>-20264.330000000002</v>
      </c>
      <c r="Z149" s="373">
        <v>1</v>
      </c>
      <c r="AA149" s="400"/>
      <c r="AB149" s="400"/>
      <c r="AC149" s="400"/>
      <c r="AD149" s="400"/>
      <c r="AE149" s="400"/>
      <c r="AF149" s="400"/>
    </row>
    <row r="150" spans="1:32" x14ac:dyDescent="0.25">
      <c r="A150" s="338">
        <v>5642</v>
      </c>
      <c r="B150" s="330" t="s">
        <v>161</v>
      </c>
      <c r="C150" s="392">
        <v>37260767.979999997</v>
      </c>
      <c r="D150" s="392">
        <v>6394281.6200000001</v>
      </c>
      <c r="E150" s="392">
        <v>0</v>
      </c>
      <c r="F150" s="392">
        <v>0</v>
      </c>
      <c r="G150" s="392">
        <v>8130721.2000000002</v>
      </c>
      <c r="H150" s="392">
        <v>379814.15</v>
      </c>
      <c r="I150" s="380">
        <v>2480358.5034242971</v>
      </c>
      <c r="J150" s="392">
        <v>386281.49</v>
      </c>
      <c r="K150" s="392">
        <v>974774.53</v>
      </c>
      <c r="L150" s="392">
        <v>469443.35</v>
      </c>
      <c r="M150" s="392">
        <v>3187867.1</v>
      </c>
      <c r="N150" s="331">
        <f t="shared" si="4"/>
        <v>59664309.923424296</v>
      </c>
      <c r="O150" s="396">
        <v>1302438.1000000001</v>
      </c>
      <c r="P150" s="396">
        <v>3595802.8</v>
      </c>
      <c r="Q150" s="396">
        <v>1515678.2</v>
      </c>
      <c r="R150" s="396">
        <v>248701.47</v>
      </c>
      <c r="S150" s="373">
        <v>866803.05</v>
      </c>
      <c r="T150" s="332">
        <f t="shared" si="5"/>
        <v>67193733.543424293</v>
      </c>
      <c r="U150" s="446">
        <v>68.5</v>
      </c>
      <c r="V150" s="10">
        <v>15862</v>
      </c>
      <c r="W150" s="10">
        <v>-926252.95</v>
      </c>
      <c r="X150" s="10">
        <v>0</v>
      </c>
      <c r="Y150" s="10">
        <v>-71725.69</v>
      </c>
      <c r="Z150" s="373">
        <v>1</v>
      </c>
      <c r="AA150" s="400"/>
      <c r="AB150" s="400"/>
      <c r="AC150" s="400"/>
      <c r="AD150" s="400"/>
      <c r="AE150" s="400"/>
      <c r="AF150" s="400"/>
    </row>
    <row r="151" spans="1:32" x14ac:dyDescent="0.25">
      <c r="A151" s="338">
        <v>5643</v>
      </c>
      <c r="B151" s="330" t="s">
        <v>162</v>
      </c>
      <c r="C151" s="392">
        <v>11929612.15</v>
      </c>
      <c r="D151" s="392">
        <v>2127286.7400000002</v>
      </c>
      <c r="E151" s="392">
        <v>0</v>
      </c>
      <c r="F151" s="392">
        <v>0</v>
      </c>
      <c r="G151" s="392">
        <v>697867.65</v>
      </c>
      <c r="H151" s="392">
        <v>48915.75</v>
      </c>
      <c r="I151" s="380">
        <v>95851.552898734633</v>
      </c>
      <c r="J151" s="392">
        <v>358888.1</v>
      </c>
      <c r="K151" s="392">
        <v>295460.8</v>
      </c>
      <c r="L151" s="392">
        <v>108921.35</v>
      </c>
      <c r="M151" s="392">
        <v>1105116.3</v>
      </c>
      <c r="N151" s="331">
        <f t="shared" si="4"/>
        <v>16767920.392898737</v>
      </c>
      <c r="O151" s="396">
        <v>126106.3</v>
      </c>
      <c r="P151" s="396">
        <v>1167339</v>
      </c>
      <c r="Q151" s="396">
        <v>344960.75</v>
      </c>
      <c r="R151" s="396">
        <v>16539.09</v>
      </c>
      <c r="S151" s="373">
        <v>267113.75</v>
      </c>
      <c r="T151" s="332">
        <f t="shared" si="5"/>
        <v>18689979.282898735</v>
      </c>
      <c r="U151" s="446">
        <v>64</v>
      </c>
      <c r="V151" s="10">
        <v>5243</v>
      </c>
      <c r="W151" s="10">
        <v>-192147.49</v>
      </c>
      <c r="X151" s="10">
        <v>0</v>
      </c>
      <c r="Y151" s="10">
        <v>-32210.31</v>
      </c>
      <c r="Z151" s="373">
        <v>1</v>
      </c>
      <c r="AA151" s="400"/>
      <c r="AB151" s="400"/>
      <c r="AC151" s="400"/>
      <c r="AD151" s="400"/>
      <c r="AE151" s="400"/>
      <c r="AF151" s="400"/>
    </row>
    <row r="152" spans="1:32" x14ac:dyDescent="0.25">
      <c r="A152" s="338">
        <v>5644</v>
      </c>
      <c r="B152" s="330" t="s">
        <v>311</v>
      </c>
      <c r="C152" s="392">
        <v>973471.01</v>
      </c>
      <c r="D152" s="392">
        <v>186033.87</v>
      </c>
      <c r="E152" s="392">
        <v>0</v>
      </c>
      <c r="F152" s="392">
        <v>0</v>
      </c>
      <c r="G152" s="392">
        <v>9906.6</v>
      </c>
      <c r="H152" s="392">
        <v>198.6</v>
      </c>
      <c r="I152" s="380">
        <v>1297.0281775844151</v>
      </c>
      <c r="J152" s="392">
        <v>0</v>
      </c>
      <c r="K152" s="392">
        <v>29983.67</v>
      </c>
      <c r="L152" s="392">
        <v>0</v>
      </c>
      <c r="M152" s="392">
        <v>79397.45</v>
      </c>
      <c r="N152" s="331">
        <f t="shared" si="4"/>
        <v>1280288.2281775845</v>
      </c>
      <c r="O152" s="396">
        <v>5384.9</v>
      </c>
      <c r="P152" s="396">
        <v>5382.7</v>
      </c>
      <c r="Q152" s="396">
        <v>27356.9</v>
      </c>
      <c r="R152" s="396">
        <v>0</v>
      </c>
      <c r="S152" s="373">
        <v>45609.55</v>
      </c>
      <c r="T152" s="332">
        <f t="shared" si="5"/>
        <v>1364022.2781775843</v>
      </c>
      <c r="U152" s="446">
        <v>76</v>
      </c>
      <c r="V152" s="10">
        <v>413</v>
      </c>
      <c r="W152" s="10">
        <v>-2568.08</v>
      </c>
      <c r="X152" s="10">
        <v>0</v>
      </c>
      <c r="Y152" s="10">
        <v>-461.69</v>
      </c>
      <c r="Z152" s="373">
        <v>1</v>
      </c>
      <c r="AA152" s="400"/>
      <c r="AB152" s="400"/>
      <c r="AC152" s="400"/>
      <c r="AD152" s="400"/>
      <c r="AE152" s="400"/>
      <c r="AF152" s="400"/>
    </row>
    <row r="153" spans="1:32" x14ac:dyDescent="0.25">
      <c r="A153" s="338">
        <v>5645</v>
      </c>
      <c r="B153" s="330" t="s">
        <v>312</v>
      </c>
      <c r="C153" s="392">
        <v>985499.37</v>
      </c>
      <c r="D153" s="392">
        <v>207006.43</v>
      </c>
      <c r="E153" s="392">
        <v>0</v>
      </c>
      <c r="F153" s="392">
        <v>0</v>
      </c>
      <c r="G153" s="392">
        <v>179686.1</v>
      </c>
      <c r="H153" s="392">
        <v>91463.6</v>
      </c>
      <c r="I153" s="380">
        <v>34802.755140280344</v>
      </c>
      <c r="J153" s="392">
        <v>0</v>
      </c>
      <c r="K153" s="392">
        <v>43274.31</v>
      </c>
      <c r="L153" s="392">
        <v>20606.599999999999</v>
      </c>
      <c r="M153" s="392">
        <v>157832.95000000001</v>
      </c>
      <c r="N153" s="331">
        <f t="shared" si="4"/>
        <v>1720172.1151402807</v>
      </c>
      <c r="O153" s="396">
        <v>70369.600000000006</v>
      </c>
      <c r="P153" s="396">
        <v>27306.7</v>
      </c>
      <c r="Q153" s="396">
        <v>76500.899999999994</v>
      </c>
      <c r="R153" s="396">
        <v>27.15</v>
      </c>
      <c r="S153" s="373">
        <v>34024.15</v>
      </c>
      <c r="T153" s="332">
        <f t="shared" si="5"/>
        <v>1928400.6151402805</v>
      </c>
      <c r="U153" s="446">
        <v>56</v>
      </c>
      <c r="V153" s="10">
        <v>470</v>
      </c>
      <c r="W153" s="10">
        <v>-31008.32</v>
      </c>
      <c r="X153" s="10">
        <v>0</v>
      </c>
      <c r="Y153" s="10">
        <v>-3331.97</v>
      </c>
      <c r="Z153" s="373">
        <v>1</v>
      </c>
      <c r="AA153" s="400"/>
      <c r="AB153" s="400"/>
      <c r="AC153" s="400"/>
      <c r="AD153" s="400"/>
      <c r="AE153" s="400"/>
      <c r="AF153" s="400"/>
    </row>
    <row r="154" spans="1:32" x14ac:dyDescent="0.25">
      <c r="A154" s="338">
        <v>5646</v>
      </c>
      <c r="B154" s="330" t="s">
        <v>313</v>
      </c>
      <c r="C154" s="392">
        <v>11682214.710000001</v>
      </c>
      <c r="D154" s="392">
        <v>2558202.9900000002</v>
      </c>
      <c r="E154" s="392">
        <v>0</v>
      </c>
      <c r="F154" s="392">
        <v>0</v>
      </c>
      <c r="G154" s="392">
        <v>-1508660.9</v>
      </c>
      <c r="H154" s="392">
        <v>6602628.0499999998</v>
      </c>
      <c r="I154" s="380">
        <v>653823.667937238</v>
      </c>
      <c r="J154" s="392">
        <v>714109.59</v>
      </c>
      <c r="K154" s="392">
        <v>418996.58</v>
      </c>
      <c r="L154" s="392">
        <v>94264.9</v>
      </c>
      <c r="M154" s="392">
        <v>1632300.65</v>
      </c>
      <c r="N154" s="331">
        <f t="shared" si="4"/>
        <v>22847880.237937234</v>
      </c>
      <c r="O154" s="396">
        <v>176250.1</v>
      </c>
      <c r="P154" s="396">
        <v>967461.4</v>
      </c>
      <c r="Q154" s="396">
        <v>582807.35</v>
      </c>
      <c r="R154" s="396">
        <v>15012.8</v>
      </c>
      <c r="S154" s="373">
        <v>216281.25</v>
      </c>
      <c r="T154" s="332">
        <f t="shared" si="5"/>
        <v>24805693.137937237</v>
      </c>
      <c r="U154" s="446">
        <v>55</v>
      </c>
      <c r="V154" s="10">
        <v>5774</v>
      </c>
      <c r="W154" s="10">
        <v>-231208.23</v>
      </c>
      <c r="X154" s="10">
        <v>0</v>
      </c>
      <c r="Y154" s="10">
        <v>-32363.4</v>
      </c>
      <c r="Z154" s="373">
        <v>1</v>
      </c>
      <c r="AA154" s="400"/>
      <c r="AB154" s="400"/>
      <c r="AC154" s="400"/>
      <c r="AD154" s="400"/>
      <c r="AE154" s="400"/>
      <c r="AF154" s="400"/>
    </row>
    <row r="155" spans="1:32" x14ac:dyDescent="0.25">
      <c r="A155" s="338">
        <v>5648</v>
      </c>
      <c r="B155" s="333" t="s">
        <v>314</v>
      </c>
      <c r="C155" s="392">
        <v>14326963.560000001</v>
      </c>
      <c r="D155" s="392">
        <v>3241790.31</v>
      </c>
      <c r="E155" s="392">
        <v>0</v>
      </c>
      <c r="F155" s="392">
        <v>0</v>
      </c>
      <c r="G155" s="392">
        <v>714390.9</v>
      </c>
      <c r="H155" s="392">
        <v>347620.7</v>
      </c>
      <c r="I155" s="380">
        <v>136311.89586762348</v>
      </c>
      <c r="J155" s="392">
        <v>334616.83</v>
      </c>
      <c r="K155" s="392">
        <v>510702.23</v>
      </c>
      <c r="L155" s="392">
        <v>107669.8</v>
      </c>
      <c r="M155" s="392">
        <v>1200471.3600000001</v>
      </c>
      <c r="N155" s="331">
        <f t="shared" si="4"/>
        <v>20920537.585867621</v>
      </c>
      <c r="O155" s="396">
        <v>78291.899999999994</v>
      </c>
      <c r="P155" s="396">
        <v>432571.95</v>
      </c>
      <c r="Q155" s="396">
        <v>1019805.4</v>
      </c>
      <c r="R155" s="396">
        <v>11460.43</v>
      </c>
      <c r="S155" s="373">
        <v>877498.95</v>
      </c>
      <c r="T155" s="332">
        <f t="shared" si="5"/>
        <v>23340166.215867616</v>
      </c>
      <c r="U155" s="446">
        <v>55</v>
      </c>
      <c r="V155" s="10">
        <v>4717</v>
      </c>
      <c r="W155" s="10">
        <v>-136579.99</v>
      </c>
      <c r="X155" s="10">
        <v>0</v>
      </c>
      <c r="Y155" s="10">
        <v>-46984.38</v>
      </c>
      <c r="Z155" s="373">
        <v>0.8</v>
      </c>
      <c r="AA155" s="400"/>
      <c r="AB155" s="400"/>
      <c r="AC155" s="400"/>
      <c r="AD155" s="400"/>
      <c r="AE155" s="400"/>
      <c r="AF155" s="400"/>
    </row>
    <row r="156" spans="1:32" x14ac:dyDescent="0.25">
      <c r="A156" s="338">
        <v>5649</v>
      </c>
      <c r="B156" s="330" t="s">
        <v>315</v>
      </c>
      <c r="C156" s="392">
        <v>4134747.1</v>
      </c>
      <c r="D156" s="392">
        <v>689558.49</v>
      </c>
      <c r="E156" s="392">
        <v>0</v>
      </c>
      <c r="F156" s="392">
        <v>0</v>
      </c>
      <c r="G156" s="392">
        <v>365334.05</v>
      </c>
      <c r="H156" s="392">
        <v>495430.8</v>
      </c>
      <c r="I156" s="380">
        <v>110481.36253851703</v>
      </c>
      <c r="J156" s="392">
        <v>-56037.05</v>
      </c>
      <c r="K156" s="392">
        <v>410441.92</v>
      </c>
      <c r="L156" s="392">
        <v>62475.1</v>
      </c>
      <c r="M156" s="392">
        <v>556264.69999999995</v>
      </c>
      <c r="N156" s="331">
        <f t="shared" si="4"/>
        <v>6768696.4725385169</v>
      </c>
      <c r="O156" s="396">
        <v>359125.2</v>
      </c>
      <c r="P156" s="396">
        <v>22152.799999999999</v>
      </c>
      <c r="Q156" s="396">
        <v>70804.3</v>
      </c>
      <c r="R156" s="396">
        <v>-5078.16</v>
      </c>
      <c r="S156" s="373">
        <v>60016.75</v>
      </c>
      <c r="T156" s="332">
        <f t="shared" si="5"/>
        <v>7275717.3625385165</v>
      </c>
      <c r="U156" s="446">
        <v>65</v>
      </c>
      <c r="V156" s="10">
        <v>1907</v>
      </c>
      <c r="W156" s="10">
        <v>-79452.100000000006</v>
      </c>
      <c r="X156" s="10">
        <v>0</v>
      </c>
      <c r="Y156" s="10">
        <v>-5271.85</v>
      </c>
      <c r="Z156" s="373">
        <v>1</v>
      </c>
      <c r="AA156" s="400"/>
      <c r="AB156" s="400"/>
      <c r="AC156" s="400"/>
      <c r="AD156" s="400"/>
      <c r="AE156" s="400"/>
      <c r="AF156" s="400"/>
    </row>
    <row r="157" spans="1:32" s="334" customFormat="1" x14ac:dyDescent="0.25">
      <c r="A157" s="339">
        <v>5650</v>
      </c>
      <c r="B157" s="333" t="s">
        <v>316</v>
      </c>
      <c r="C157" s="392">
        <v>3258248.41</v>
      </c>
      <c r="D157" s="392">
        <v>1741751.59</v>
      </c>
      <c r="E157" s="392">
        <v>0</v>
      </c>
      <c r="F157" s="392">
        <v>0</v>
      </c>
      <c r="G157" s="392">
        <v>-2658.9</v>
      </c>
      <c r="H157" s="392">
        <v>-581.75</v>
      </c>
      <c r="I157" s="380">
        <v>0</v>
      </c>
      <c r="J157" s="392">
        <v>0</v>
      </c>
      <c r="K157" s="392">
        <v>78605.399999999994</v>
      </c>
      <c r="L157" s="392">
        <v>0</v>
      </c>
      <c r="M157" s="392">
        <v>55321.25</v>
      </c>
      <c r="N157" s="331">
        <f t="shared" si="4"/>
        <v>5130686</v>
      </c>
      <c r="O157" s="396">
        <v>0</v>
      </c>
      <c r="P157" s="396">
        <v>0</v>
      </c>
      <c r="Q157" s="396">
        <v>13849</v>
      </c>
      <c r="R157" s="396">
        <v>0</v>
      </c>
      <c r="S157" s="373">
        <v>0</v>
      </c>
      <c r="T157" s="332">
        <f t="shared" si="5"/>
        <v>5144535</v>
      </c>
      <c r="U157" s="446">
        <v>56</v>
      </c>
      <c r="V157" s="10">
        <v>196</v>
      </c>
      <c r="W157" s="10">
        <v>-3418.06</v>
      </c>
      <c r="X157" s="10">
        <v>0</v>
      </c>
      <c r="Y157" s="10">
        <v>0</v>
      </c>
      <c r="Z157" s="373">
        <v>1.25</v>
      </c>
      <c r="AA157" s="400"/>
      <c r="AB157" s="400"/>
      <c r="AC157" s="400"/>
      <c r="AD157" s="400"/>
      <c r="AE157" s="400"/>
      <c r="AF157" s="400"/>
    </row>
    <row r="158" spans="1:32" x14ac:dyDescent="0.25">
      <c r="A158" s="338">
        <v>5651</v>
      </c>
      <c r="B158" s="330" t="s">
        <v>317</v>
      </c>
      <c r="C158" s="392">
        <v>2173072.9900000002</v>
      </c>
      <c r="D158" s="392">
        <v>310947.82</v>
      </c>
      <c r="E158" s="392">
        <v>0</v>
      </c>
      <c r="F158" s="392">
        <v>0</v>
      </c>
      <c r="G158" s="392">
        <v>641024.44999999995</v>
      </c>
      <c r="H158" s="392">
        <v>16650.349999999999</v>
      </c>
      <c r="I158" s="380">
        <v>65469.44565526631</v>
      </c>
      <c r="J158" s="392">
        <v>0</v>
      </c>
      <c r="K158" s="392">
        <v>70492.320000000007</v>
      </c>
      <c r="L158" s="392">
        <v>37359.9</v>
      </c>
      <c r="M158" s="392">
        <v>397600.6</v>
      </c>
      <c r="N158" s="331">
        <f t="shared" si="4"/>
        <v>3712617.875655266</v>
      </c>
      <c r="O158" s="396">
        <v>159294.39999999999</v>
      </c>
      <c r="P158" s="396">
        <v>0</v>
      </c>
      <c r="Q158" s="396">
        <v>106095</v>
      </c>
      <c r="R158" s="396">
        <v>8859.3799999999992</v>
      </c>
      <c r="S158" s="373">
        <v>79948.649999999994</v>
      </c>
      <c r="T158" s="332">
        <f t="shared" si="5"/>
        <v>4066815.3056552657</v>
      </c>
      <c r="U158" s="446">
        <v>62</v>
      </c>
      <c r="V158" s="10">
        <v>973</v>
      </c>
      <c r="W158" s="10">
        <v>-84189.47</v>
      </c>
      <c r="X158" s="10">
        <v>0</v>
      </c>
      <c r="Y158" s="10">
        <v>-175.33</v>
      </c>
      <c r="Z158" s="373">
        <v>1</v>
      </c>
      <c r="AA158" s="400"/>
      <c r="AB158" s="400"/>
      <c r="AC158" s="400"/>
      <c r="AD158" s="400"/>
      <c r="AE158" s="400"/>
      <c r="AF158" s="400"/>
    </row>
    <row r="159" spans="1:32" x14ac:dyDescent="0.25">
      <c r="A159" s="338">
        <v>5652</v>
      </c>
      <c r="B159" s="330" t="s">
        <v>197</v>
      </c>
      <c r="C159" s="392">
        <v>2069820.9</v>
      </c>
      <c r="D159" s="392">
        <v>390738.23</v>
      </c>
      <c r="E159" s="392">
        <v>0</v>
      </c>
      <c r="F159" s="392">
        <v>0</v>
      </c>
      <c r="G159" s="392">
        <v>3584.8</v>
      </c>
      <c r="H159" s="392">
        <v>567.54999999999995</v>
      </c>
      <c r="I159" s="380">
        <v>532.96470660577188</v>
      </c>
      <c r="J159" s="392">
        <v>0</v>
      </c>
      <c r="K159" s="392">
        <v>-47839.44</v>
      </c>
      <c r="L159" s="392">
        <v>863.65</v>
      </c>
      <c r="M159" s="392">
        <v>129890.45</v>
      </c>
      <c r="N159" s="331">
        <f t="shared" si="4"/>
        <v>2548159.1047066054</v>
      </c>
      <c r="O159" s="396">
        <v>3541.45</v>
      </c>
      <c r="P159" s="396">
        <v>744.6</v>
      </c>
      <c r="Q159" s="396">
        <v>45085.75</v>
      </c>
      <c r="R159" s="396">
        <v>6540.02</v>
      </c>
      <c r="S159" s="373">
        <v>19488.400000000001</v>
      </c>
      <c r="T159" s="332">
        <f t="shared" si="5"/>
        <v>2623559.3247066056</v>
      </c>
      <c r="U159" s="446">
        <v>76</v>
      </c>
      <c r="V159" s="10">
        <v>603</v>
      </c>
      <c r="W159" s="10">
        <v>-30240.560000000001</v>
      </c>
      <c r="X159" s="10">
        <v>0</v>
      </c>
      <c r="Y159" s="10">
        <v>-1291.3699999999999</v>
      </c>
      <c r="Z159" s="373">
        <v>1.2</v>
      </c>
      <c r="AA159" s="400"/>
      <c r="AB159" s="400"/>
      <c r="AC159" s="400"/>
      <c r="AD159" s="400"/>
      <c r="AE159" s="400"/>
      <c r="AF159" s="400"/>
    </row>
    <row r="160" spans="1:32" x14ac:dyDescent="0.25">
      <c r="A160" s="338">
        <v>5653</v>
      </c>
      <c r="B160" s="330" t="s">
        <v>198</v>
      </c>
      <c r="C160" s="392">
        <v>2868871.0700000003</v>
      </c>
      <c r="D160" s="392">
        <v>975936.21</v>
      </c>
      <c r="E160" s="392">
        <v>0</v>
      </c>
      <c r="F160" s="392">
        <v>0</v>
      </c>
      <c r="G160" s="392">
        <v>48681.7</v>
      </c>
      <c r="H160" s="392">
        <v>6040.8</v>
      </c>
      <c r="I160" s="380">
        <v>7023.7723595637044</v>
      </c>
      <c r="J160" s="392">
        <v>122474.25</v>
      </c>
      <c r="K160" s="392">
        <v>45635.3</v>
      </c>
      <c r="L160" s="392">
        <v>3412.75</v>
      </c>
      <c r="M160" s="392">
        <v>201464.8</v>
      </c>
      <c r="N160" s="331">
        <f t="shared" si="4"/>
        <v>4279540.6523595639</v>
      </c>
      <c r="O160" s="396">
        <v>1599.2</v>
      </c>
      <c r="P160" s="396">
        <v>1641167.4</v>
      </c>
      <c r="Q160" s="396">
        <v>108889</v>
      </c>
      <c r="R160" s="396">
        <v>0</v>
      </c>
      <c r="S160" s="373">
        <v>75926.100000000006</v>
      </c>
      <c r="T160" s="332">
        <f t="shared" si="5"/>
        <v>6107122.3523595631</v>
      </c>
      <c r="U160" s="446">
        <v>60</v>
      </c>
      <c r="V160" s="10">
        <v>883</v>
      </c>
      <c r="W160" s="10">
        <v>-2683.39</v>
      </c>
      <c r="X160" s="10">
        <v>0</v>
      </c>
      <c r="Y160" s="10">
        <v>-10523.06</v>
      </c>
      <c r="Z160" s="373">
        <v>0.8</v>
      </c>
      <c r="AA160" s="400"/>
      <c r="AB160" s="400"/>
      <c r="AC160" s="400"/>
      <c r="AD160" s="400"/>
      <c r="AE160" s="400"/>
      <c r="AF160" s="400"/>
    </row>
    <row r="161" spans="1:32" x14ac:dyDescent="0.25">
      <c r="A161" s="338">
        <v>5654</v>
      </c>
      <c r="B161" s="330" t="s">
        <v>199</v>
      </c>
      <c r="C161" s="392">
        <v>1066349.29</v>
      </c>
      <c r="D161" s="392">
        <v>161548.79</v>
      </c>
      <c r="E161" s="392">
        <v>0</v>
      </c>
      <c r="F161" s="392">
        <v>0</v>
      </c>
      <c r="G161" s="392">
        <v>3300.7</v>
      </c>
      <c r="H161" s="392">
        <v>960.5</v>
      </c>
      <c r="I161" s="380">
        <v>546.93588155827774</v>
      </c>
      <c r="J161" s="392">
        <v>0</v>
      </c>
      <c r="K161" s="392">
        <v>28665.41</v>
      </c>
      <c r="L161" s="392">
        <v>1512.45</v>
      </c>
      <c r="M161" s="392">
        <v>101901.1</v>
      </c>
      <c r="N161" s="331">
        <f t="shared" si="4"/>
        <v>1364785.1758815583</v>
      </c>
      <c r="O161" s="396">
        <v>6198.3</v>
      </c>
      <c r="P161" s="396">
        <v>7570.4</v>
      </c>
      <c r="Q161" s="396">
        <v>30107</v>
      </c>
      <c r="R161" s="396">
        <v>12677.46</v>
      </c>
      <c r="S161" s="373">
        <v>12263.3</v>
      </c>
      <c r="T161" s="332">
        <f t="shared" si="5"/>
        <v>1433601.6358815583</v>
      </c>
      <c r="U161" s="446">
        <v>76</v>
      </c>
      <c r="V161" s="10">
        <v>513</v>
      </c>
      <c r="W161" s="10">
        <v>-7285.54</v>
      </c>
      <c r="X161" s="10">
        <v>0</v>
      </c>
      <c r="Y161" s="10">
        <v>-335.82</v>
      </c>
      <c r="Z161" s="373">
        <v>1</v>
      </c>
      <c r="AA161" s="400"/>
      <c r="AB161" s="400"/>
      <c r="AC161" s="400"/>
      <c r="AD161" s="400"/>
      <c r="AE161" s="400"/>
      <c r="AF161" s="400"/>
    </row>
    <row r="162" spans="1:32" x14ac:dyDescent="0.25">
      <c r="A162" s="338">
        <v>5655</v>
      </c>
      <c r="B162" s="330" t="s">
        <v>200</v>
      </c>
      <c r="C162" s="392">
        <v>4393546.57</v>
      </c>
      <c r="D162" s="392">
        <v>714385.25</v>
      </c>
      <c r="E162" s="392">
        <v>0</v>
      </c>
      <c r="F162" s="392">
        <v>0</v>
      </c>
      <c r="G162" s="392">
        <v>49202.2</v>
      </c>
      <c r="H162" s="392">
        <v>4358.8</v>
      </c>
      <c r="I162" s="380">
        <v>6874.6908739657665</v>
      </c>
      <c r="J162" s="392">
        <v>67621.55</v>
      </c>
      <c r="K162" s="392">
        <v>6472.53</v>
      </c>
      <c r="L162" s="392">
        <v>8380.2999999999993</v>
      </c>
      <c r="M162" s="392">
        <v>397516.65</v>
      </c>
      <c r="N162" s="331">
        <f t="shared" si="4"/>
        <v>5648358.5408739662</v>
      </c>
      <c r="O162" s="396">
        <v>61074.9</v>
      </c>
      <c r="P162" s="396">
        <v>39902.199999999997</v>
      </c>
      <c r="Q162" s="396">
        <v>238146.9</v>
      </c>
      <c r="R162" s="396">
        <v>4258.6000000000004</v>
      </c>
      <c r="S162" s="373">
        <v>213875.35</v>
      </c>
      <c r="T162" s="332">
        <f t="shared" si="5"/>
        <v>6205616.4908739664</v>
      </c>
      <c r="U162" s="446">
        <v>73</v>
      </c>
      <c r="V162" s="10">
        <v>1477</v>
      </c>
      <c r="W162" s="10">
        <v>-21967.68</v>
      </c>
      <c r="X162" s="10">
        <v>0</v>
      </c>
      <c r="Y162" s="10">
        <v>-9516.2199999999993</v>
      </c>
      <c r="Z162" s="373">
        <v>1</v>
      </c>
      <c r="AA162" s="400"/>
      <c r="AB162" s="400"/>
      <c r="AC162" s="400"/>
      <c r="AD162" s="400"/>
      <c r="AE162" s="400"/>
      <c r="AF162" s="400"/>
    </row>
    <row r="163" spans="1:32" x14ac:dyDescent="0.25">
      <c r="A163" s="338">
        <v>5661</v>
      </c>
      <c r="B163" s="330" t="s">
        <v>201</v>
      </c>
      <c r="C163" s="392">
        <v>612266.23</v>
      </c>
      <c r="D163" s="392">
        <v>53720</v>
      </c>
      <c r="E163" s="392">
        <v>0</v>
      </c>
      <c r="F163" s="392">
        <v>0</v>
      </c>
      <c r="G163" s="392">
        <v>1682.1</v>
      </c>
      <c r="H163" s="392">
        <v>188</v>
      </c>
      <c r="I163" s="380">
        <v>240.03210177934275</v>
      </c>
      <c r="J163" s="392">
        <v>0</v>
      </c>
      <c r="K163" s="392">
        <v>9757.7800000000007</v>
      </c>
      <c r="L163" s="392">
        <v>425</v>
      </c>
      <c r="M163" s="392">
        <v>55213</v>
      </c>
      <c r="N163" s="331">
        <f t="shared" si="4"/>
        <v>733492.14210177935</v>
      </c>
      <c r="O163" s="396">
        <v>16467.349999999999</v>
      </c>
      <c r="P163" s="396">
        <v>557.70000000000005</v>
      </c>
      <c r="Q163" s="396">
        <v>1925</v>
      </c>
      <c r="R163" s="396">
        <v>1204.74</v>
      </c>
      <c r="S163" s="373">
        <v>0</v>
      </c>
      <c r="T163" s="332">
        <f t="shared" si="5"/>
        <v>753646.93210177927</v>
      </c>
      <c r="U163" s="446">
        <v>73</v>
      </c>
      <c r="V163" s="10">
        <v>361</v>
      </c>
      <c r="W163" s="10">
        <v>-17.5</v>
      </c>
      <c r="X163" s="10">
        <v>0</v>
      </c>
      <c r="Y163" s="10">
        <v>0</v>
      </c>
      <c r="Z163" s="373">
        <v>1</v>
      </c>
      <c r="AA163" s="400"/>
      <c r="AB163" s="400"/>
      <c r="AC163" s="400"/>
      <c r="AD163" s="400"/>
      <c r="AE163" s="400"/>
      <c r="AF163" s="400"/>
    </row>
    <row r="164" spans="1:32" x14ac:dyDescent="0.25">
      <c r="A164" s="338">
        <v>5663</v>
      </c>
      <c r="B164" s="330" t="s">
        <v>202</v>
      </c>
      <c r="C164" s="392">
        <v>419862.98</v>
      </c>
      <c r="D164" s="392">
        <v>44827.41</v>
      </c>
      <c r="E164" s="392">
        <v>0</v>
      </c>
      <c r="F164" s="392">
        <v>1360</v>
      </c>
      <c r="G164" s="392">
        <v>12597.85</v>
      </c>
      <c r="H164" s="392">
        <v>691.3</v>
      </c>
      <c r="I164" s="380">
        <v>1705.6962757932479</v>
      </c>
      <c r="J164" s="392">
        <v>0</v>
      </c>
      <c r="K164" s="392">
        <v>7572.79</v>
      </c>
      <c r="L164" s="392">
        <v>67.650000000000006</v>
      </c>
      <c r="M164" s="392">
        <v>30402.7</v>
      </c>
      <c r="N164" s="331">
        <f t="shared" si="4"/>
        <v>519088.37627579324</v>
      </c>
      <c r="O164" s="396">
        <v>0</v>
      </c>
      <c r="P164" s="396">
        <v>0</v>
      </c>
      <c r="Q164" s="396">
        <v>21339.95</v>
      </c>
      <c r="R164" s="396">
        <v>-0.32</v>
      </c>
      <c r="S164" s="373">
        <v>24054.2</v>
      </c>
      <c r="T164" s="332">
        <f t="shared" si="5"/>
        <v>564482.20627579326</v>
      </c>
      <c r="U164" s="446">
        <v>80</v>
      </c>
      <c r="V164" s="10">
        <v>218</v>
      </c>
      <c r="W164" s="10">
        <v>-9479.2199999999993</v>
      </c>
      <c r="X164" s="10">
        <v>0</v>
      </c>
      <c r="Y164" s="10">
        <v>0</v>
      </c>
      <c r="Z164" s="373">
        <v>1</v>
      </c>
      <c r="AA164" s="400"/>
      <c r="AB164" s="400"/>
      <c r="AC164" s="400"/>
      <c r="AD164" s="400"/>
      <c r="AE164" s="400"/>
      <c r="AF164" s="400"/>
    </row>
    <row r="165" spans="1:32" x14ac:dyDescent="0.25">
      <c r="A165" s="338">
        <v>5665</v>
      </c>
      <c r="B165" s="330" t="s">
        <v>96</v>
      </c>
      <c r="C165" s="392">
        <v>271366.78000000003</v>
      </c>
      <c r="D165" s="392">
        <v>42894.93</v>
      </c>
      <c r="E165" s="392">
        <v>0</v>
      </c>
      <c r="F165" s="392">
        <v>0</v>
      </c>
      <c r="G165" s="392">
        <v>-145.15</v>
      </c>
      <c r="H165" s="392">
        <v>33.700000000000003</v>
      </c>
      <c r="I165" s="380">
        <v>0</v>
      </c>
      <c r="J165" s="392">
        <v>0</v>
      </c>
      <c r="K165" s="392">
        <v>6370.32</v>
      </c>
      <c r="L165" s="392">
        <v>4.5</v>
      </c>
      <c r="M165" s="392">
        <v>24517.7</v>
      </c>
      <c r="N165" s="331">
        <f t="shared" si="4"/>
        <v>345042.78</v>
      </c>
      <c r="O165" s="396">
        <v>0</v>
      </c>
      <c r="P165" s="396">
        <v>0</v>
      </c>
      <c r="Q165" s="396">
        <v>12534.55</v>
      </c>
      <c r="R165" s="396">
        <v>0</v>
      </c>
      <c r="S165" s="373">
        <v>16966.8</v>
      </c>
      <c r="T165" s="332">
        <f t="shared" si="5"/>
        <v>374544.13</v>
      </c>
      <c r="U165" s="446">
        <v>73</v>
      </c>
      <c r="V165" s="10">
        <v>210</v>
      </c>
      <c r="W165" s="10">
        <v>-58.23</v>
      </c>
      <c r="X165" s="10">
        <v>0</v>
      </c>
      <c r="Y165" s="10">
        <v>0</v>
      </c>
      <c r="Z165" s="373">
        <v>1</v>
      </c>
      <c r="AA165" s="400"/>
      <c r="AB165" s="400"/>
      <c r="AC165" s="400"/>
      <c r="AD165" s="400"/>
      <c r="AE165" s="400"/>
      <c r="AF165" s="400"/>
    </row>
    <row r="166" spans="1:32" x14ac:dyDescent="0.25">
      <c r="A166" s="338">
        <v>5669</v>
      </c>
      <c r="B166" s="330" t="s">
        <v>97</v>
      </c>
      <c r="C166" s="392">
        <v>571082.85</v>
      </c>
      <c r="D166" s="392">
        <v>138671.89000000001</v>
      </c>
      <c r="E166" s="392">
        <v>0</v>
      </c>
      <c r="F166" s="392">
        <v>0</v>
      </c>
      <c r="G166" s="392">
        <v>1524.5</v>
      </c>
      <c r="H166" s="392">
        <v>496.3</v>
      </c>
      <c r="I166" s="380">
        <v>259.37483090513655</v>
      </c>
      <c r="J166" s="392">
        <v>0</v>
      </c>
      <c r="K166" s="392">
        <v>8617.1</v>
      </c>
      <c r="L166" s="392">
        <v>356.7</v>
      </c>
      <c r="M166" s="392">
        <v>23309.85</v>
      </c>
      <c r="N166" s="331">
        <f t="shared" si="4"/>
        <v>744318.56483090506</v>
      </c>
      <c r="O166" s="396">
        <v>0</v>
      </c>
      <c r="P166" s="396">
        <v>0</v>
      </c>
      <c r="Q166" s="396">
        <v>12328.35</v>
      </c>
      <c r="R166" s="396">
        <v>0</v>
      </c>
      <c r="S166" s="373">
        <v>2904.75</v>
      </c>
      <c r="T166" s="332">
        <f t="shared" si="5"/>
        <v>759551.66483090504</v>
      </c>
      <c r="U166" s="446">
        <v>75</v>
      </c>
      <c r="V166" s="10">
        <v>310</v>
      </c>
      <c r="W166" s="10">
        <v>-18897.330000000002</v>
      </c>
      <c r="X166" s="10">
        <v>0</v>
      </c>
      <c r="Y166" s="10">
        <v>-138.72999999999999</v>
      </c>
      <c r="Z166" s="373">
        <v>0.5</v>
      </c>
      <c r="AA166" s="400"/>
      <c r="AB166" s="400"/>
      <c r="AC166" s="400"/>
      <c r="AD166" s="400"/>
      <c r="AE166" s="400"/>
      <c r="AF166" s="400"/>
    </row>
    <row r="167" spans="1:32" x14ac:dyDescent="0.25">
      <c r="A167" s="338">
        <v>5671</v>
      </c>
      <c r="B167" s="330" t="s">
        <v>98</v>
      </c>
      <c r="C167" s="392">
        <v>445322.88</v>
      </c>
      <c r="D167" s="392">
        <v>54393.32</v>
      </c>
      <c r="E167" s="392">
        <v>0</v>
      </c>
      <c r="F167" s="392">
        <v>0</v>
      </c>
      <c r="G167" s="392">
        <v>5667</v>
      </c>
      <c r="H167" s="392">
        <v>130.1</v>
      </c>
      <c r="I167" s="380">
        <v>744.07256148068439</v>
      </c>
      <c r="J167" s="392">
        <v>0</v>
      </c>
      <c r="K167" s="392">
        <v>-1378.84</v>
      </c>
      <c r="L167" s="392">
        <v>223.5</v>
      </c>
      <c r="M167" s="392">
        <v>32609.200000000001</v>
      </c>
      <c r="N167" s="331">
        <f t="shared" si="4"/>
        <v>537711.2325614806</v>
      </c>
      <c r="O167" s="396">
        <v>0</v>
      </c>
      <c r="P167" s="396">
        <v>0</v>
      </c>
      <c r="Q167" s="396">
        <v>19723</v>
      </c>
      <c r="R167" s="396">
        <v>169.8</v>
      </c>
      <c r="S167" s="373">
        <v>28291.05</v>
      </c>
      <c r="T167" s="332">
        <f t="shared" si="5"/>
        <v>585895.0825614807</v>
      </c>
      <c r="U167" s="446">
        <v>80</v>
      </c>
      <c r="V167" s="10">
        <v>232</v>
      </c>
      <c r="W167" s="10">
        <v>-14179.7</v>
      </c>
      <c r="X167" s="10">
        <v>0</v>
      </c>
      <c r="Y167" s="10">
        <v>0</v>
      </c>
      <c r="Z167" s="373">
        <v>1</v>
      </c>
      <c r="AA167" s="400"/>
      <c r="AB167" s="400"/>
      <c r="AC167" s="400"/>
      <c r="AD167" s="400"/>
      <c r="AE167" s="400"/>
      <c r="AF167" s="400"/>
    </row>
    <row r="168" spans="1:32" x14ac:dyDescent="0.25">
      <c r="A168" s="338">
        <v>5673</v>
      </c>
      <c r="B168" s="330" t="s">
        <v>99</v>
      </c>
      <c r="C168" s="392">
        <v>629630.09</v>
      </c>
      <c r="D168" s="392">
        <v>86265.72</v>
      </c>
      <c r="E168" s="392">
        <v>0</v>
      </c>
      <c r="F168" s="392">
        <v>1940</v>
      </c>
      <c r="G168" s="392">
        <v>2666.7</v>
      </c>
      <c r="H168" s="392">
        <v>537.1</v>
      </c>
      <c r="I168" s="380">
        <v>411.21589630536243</v>
      </c>
      <c r="J168" s="392">
        <v>0</v>
      </c>
      <c r="K168" s="392">
        <v>-2566.7800000000002</v>
      </c>
      <c r="L168" s="392">
        <v>7.5</v>
      </c>
      <c r="M168" s="392">
        <v>28093.8</v>
      </c>
      <c r="N168" s="331">
        <f t="shared" si="4"/>
        <v>746985.34589630528</v>
      </c>
      <c r="O168" s="396">
        <v>17325.349999999999</v>
      </c>
      <c r="P168" s="396">
        <v>1115.5</v>
      </c>
      <c r="Q168" s="396">
        <v>21242.45</v>
      </c>
      <c r="R168" s="396">
        <v>417.37</v>
      </c>
      <c r="S168" s="373">
        <v>13870.5</v>
      </c>
      <c r="T168" s="332">
        <f t="shared" si="5"/>
        <v>800956.51589630521</v>
      </c>
      <c r="U168" s="446">
        <v>75</v>
      </c>
      <c r="V168" s="10">
        <v>367</v>
      </c>
      <c r="W168" s="10">
        <v>-22722.15</v>
      </c>
      <c r="X168" s="10">
        <v>0</v>
      </c>
      <c r="Y168" s="10">
        <v>-48.33</v>
      </c>
      <c r="Z168" s="373">
        <v>0.6</v>
      </c>
      <c r="AA168" s="400"/>
      <c r="AB168" s="400"/>
      <c r="AC168" s="400"/>
      <c r="AD168" s="400"/>
      <c r="AE168" s="400"/>
      <c r="AF168" s="400"/>
    </row>
    <row r="169" spans="1:32" x14ac:dyDescent="0.25">
      <c r="A169" s="338">
        <v>5674</v>
      </c>
      <c r="B169" s="330" t="s">
        <v>100</v>
      </c>
      <c r="C169" s="392">
        <v>183613.86</v>
      </c>
      <c r="D169" s="392">
        <v>42933.15</v>
      </c>
      <c r="E169" s="392">
        <v>0</v>
      </c>
      <c r="F169" s="392">
        <v>0</v>
      </c>
      <c r="G169" s="392">
        <v>-572.25</v>
      </c>
      <c r="H169" s="392">
        <v>111.25</v>
      </c>
      <c r="I169" s="380">
        <v>0</v>
      </c>
      <c r="J169" s="392">
        <v>0</v>
      </c>
      <c r="K169" s="392">
        <v>-3248.21</v>
      </c>
      <c r="L169" s="392">
        <v>64.099999999999994</v>
      </c>
      <c r="M169" s="392">
        <v>12647.6</v>
      </c>
      <c r="N169" s="331">
        <f t="shared" si="4"/>
        <v>235549.5</v>
      </c>
      <c r="O169" s="396">
        <v>0</v>
      </c>
      <c r="P169" s="396">
        <v>0</v>
      </c>
      <c r="Q169" s="396">
        <v>189.35</v>
      </c>
      <c r="R169" s="396">
        <v>0</v>
      </c>
      <c r="S169" s="373">
        <v>0</v>
      </c>
      <c r="T169" s="332">
        <f t="shared" si="5"/>
        <v>235738.85</v>
      </c>
      <c r="U169" s="446">
        <v>75</v>
      </c>
      <c r="V169" s="10">
        <v>136</v>
      </c>
      <c r="W169" s="10">
        <v>-15.89</v>
      </c>
      <c r="X169" s="10">
        <v>0</v>
      </c>
      <c r="Y169" s="10">
        <v>0</v>
      </c>
      <c r="Z169" s="373">
        <v>0.7</v>
      </c>
      <c r="AA169" s="400"/>
      <c r="AB169" s="400"/>
      <c r="AC169" s="400"/>
      <c r="AD169" s="400"/>
      <c r="AE169" s="400"/>
      <c r="AF169" s="400"/>
    </row>
    <row r="170" spans="1:32" x14ac:dyDescent="0.25">
      <c r="A170" s="338">
        <v>5675</v>
      </c>
      <c r="B170" s="330" t="s">
        <v>101</v>
      </c>
      <c r="C170" s="392">
        <v>4971977.13</v>
      </c>
      <c r="D170" s="392">
        <v>573063.63</v>
      </c>
      <c r="E170" s="392">
        <v>0</v>
      </c>
      <c r="F170" s="392">
        <v>0</v>
      </c>
      <c r="G170" s="392">
        <v>350804.5</v>
      </c>
      <c r="H170" s="392">
        <v>13727.6</v>
      </c>
      <c r="I170" s="380">
        <v>46788.624206746994</v>
      </c>
      <c r="J170" s="392">
        <v>0</v>
      </c>
      <c r="K170" s="392">
        <v>198177.01</v>
      </c>
      <c r="L170" s="392">
        <v>79567.75</v>
      </c>
      <c r="M170" s="392">
        <v>687676.3</v>
      </c>
      <c r="N170" s="331">
        <f t="shared" si="4"/>
        <v>6921782.5442067459</v>
      </c>
      <c r="O170" s="396">
        <v>30334.9</v>
      </c>
      <c r="P170" s="396">
        <v>85294.2</v>
      </c>
      <c r="Q170" s="396">
        <v>655277.30000000005</v>
      </c>
      <c r="R170" s="396">
        <v>72992.66</v>
      </c>
      <c r="S170" s="373">
        <v>160087.54999999999</v>
      </c>
      <c r="T170" s="332">
        <f t="shared" si="5"/>
        <v>7925769.1542067463</v>
      </c>
      <c r="U170" s="446">
        <v>69</v>
      </c>
      <c r="V170" s="10">
        <v>4220</v>
      </c>
      <c r="W170" s="10">
        <v>-226748.47</v>
      </c>
      <c r="X170" s="10">
        <v>0</v>
      </c>
      <c r="Y170" s="10">
        <v>-645.66999999999996</v>
      </c>
      <c r="Z170" s="373">
        <v>1.1000000000000001</v>
      </c>
      <c r="AA170" s="400"/>
      <c r="AB170" s="400"/>
      <c r="AC170" s="400"/>
      <c r="AD170" s="400"/>
      <c r="AE170" s="400"/>
      <c r="AF170" s="400"/>
    </row>
    <row r="171" spans="1:32" x14ac:dyDescent="0.25">
      <c r="A171" s="338">
        <v>5678</v>
      </c>
      <c r="B171" s="330" t="s">
        <v>102</v>
      </c>
      <c r="C171" s="392">
        <v>7231610.7199999997</v>
      </c>
      <c r="D171" s="392">
        <v>692264.42</v>
      </c>
      <c r="E171" s="392">
        <v>0</v>
      </c>
      <c r="F171" s="392">
        <v>34497.199999999997</v>
      </c>
      <c r="G171" s="392">
        <v>369779.3</v>
      </c>
      <c r="H171" s="392">
        <v>22149.85</v>
      </c>
      <c r="I171" s="380">
        <v>50305.105407781033</v>
      </c>
      <c r="J171" s="392">
        <v>0</v>
      </c>
      <c r="K171" s="392">
        <v>425548.7</v>
      </c>
      <c r="L171" s="392">
        <v>66149.149999999994</v>
      </c>
      <c r="M171" s="392">
        <v>795346.6</v>
      </c>
      <c r="N171" s="331">
        <f t="shared" si="4"/>
        <v>9687651.0454077795</v>
      </c>
      <c r="O171" s="396">
        <v>212403.65</v>
      </c>
      <c r="P171" s="396">
        <v>690611</v>
      </c>
      <c r="Q171" s="396">
        <v>404404.45</v>
      </c>
      <c r="R171" s="396">
        <v>63702.52</v>
      </c>
      <c r="S171" s="373">
        <v>285736.5</v>
      </c>
      <c r="T171" s="332">
        <f t="shared" si="5"/>
        <v>11344509.165407779</v>
      </c>
      <c r="U171" s="446">
        <v>75</v>
      </c>
      <c r="V171" s="10">
        <v>6080</v>
      </c>
      <c r="W171" s="10">
        <v>-375161.61</v>
      </c>
      <c r="X171" s="10">
        <v>0</v>
      </c>
      <c r="Y171" s="10">
        <v>-1873.93</v>
      </c>
      <c r="Z171" s="373">
        <v>1</v>
      </c>
      <c r="AA171" s="400"/>
      <c r="AB171" s="400"/>
      <c r="AC171" s="400"/>
      <c r="AD171" s="400"/>
      <c r="AE171" s="400"/>
      <c r="AF171" s="400"/>
    </row>
    <row r="172" spans="1:32" x14ac:dyDescent="0.25">
      <c r="A172" s="338">
        <v>5680</v>
      </c>
      <c r="B172" s="330" t="s">
        <v>103</v>
      </c>
      <c r="C172" s="392">
        <v>394480.71</v>
      </c>
      <c r="D172" s="392">
        <v>46480.36</v>
      </c>
      <c r="E172" s="392">
        <v>0</v>
      </c>
      <c r="F172" s="392">
        <v>0</v>
      </c>
      <c r="G172" s="392">
        <v>10742.55</v>
      </c>
      <c r="H172" s="392">
        <v>194.85</v>
      </c>
      <c r="I172" s="380">
        <v>1403.8431688152416</v>
      </c>
      <c r="J172" s="392">
        <v>0</v>
      </c>
      <c r="K172" s="392">
        <v>538.85</v>
      </c>
      <c r="L172" s="392">
        <v>625</v>
      </c>
      <c r="M172" s="392">
        <v>72618.350000000006</v>
      </c>
      <c r="N172" s="331">
        <f t="shared" si="4"/>
        <v>527084.51316881517</v>
      </c>
      <c r="O172" s="396">
        <v>0</v>
      </c>
      <c r="P172" s="396">
        <v>0</v>
      </c>
      <c r="Q172" s="396">
        <v>44268.3</v>
      </c>
      <c r="R172" s="396">
        <v>1060.17</v>
      </c>
      <c r="S172" s="373">
        <v>29081.75</v>
      </c>
      <c r="T172" s="332">
        <f t="shared" si="5"/>
        <v>601494.73316881526</v>
      </c>
      <c r="U172" s="446">
        <v>78</v>
      </c>
      <c r="V172" s="10">
        <v>296</v>
      </c>
      <c r="W172" s="10">
        <v>-10978.59</v>
      </c>
      <c r="X172" s="10">
        <v>0</v>
      </c>
      <c r="Y172" s="10">
        <v>-1.19</v>
      </c>
      <c r="Z172" s="373">
        <v>1.5</v>
      </c>
      <c r="AA172" s="400"/>
      <c r="AB172" s="400"/>
      <c r="AC172" s="400"/>
      <c r="AD172" s="400"/>
      <c r="AE172" s="400"/>
      <c r="AF172" s="400"/>
    </row>
    <row r="173" spans="1:32" x14ac:dyDescent="0.25">
      <c r="A173" s="338">
        <v>5683</v>
      </c>
      <c r="B173" s="330" t="s">
        <v>104</v>
      </c>
      <c r="C173" s="392">
        <v>307598.44</v>
      </c>
      <c r="D173" s="392">
        <v>24709.78</v>
      </c>
      <c r="E173" s="392">
        <v>0</v>
      </c>
      <c r="F173" s="392">
        <v>0</v>
      </c>
      <c r="G173" s="392">
        <v>-6232.2</v>
      </c>
      <c r="H173" s="392">
        <v>1234.75</v>
      </c>
      <c r="I173" s="380">
        <v>0</v>
      </c>
      <c r="J173" s="392">
        <v>0</v>
      </c>
      <c r="K173" s="392">
        <v>-936.58</v>
      </c>
      <c r="L173" s="392">
        <v>2220.5</v>
      </c>
      <c r="M173" s="392">
        <v>28558.75</v>
      </c>
      <c r="N173" s="331">
        <f t="shared" si="4"/>
        <v>357153.43999999994</v>
      </c>
      <c r="O173" s="396">
        <v>0</v>
      </c>
      <c r="P173" s="396">
        <v>0</v>
      </c>
      <c r="Q173" s="396">
        <v>8253.2999999999993</v>
      </c>
      <c r="R173" s="396">
        <v>-1032.82</v>
      </c>
      <c r="S173" s="373">
        <v>0</v>
      </c>
      <c r="T173" s="332">
        <f t="shared" si="5"/>
        <v>364373.91999999993</v>
      </c>
      <c r="U173" s="446">
        <v>74</v>
      </c>
      <c r="V173" s="10">
        <v>194</v>
      </c>
      <c r="W173" s="10">
        <v>-19115.46</v>
      </c>
      <c r="X173" s="10">
        <v>0</v>
      </c>
      <c r="Y173" s="10">
        <v>0</v>
      </c>
      <c r="Z173" s="373">
        <v>1</v>
      </c>
      <c r="AA173" s="400"/>
      <c r="AB173" s="400"/>
      <c r="AC173" s="400"/>
      <c r="AD173" s="400"/>
      <c r="AE173" s="400"/>
      <c r="AF173" s="400"/>
    </row>
    <row r="174" spans="1:32" x14ac:dyDescent="0.25">
      <c r="A174" s="338">
        <v>5684</v>
      </c>
      <c r="B174" s="330" t="s">
        <v>105</v>
      </c>
      <c r="C174" s="392">
        <v>129474.04</v>
      </c>
      <c r="D174" s="392">
        <v>98491.3</v>
      </c>
      <c r="E174" s="392">
        <v>0</v>
      </c>
      <c r="F174" s="392">
        <v>0</v>
      </c>
      <c r="G174" s="392">
        <v>664.15</v>
      </c>
      <c r="H174" s="392">
        <v>294.75</v>
      </c>
      <c r="I174" s="380">
        <v>123.07725918197517</v>
      </c>
      <c r="J174" s="392">
        <v>0</v>
      </c>
      <c r="K174" s="392">
        <v>0</v>
      </c>
      <c r="L174" s="392">
        <v>0</v>
      </c>
      <c r="M174" s="392">
        <v>6461.9</v>
      </c>
      <c r="N174" s="331">
        <f t="shared" si="4"/>
        <v>235509.21725918195</v>
      </c>
      <c r="O174" s="396">
        <v>0</v>
      </c>
      <c r="P174" s="396">
        <v>0</v>
      </c>
      <c r="Q174" s="396">
        <v>0</v>
      </c>
      <c r="R174" s="396">
        <v>0</v>
      </c>
      <c r="S174" s="373">
        <v>0</v>
      </c>
      <c r="T174" s="332">
        <f t="shared" si="5"/>
        <v>235509.21725918195</v>
      </c>
      <c r="U174" s="446">
        <v>75</v>
      </c>
      <c r="V174" s="10">
        <v>84</v>
      </c>
      <c r="W174" s="10">
        <v>-4645.16</v>
      </c>
      <c r="X174" s="10">
        <v>0</v>
      </c>
      <c r="Y174" s="10">
        <v>-9.93</v>
      </c>
      <c r="Z174" s="373">
        <v>0.8</v>
      </c>
      <c r="AA174" s="400"/>
      <c r="AB174" s="400"/>
      <c r="AC174" s="400"/>
      <c r="AD174" s="400"/>
      <c r="AE174" s="400"/>
      <c r="AF174" s="400"/>
    </row>
    <row r="175" spans="1:32" x14ac:dyDescent="0.25">
      <c r="A175" s="338">
        <v>5688</v>
      </c>
      <c r="B175" s="330" t="s">
        <v>106</v>
      </c>
      <c r="C175" s="392">
        <v>117141.78</v>
      </c>
      <c r="D175" s="392">
        <v>37634.25</v>
      </c>
      <c r="E175" s="392">
        <v>0</v>
      </c>
      <c r="F175" s="392">
        <v>0</v>
      </c>
      <c r="G175" s="392">
        <v>18805.599999999999</v>
      </c>
      <c r="H175" s="392">
        <v>255.65</v>
      </c>
      <c r="I175" s="380">
        <v>2446.560023550343</v>
      </c>
      <c r="J175" s="392">
        <v>0</v>
      </c>
      <c r="K175" s="392">
        <v>5766.42</v>
      </c>
      <c r="L175" s="392">
        <v>52.5</v>
      </c>
      <c r="M175" s="392">
        <v>23709.5</v>
      </c>
      <c r="N175" s="331">
        <f t="shared" si="4"/>
        <v>205812.26002355036</v>
      </c>
      <c r="O175" s="396">
        <v>398.4</v>
      </c>
      <c r="P175" s="396">
        <v>0</v>
      </c>
      <c r="Q175" s="396">
        <v>4.1500000000000004</v>
      </c>
      <c r="R175" s="396">
        <v>0</v>
      </c>
      <c r="S175" s="373">
        <v>0</v>
      </c>
      <c r="T175" s="332">
        <f t="shared" si="5"/>
        <v>206214.81002355035</v>
      </c>
      <c r="U175" s="446">
        <v>75.599999999999994</v>
      </c>
      <c r="V175" s="10">
        <v>155</v>
      </c>
      <c r="W175" s="10">
        <v>-5.27</v>
      </c>
      <c r="X175" s="10">
        <v>0</v>
      </c>
      <c r="Y175" s="10">
        <v>0</v>
      </c>
      <c r="Z175" s="373">
        <v>1</v>
      </c>
      <c r="AA175" s="400"/>
      <c r="AB175" s="400"/>
      <c r="AC175" s="400"/>
      <c r="AD175" s="400"/>
      <c r="AE175" s="400"/>
      <c r="AF175" s="400"/>
    </row>
    <row r="176" spans="1:32" x14ac:dyDescent="0.25">
      <c r="A176" s="338">
        <v>5690</v>
      </c>
      <c r="B176" s="330" t="s">
        <v>107</v>
      </c>
      <c r="C176" s="392">
        <v>156621.17000000001</v>
      </c>
      <c r="D176" s="392">
        <v>33817.4</v>
      </c>
      <c r="E176" s="392">
        <v>0</v>
      </c>
      <c r="F176" s="392">
        <v>830</v>
      </c>
      <c r="G176" s="392">
        <v>-144.94999999999999</v>
      </c>
      <c r="H176" s="392">
        <v>406.25</v>
      </c>
      <c r="I176" s="380">
        <v>33.538521038951004</v>
      </c>
      <c r="J176" s="392">
        <v>0</v>
      </c>
      <c r="K176" s="392">
        <v>74.989999999999995</v>
      </c>
      <c r="L176" s="392">
        <v>184.1</v>
      </c>
      <c r="M176" s="392">
        <v>24606.15</v>
      </c>
      <c r="N176" s="331">
        <f t="shared" si="4"/>
        <v>216428.64852103894</v>
      </c>
      <c r="O176" s="396">
        <v>0</v>
      </c>
      <c r="P176" s="396">
        <v>9193.7999999999884</v>
      </c>
      <c r="Q176" s="396">
        <v>4698.1000000000004</v>
      </c>
      <c r="R176" s="396">
        <v>0</v>
      </c>
      <c r="S176" s="373">
        <v>9702.5</v>
      </c>
      <c r="T176" s="332">
        <f t="shared" si="5"/>
        <v>240023.04852103893</v>
      </c>
      <c r="U176" s="446">
        <v>70</v>
      </c>
      <c r="V176" s="10">
        <v>122</v>
      </c>
      <c r="W176" s="10">
        <v>-1209.22</v>
      </c>
      <c r="X176" s="10">
        <v>0</v>
      </c>
      <c r="Y176" s="10">
        <v>0</v>
      </c>
      <c r="Z176" s="373">
        <v>1.2</v>
      </c>
      <c r="AA176" s="400"/>
      <c r="AB176" s="400"/>
      <c r="AC176" s="400"/>
      <c r="AD176" s="400"/>
      <c r="AE176" s="400"/>
      <c r="AF176" s="400"/>
    </row>
    <row r="177" spans="1:32" x14ac:dyDescent="0.25">
      <c r="A177" s="338">
        <v>5692</v>
      </c>
      <c r="B177" s="330" t="s">
        <v>108</v>
      </c>
      <c r="C177" s="392">
        <v>1043783.94</v>
      </c>
      <c r="D177" s="392">
        <v>119105.55</v>
      </c>
      <c r="E177" s="392">
        <v>0</v>
      </c>
      <c r="F177" s="392">
        <v>0</v>
      </c>
      <c r="G177" s="392">
        <v>-2056.35</v>
      </c>
      <c r="H177" s="392">
        <v>900.8</v>
      </c>
      <c r="I177" s="380">
        <v>0</v>
      </c>
      <c r="J177" s="392">
        <v>0</v>
      </c>
      <c r="K177" s="392">
        <v>18224.849999999999</v>
      </c>
      <c r="L177" s="392">
        <v>2423.4499999999998</v>
      </c>
      <c r="M177" s="392">
        <v>92848</v>
      </c>
      <c r="N177" s="331">
        <f t="shared" si="4"/>
        <v>1275230.24</v>
      </c>
      <c r="O177" s="396">
        <v>8874.2999999999993</v>
      </c>
      <c r="P177" s="396">
        <v>0</v>
      </c>
      <c r="Q177" s="396">
        <v>55154</v>
      </c>
      <c r="R177" s="396">
        <v>0</v>
      </c>
      <c r="S177" s="373">
        <v>40705.449999999997</v>
      </c>
      <c r="T177" s="332">
        <f t="shared" si="5"/>
        <v>1379963.99</v>
      </c>
      <c r="U177" s="446">
        <v>79</v>
      </c>
      <c r="V177" s="10">
        <v>580</v>
      </c>
      <c r="W177" s="10">
        <v>-13064.71</v>
      </c>
      <c r="X177" s="10">
        <v>0</v>
      </c>
      <c r="Y177" s="10">
        <v>-20.58</v>
      </c>
      <c r="Z177" s="373">
        <v>1</v>
      </c>
      <c r="AA177" s="400"/>
      <c r="AB177" s="400"/>
      <c r="AC177" s="400"/>
      <c r="AD177" s="400"/>
      <c r="AE177" s="400"/>
      <c r="AF177" s="400"/>
    </row>
    <row r="178" spans="1:32" x14ac:dyDescent="0.25">
      <c r="A178" s="338">
        <v>5693</v>
      </c>
      <c r="B178" s="330" t="s">
        <v>440</v>
      </c>
      <c r="C178" s="392">
        <v>4214053.3099999996</v>
      </c>
      <c r="D178" s="392">
        <v>508142.64</v>
      </c>
      <c r="E178" s="392">
        <v>0</v>
      </c>
      <c r="F178" s="392">
        <v>0</v>
      </c>
      <c r="G178" s="392">
        <v>7531.5999999999804</v>
      </c>
      <c r="H178" s="392">
        <v>3713</v>
      </c>
      <c r="I178" s="380">
        <v>1443.2730718507019</v>
      </c>
      <c r="J178" s="392">
        <v>0</v>
      </c>
      <c r="K178" s="392">
        <v>77341.009999999995</v>
      </c>
      <c r="L178" s="392">
        <v>885.8</v>
      </c>
      <c r="M178" s="392">
        <v>379238.3</v>
      </c>
      <c r="N178" s="331">
        <f t="shared" si="4"/>
        <v>5192348.9330718489</v>
      </c>
      <c r="O178" s="396">
        <v>22355.5</v>
      </c>
      <c r="P178" s="396">
        <v>13396.8</v>
      </c>
      <c r="Q178" s="396">
        <v>155186.5</v>
      </c>
      <c r="R178" s="396">
        <v>94603.39</v>
      </c>
      <c r="S178" s="373">
        <v>155158.9</v>
      </c>
      <c r="T178" s="332">
        <f t="shared" si="5"/>
        <v>5633050.0230718488</v>
      </c>
      <c r="U178" s="446">
        <v>72</v>
      </c>
      <c r="V178" s="10">
        <v>2717</v>
      </c>
      <c r="W178" s="10">
        <v>-212044.27</v>
      </c>
      <c r="X178" s="10">
        <v>0</v>
      </c>
      <c r="Y178" s="10">
        <v>-281.23</v>
      </c>
      <c r="Z178" s="373">
        <v>1</v>
      </c>
      <c r="AA178" s="400"/>
      <c r="AB178" s="400"/>
      <c r="AC178" s="400"/>
      <c r="AD178" s="400"/>
      <c r="AE178" s="400"/>
      <c r="AF178" s="400"/>
    </row>
    <row r="179" spans="1:32" x14ac:dyDescent="0.25">
      <c r="A179" s="338">
        <v>5701</v>
      </c>
      <c r="B179" s="330" t="s">
        <v>109</v>
      </c>
      <c r="C179" s="392">
        <v>498743.75</v>
      </c>
      <c r="D179" s="392">
        <v>160192.01999999999</v>
      </c>
      <c r="E179" s="392">
        <v>0</v>
      </c>
      <c r="F179" s="392">
        <v>0</v>
      </c>
      <c r="G179" s="392">
        <v>39849.75</v>
      </c>
      <c r="H179" s="392">
        <v>397.7</v>
      </c>
      <c r="I179" s="380">
        <v>5165.8627959782934</v>
      </c>
      <c r="J179" s="392">
        <v>68770.899999999994</v>
      </c>
      <c r="K179" s="392">
        <v>18865.12</v>
      </c>
      <c r="L179" s="392">
        <v>-496.75</v>
      </c>
      <c r="M179" s="392">
        <v>69702.100000000006</v>
      </c>
      <c r="N179" s="331">
        <f t="shared" si="4"/>
        <v>861190.45279597829</v>
      </c>
      <c r="O179" s="396">
        <v>0</v>
      </c>
      <c r="P179" s="396">
        <v>30548.400000000001</v>
      </c>
      <c r="Q179" s="396">
        <v>11565.4</v>
      </c>
      <c r="R179" s="396">
        <v>0</v>
      </c>
      <c r="S179" s="373">
        <v>0</v>
      </c>
      <c r="T179" s="332">
        <f t="shared" si="5"/>
        <v>903304.25279597833</v>
      </c>
      <c r="U179" s="446">
        <v>70</v>
      </c>
      <c r="V179" s="10">
        <v>229</v>
      </c>
      <c r="W179" s="10">
        <v>-12788.5</v>
      </c>
      <c r="X179" s="10">
        <v>0</v>
      </c>
      <c r="Y179" s="10">
        <v>-408.19</v>
      </c>
      <c r="Z179" s="373">
        <v>1</v>
      </c>
      <c r="AA179" s="400"/>
      <c r="AB179" s="400"/>
      <c r="AC179" s="400"/>
      <c r="AD179" s="400"/>
      <c r="AE179" s="400"/>
      <c r="AF179" s="400"/>
    </row>
    <row r="180" spans="1:32" x14ac:dyDescent="0.25">
      <c r="A180" s="338">
        <v>5702</v>
      </c>
      <c r="B180" s="330" t="s">
        <v>439</v>
      </c>
      <c r="C180" s="392">
        <v>8085678.1299999999</v>
      </c>
      <c r="D180" s="392">
        <v>1449013.79</v>
      </c>
      <c r="E180" s="392">
        <v>0</v>
      </c>
      <c r="F180" s="392">
        <v>0</v>
      </c>
      <c r="G180" s="392">
        <v>389451.75</v>
      </c>
      <c r="H180" s="392">
        <v>22219.55</v>
      </c>
      <c r="I180" s="380">
        <v>52839.060681907045</v>
      </c>
      <c r="J180" s="392">
        <v>408952.26</v>
      </c>
      <c r="K180" s="392">
        <v>46710.89</v>
      </c>
      <c r="L180" s="392">
        <v>12753.15</v>
      </c>
      <c r="M180" s="392">
        <v>1182352</v>
      </c>
      <c r="N180" s="331">
        <f t="shared" si="4"/>
        <v>11649970.580681909</v>
      </c>
      <c r="O180" s="396">
        <v>56289.4</v>
      </c>
      <c r="P180" s="396">
        <v>113223.5</v>
      </c>
      <c r="Q180" s="396">
        <v>791698.1</v>
      </c>
      <c r="R180" s="396">
        <v>32415.46</v>
      </c>
      <c r="S180" s="373">
        <v>405610.55</v>
      </c>
      <c r="T180" s="332">
        <f t="shared" si="5"/>
        <v>13049207.590681911</v>
      </c>
      <c r="U180" s="446">
        <v>64</v>
      </c>
      <c r="V180" s="10">
        <v>2801</v>
      </c>
      <c r="W180" s="10">
        <v>-97536.73</v>
      </c>
      <c r="X180" s="10">
        <v>0</v>
      </c>
      <c r="Y180" s="10">
        <v>-25255.599999999999</v>
      </c>
      <c r="Z180" s="373">
        <v>1.5</v>
      </c>
      <c r="AA180" s="400"/>
      <c r="AB180" s="400"/>
      <c r="AC180" s="400"/>
      <c r="AD180" s="400"/>
      <c r="AE180" s="400"/>
      <c r="AF180" s="400"/>
    </row>
    <row r="181" spans="1:32" x14ac:dyDescent="0.25">
      <c r="A181" s="338">
        <v>5703</v>
      </c>
      <c r="B181" s="330" t="s">
        <v>110</v>
      </c>
      <c r="C181" s="392">
        <v>3604055.6</v>
      </c>
      <c r="D181" s="392">
        <v>359297.05</v>
      </c>
      <c r="E181" s="392">
        <v>0</v>
      </c>
      <c r="F181" s="392">
        <v>0</v>
      </c>
      <c r="G181" s="392">
        <v>13775</v>
      </c>
      <c r="H181" s="392">
        <v>1491.05</v>
      </c>
      <c r="I181" s="380">
        <v>1959.4364297997622</v>
      </c>
      <c r="J181" s="392">
        <v>33499.1</v>
      </c>
      <c r="K181" s="392">
        <v>109867.44</v>
      </c>
      <c r="L181" s="392">
        <v>610.79999999999995</v>
      </c>
      <c r="M181" s="392">
        <v>436618.5</v>
      </c>
      <c r="N181" s="331">
        <f t="shared" si="4"/>
        <v>4561173.9764297996</v>
      </c>
      <c r="O181" s="396">
        <v>23240.400000000001</v>
      </c>
      <c r="P181" s="396">
        <v>103271.2</v>
      </c>
      <c r="Q181" s="396">
        <v>175898.55</v>
      </c>
      <c r="R181" s="396">
        <v>742.12</v>
      </c>
      <c r="S181" s="373">
        <v>57400.1</v>
      </c>
      <c r="T181" s="332">
        <f t="shared" si="5"/>
        <v>4921726.3464297997</v>
      </c>
      <c r="U181" s="446">
        <v>74</v>
      </c>
      <c r="V181" s="10">
        <v>1395</v>
      </c>
      <c r="W181" s="10">
        <v>-74973.509999999995</v>
      </c>
      <c r="X181" s="10">
        <v>0</v>
      </c>
      <c r="Y181" s="10">
        <v>-962.97</v>
      </c>
      <c r="Z181" s="373">
        <v>1.4</v>
      </c>
      <c r="AA181" s="400"/>
      <c r="AB181" s="400"/>
      <c r="AC181" s="400"/>
      <c r="AD181" s="400"/>
      <c r="AE181" s="400"/>
      <c r="AF181" s="400"/>
    </row>
    <row r="182" spans="1:32" x14ac:dyDescent="0.25">
      <c r="A182" s="338">
        <v>5704</v>
      </c>
      <c r="B182" s="330" t="s">
        <v>220</v>
      </c>
      <c r="C182" s="392">
        <v>5811788.8899999997</v>
      </c>
      <c r="D182" s="392">
        <v>1503273.26</v>
      </c>
      <c r="E182" s="392">
        <v>0</v>
      </c>
      <c r="F182" s="392">
        <v>0</v>
      </c>
      <c r="G182" s="392">
        <v>111648.8</v>
      </c>
      <c r="H182" s="392">
        <v>8036.2</v>
      </c>
      <c r="I182" s="380">
        <v>15361.874820309418</v>
      </c>
      <c r="J182" s="392">
        <v>427515.55</v>
      </c>
      <c r="K182" s="392">
        <v>119653.12</v>
      </c>
      <c r="L182" s="392">
        <v>14444.5</v>
      </c>
      <c r="M182" s="392">
        <v>765726.5</v>
      </c>
      <c r="N182" s="331">
        <f t="shared" si="4"/>
        <v>8777448.6948203091</v>
      </c>
      <c r="O182" s="396">
        <v>49246.95</v>
      </c>
      <c r="P182" s="396">
        <v>93498.5</v>
      </c>
      <c r="Q182" s="396">
        <v>301834.65000000002</v>
      </c>
      <c r="R182" s="396">
        <v>16688.71</v>
      </c>
      <c r="S182" s="373">
        <v>205732.7</v>
      </c>
      <c r="T182" s="332">
        <f t="shared" si="5"/>
        <v>9444450.2048203088</v>
      </c>
      <c r="U182" s="446">
        <v>64</v>
      </c>
      <c r="V182" s="10">
        <v>1931</v>
      </c>
      <c r="W182" s="10">
        <v>-100052.17</v>
      </c>
      <c r="X182" s="10">
        <v>0</v>
      </c>
      <c r="Y182" s="10">
        <v>-150278.01999999999</v>
      </c>
      <c r="Z182" s="373">
        <v>1.5</v>
      </c>
      <c r="AA182" s="400"/>
      <c r="AB182" s="400"/>
      <c r="AC182" s="400"/>
      <c r="AD182" s="400"/>
      <c r="AE182" s="400"/>
      <c r="AF182" s="400"/>
    </row>
    <row r="183" spans="1:32" x14ac:dyDescent="0.25">
      <c r="A183" s="338">
        <v>5705</v>
      </c>
      <c r="B183" s="330" t="s">
        <v>221</v>
      </c>
      <c r="C183" s="392">
        <v>2881975.66</v>
      </c>
      <c r="D183" s="392">
        <v>472496.51</v>
      </c>
      <c r="E183" s="392">
        <v>0</v>
      </c>
      <c r="F183" s="392">
        <v>0</v>
      </c>
      <c r="G183" s="392">
        <v>12223.75</v>
      </c>
      <c r="H183" s="392">
        <v>2012.8</v>
      </c>
      <c r="I183" s="380">
        <v>1827.297480662372</v>
      </c>
      <c r="J183" s="392">
        <v>33742.699999999997</v>
      </c>
      <c r="K183" s="392">
        <v>620.73</v>
      </c>
      <c r="L183" s="392">
        <v>9128.25</v>
      </c>
      <c r="M183" s="392">
        <v>219345.45</v>
      </c>
      <c r="N183" s="331">
        <f t="shared" si="4"/>
        <v>3633373.1474806624</v>
      </c>
      <c r="O183" s="396">
        <v>26663.15</v>
      </c>
      <c r="P183" s="396">
        <v>0</v>
      </c>
      <c r="Q183" s="396">
        <v>131958.75</v>
      </c>
      <c r="R183" s="396">
        <v>0</v>
      </c>
      <c r="S183" s="373">
        <v>176488.7</v>
      </c>
      <c r="T183" s="332">
        <f t="shared" si="5"/>
        <v>3968483.7474806625</v>
      </c>
      <c r="U183" s="446">
        <v>76</v>
      </c>
      <c r="V183" s="10">
        <v>825</v>
      </c>
      <c r="W183" s="10">
        <v>-5748.53</v>
      </c>
      <c r="X183" s="10">
        <v>0</v>
      </c>
      <c r="Y183" s="10">
        <v>-25224.7</v>
      </c>
      <c r="Z183" s="373">
        <v>1</v>
      </c>
      <c r="AA183" s="400"/>
      <c r="AB183" s="400"/>
      <c r="AC183" s="400"/>
      <c r="AD183" s="400"/>
      <c r="AE183" s="400"/>
      <c r="AF183" s="400"/>
    </row>
    <row r="184" spans="1:32" x14ac:dyDescent="0.25">
      <c r="A184" s="338">
        <v>5706</v>
      </c>
      <c r="B184" s="330" t="s">
        <v>222</v>
      </c>
      <c r="C184" s="392">
        <v>3288260.84</v>
      </c>
      <c r="D184" s="392">
        <v>698095.53</v>
      </c>
      <c r="E184" s="392">
        <v>0</v>
      </c>
      <c r="F184" s="392">
        <v>0</v>
      </c>
      <c r="G184" s="392">
        <v>45892.65</v>
      </c>
      <c r="H184" s="392">
        <v>692.8</v>
      </c>
      <c r="I184" s="380">
        <v>5979.3612511825477</v>
      </c>
      <c r="J184" s="392">
        <v>0</v>
      </c>
      <c r="K184" s="392">
        <v>127826.57</v>
      </c>
      <c r="L184" s="392">
        <v>18825.8</v>
      </c>
      <c r="M184" s="392">
        <v>437871.45</v>
      </c>
      <c r="N184" s="331">
        <f t="shared" si="4"/>
        <v>4623445.0012511816</v>
      </c>
      <c r="O184" s="396">
        <v>9244.4</v>
      </c>
      <c r="P184" s="396">
        <v>0</v>
      </c>
      <c r="Q184" s="396">
        <v>111051.6</v>
      </c>
      <c r="R184" s="396">
        <v>0</v>
      </c>
      <c r="S184" s="373">
        <v>124492.5</v>
      </c>
      <c r="T184" s="332">
        <f t="shared" si="5"/>
        <v>4868233.5012511816</v>
      </c>
      <c r="U184" s="446">
        <v>58</v>
      </c>
      <c r="V184" s="10">
        <v>1132</v>
      </c>
      <c r="W184" s="10">
        <v>-20986.82</v>
      </c>
      <c r="X184" s="10">
        <v>0</v>
      </c>
      <c r="Y184" s="10">
        <v>-6025.35</v>
      </c>
      <c r="Z184" s="373">
        <v>1.5</v>
      </c>
      <c r="AA184" s="400"/>
      <c r="AB184" s="400"/>
      <c r="AC184" s="400"/>
      <c r="AD184" s="400"/>
      <c r="AE184" s="400"/>
      <c r="AF184" s="400"/>
    </row>
    <row r="185" spans="1:32" x14ac:dyDescent="0.25">
      <c r="A185" s="338">
        <v>5707</v>
      </c>
      <c r="B185" s="330" t="s">
        <v>223</v>
      </c>
      <c r="C185" s="392">
        <v>3314603.05</v>
      </c>
      <c r="D185" s="392">
        <v>572682.6</v>
      </c>
      <c r="E185" s="392">
        <v>0</v>
      </c>
      <c r="F185" s="392">
        <v>0</v>
      </c>
      <c r="G185" s="392">
        <v>152666.04999999999</v>
      </c>
      <c r="H185" s="392">
        <v>19854.599999999999</v>
      </c>
      <c r="I185" s="380">
        <v>22143.46517289897</v>
      </c>
      <c r="J185" s="392">
        <v>38591.15</v>
      </c>
      <c r="K185" s="392">
        <v>104652.25</v>
      </c>
      <c r="L185" s="392">
        <v>60418.7</v>
      </c>
      <c r="M185" s="392">
        <v>704181.9</v>
      </c>
      <c r="N185" s="331">
        <f t="shared" si="4"/>
        <v>4989793.7651728997</v>
      </c>
      <c r="O185" s="396">
        <v>690372.3</v>
      </c>
      <c r="P185" s="396">
        <v>0</v>
      </c>
      <c r="Q185" s="396">
        <v>202039.75</v>
      </c>
      <c r="R185" s="396">
        <v>0</v>
      </c>
      <c r="S185" s="373">
        <v>149086.04999999999</v>
      </c>
      <c r="T185" s="332">
        <f t="shared" si="5"/>
        <v>6031291.8651728993</v>
      </c>
      <c r="U185" s="446">
        <v>59</v>
      </c>
      <c r="V185" s="10">
        <v>1357</v>
      </c>
      <c r="W185" s="10">
        <v>-7689.16</v>
      </c>
      <c r="X185" s="10">
        <v>0</v>
      </c>
      <c r="Y185" s="10">
        <v>-1790.64</v>
      </c>
      <c r="Z185" s="373">
        <v>1.5</v>
      </c>
      <c r="AA185" s="400"/>
      <c r="AB185" s="400"/>
      <c r="AC185" s="400"/>
      <c r="AD185" s="400"/>
      <c r="AE185" s="400"/>
      <c r="AF185" s="400"/>
    </row>
    <row r="186" spans="1:32" x14ac:dyDescent="0.25">
      <c r="A186" s="338">
        <v>5708</v>
      </c>
      <c r="B186" s="330" t="s">
        <v>224</v>
      </c>
      <c r="C186" s="392">
        <v>3385396.62</v>
      </c>
      <c r="D186" s="392">
        <v>567580.35</v>
      </c>
      <c r="E186" s="392">
        <v>0</v>
      </c>
      <c r="F186" s="392">
        <v>0</v>
      </c>
      <c r="G186" s="392">
        <v>9153.9</v>
      </c>
      <c r="H186" s="392">
        <v>-8103.25</v>
      </c>
      <c r="I186" s="380">
        <v>134.85360554754638</v>
      </c>
      <c r="J186" s="392">
        <v>17.350000000005799</v>
      </c>
      <c r="K186" s="392">
        <v>170753.68</v>
      </c>
      <c r="L186" s="392">
        <v>4383.1499999999996</v>
      </c>
      <c r="M186" s="392">
        <v>426277.8</v>
      </c>
      <c r="N186" s="331">
        <f t="shared" si="4"/>
        <v>4555594.4536055475</v>
      </c>
      <c r="O186" s="396">
        <v>2082.3000000000002</v>
      </c>
      <c r="P186" s="396">
        <v>0</v>
      </c>
      <c r="Q186" s="396">
        <v>346401.1</v>
      </c>
      <c r="R186" s="396">
        <v>0</v>
      </c>
      <c r="S186" s="373">
        <v>130515.85</v>
      </c>
      <c r="T186" s="332">
        <f t="shared" si="5"/>
        <v>5034593.7036055466</v>
      </c>
      <c r="U186" s="446">
        <v>68</v>
      </c>
      <c r="V186" s="10">
        <v>960</v>
      </c>
      <c r="W186" s="10">
        <v>-12920.05</v>
      </c>
      <c r="X186" s="10">
        <v>0</v>
      </c>
      <c r="Y186" s="10">
        <v>-2776.99</v>
      </c>
      <c r="Z186" s="373">
        <v>1.5</v>
      </c>
      <c r="AA186" s="400"/>
      <c r="AB186" s="400"/>
      <c r="AC186" s="400"/>
      <c r="AD186" s="400"/>
      <c r="AE186" s="400"/>
      <c r="AF186" s="400"/>
    </row>
    <row r="187" spans="1:32" x14ac:dyDescent="0.25">
      <c r="A187" s="338">
        <v>5709</v>
      </c>
      <c r="B187" s="330" t="s">
        <v>225</v>
      </c>
      <c r="C187" s="392">
        <v>3914885.2</v>
      </c>
      <c r="D187" s="392">
        <v>736506.04</v>
      </c>
      <c r="E187" s="392">
        <v>0</v>
      </c>
      <c r="F187" s="392">
        <v>0</v>
      </c>
      <c r="G187" s="392">
        <v>12434</v>
      </c>
      <c r="H187" s="392">
        <v>9466.2000000000007</v>
      </c>
      <c r="I187" s="380">
        <v>2810.94649237365</v>
      </c>
      <c r="J187" s="392">
        <v>507817.55</v>
      </c>
      <c r="K187" s="392">
        <v>39511.449999999997</v>
      </c>
      <c r="L187" s="392">
        <v>3269.95</v>
      </c>
      <c r="M187" s="392">
        <v>334185.3</v>
      </c>
      <c r="N187" s="331">
        <f t="shared" si="4"/>
        <v>5560886.6364923744</v>
      </c>
      <c r="O187" s="396">
        <v>40088.300000000003</v>
      </c>
      <c r="P187" s="396">
        <v>86653</v>
      </c>
      <c r="Q187" s="396">
        <v>341376</v>
      </c>
      <c r="R187" s="396">
        <v>4636.7299999999996</v>
      </c>
      <c r="S187" s="373">
        <v>178548.8</v>
      </c>
      <c r="T187" s="332">
        <f t="shared" si="5"/>
        <v>6212189.4664923744</v>
      </c>
      <c r="U187" s="446">
        <v>57</v>
      </c>
      <c r="V187" s="10">
        <v>1238</v>
      </c>
      <c r="W187" s="10">
        <v>-27100.03</v>
      </c>
      <c r="X187" s="10">
        <v>0</v>
      </c>
      <c r="Y187" s="10">
        <v>-28486.15</v>
      </c>
      <c r="Z187" s="373">
        <v>1</v>
      </c>
      <c r="AA187" s="400"/>
      <c r="AB187" s="400"/>
      <c r="AC187" s="400"/>
      <c r="AD187" s="400"/>
      <c r="AE187" s="400"/>
      <c r="AF187" s="400"/>
    </row>
    <row r="188" spans="1:32" x14ac:dyDescent="0.25">
      <c r="A188" s="338">
        <v>5710</v>
      </c>
      <c r="B188" s="330" t="s">
        <v>226</v>
      </c>
      <c r="C188" s="392">
        <v>537163.31999999995</v>
      </c>
      <c r="D188" s="392">
        <v>220418.93</v>
      </c>
      <c r="E188" s="392">
        <v>0</v>
      </c>
      <c r="F188" s="392">
        <v>0</v>
      </c>
      <c r="G188" s="392">
        <v>3679098.95</v>
      </c>
      <c r="H188" s="392">
        <v>683207.25</v>
      </c>
      <c r="I188" s="380">
        <v>559913.12004227471</v>
      </c>
      <c r="J188" s="392">
        <v>110957.8</v>
      </c>
      <c r="K188" s="392">
        <v>58616.94</v>
      </c>
      <c r="L188" s="392">
        <v>5052.8999999999996</v>
      </c>
      <c r="M188" s="392">
        <v>130458.2</v>
      </c>
      <c r="N188" s="331">
        <f t="shared" si="4"/>
        <v>5984887.4100422757</v>
      </c>
      <c r="O188" s="396">
        <v>58083.9</v>
      </c>
      <c r="P188" s="396">
        <v>0</v>
      </c>
      <c r="Q188" s="396">
        <v>57629</v>
      </c>
      <c r="R188" s="396">
        <v>8314.25</v>
      </c>
      <c r="S188" s="373">
        <v>58607.4</v>
      </c>
      <c r="T188" s="332">
        <f t="shared" si="5"/>
        <v>6167521.9600422764</v>
      </c>
      <c r="U188" s="446">
        <v>51</v>
      </c>
      <c r="V188" s="10">
        <v>494</v>
      </c>
      <c r="W188" s="10">
        <v>-13637.42</v>
      </c>
      <c r="X188" s="10">
        <v>0</v>
      </c>
      <c r="Y188" s="10">
        <v>-26741.74</v>
      </c>
      <c r="Z188" s="373">
        <v>1</v>
      </c>
      <c r="AA188" s="400"/>
      <c r="AB188" s="400"/>
      <c r="AC188" s="400"/>
      <c r="AD188" s="400"/>
      <c r="AE188" s="400"/>
      <c r="AF188" s="400"/>
    </row>
    <row r="189" spans="1:32" x14ac:dyDescent="0.25">
      <c r="A189" s="338">
        <v>5711</v>
      </c>
      <c r="B189" s="330" t="s">
        <v>227</v>
      </c>
      <c r="C189" s="392">
        <v>11537416.92</v>
      </c>
      <c r="D189" s="392">
        <v>2179997.88</v>
      </c>
      <c r="E189" s="392">
        <v>0</v>
      </c>
      <c r="F189" s="392">
        <v>0</v>
      </c>
      <c r="G189" s="392">
        <v>78991.3</v>
      </c>
      <c r="H189" s="392">
        <v>10677.2</v>
      </c>
      <c r="I189" s="380">
        <v>11509.180534945188</v>
      </c>
      <c r="J189" s="392">
        <v>207489.45</v>
      </c>
      <c r="K189" s="392">
        <v>-6677.29</v>
      </c>
      <c r="L189" s="392">
        <v>15537.15</v>
      </c>
      <c r="M189" s="392">
        <v>1139879.8</v>
      </c>
      <c r="N189" s="331">
        <f t="shared" si="4"/>
        <v>15174821.590534948</v>
      </c>
      <c r="O189" s="396">
        <v>21638.05</v>
      </c>
      <c r="P189" s="396">
        <v>0</v>
      </c>
      <c r="Q189" s="396">
        <v>714705.85</v>
      </c>
      <c r="R189" s="396">
        <v>39963.14</v>
      </c>
      <c r="S189" s="373">
        <v>659573.5</v>
      </c>
      <c r="T189" s="332">
        <f t="shared" si="5"/>
        <v>16610702.130534949</v>
      </c>
      <c r="U189" s="446">
        <v>57</v>
      </c>
      <c r="V189" s="10">
        <v>2935</v>
      </c>
      <c r="W189" s="10">
        <v>-114347.05</v>
      </c>
      <c r="X189" s="10">
        <v>0</v>
      </c>
      <c r="Y189" s="10">
        <v>-162910.26999999999</v>
      </c>
      <c r="Z189" s="373">
        <v>1.3</v>
      </c>
      <c r="AA189" s="400"/>
      <c r="AB189" s="400"/>
      <c r="AC189" s="400"/>
      <c r="AD189" s="400"/>
      <c r="AE189" s="400"/>
      <c r="AF189" s="400"/>
    </row>
    <row r="190" spans="1:32" x14ac:dyDescent="0.25">
      <c r="A190" s="338">
        <v>5712</v>
      </c>
      <c r="B190" s="330" t="s">
        <v>228</v>
      </c>
      <c r="C190" s="392">
        <v>13549548.85</v>
      </c>
      <c r="D190" s="392">
        <v>3901899.72</v>
      </c>
      <c r="E190" s="392">
        <v>0</v>
      </c>
      <c r="F190" s="392">
        <v>0</v>
      </c>
      <c r="G190" s="392">
        <v>352908.15</v>
      </c>
      <c r="H190" s="392">
        <v>59988.25</v>
      </c>
      <c r="I190" s="380">
        <v>52996.305389617788</v>
      </c>
      <c r="J190" s="392">
        <v>1131526.74</v>
      </c>
      <c r="K190" s="392">
        <v>564340.06000000006</v>
      </c>
      <c r="L190" s="392">
        <v>21065.8</v>
      </c>
      <c r="M190" s="392">
        <v>1683799.5</v>
      </c>
      <c r="N190" s="331">
        <f t="shared" si="4"/>
        <v>21318073.375389613</v>
      </c>
      <c r="O190" s="396">
        <v>154539.25</v>
      </c>
      <c r="P190" s="396">
        <v>365553.7</v>
      </c>
      <c r="Q190" s="396">
        <v>825607.2</v>
      </c>
      <c r="R190" s="396">
        <v>6197.8</v>
      </c>
      <c r="S190" s="373">
        <v>1012371.05</v>
      </c>
      <c r="T190" s="332">
        <f t="shared" si="5"/>
        <v>23682342.375389613</v>
      </c>
      <c r="U190" s="446">
        <v>53</v>
      </c>
      <c r="V190" s="10">
        <v>3211</v>
      </c>
      <c r="W190" s="10">
        <v>-64869.15</v>
      </c>
      <c r="X190" s="10">
        <v>0</v>
      </c>
      <c r="Y190" s="10">
        <v>-50379.64</v>
      </c>
      <c r="Z190" s="373">
        <v>1.5</v>
      </c>
      <c r="AA190" s="400"/>
      <c r="AB190" s="400"/>
      <c r="AC190" s="400"/>
      <c r="AD190" s="400"/>
      <c r="AE190" s="400"/>
      <c r="AF190" s="400"/>
    </row>
    <row r="191" spans="1:32" x14ac:dyDescent="0.25">
      <c r="A191" s="338">
        <v>5713</v>
      </c>
      <c r="B191" s="330" t="s">
        <v>229</v>
      </c>
      <c r="C191" s="392">
        <v>9469841.9700000007</v>
      </c>
      <c r="D191" s="392">
        <v>4621034.63</v>
      </c>
      <c r="E191" s="392">
        <v>0</v>
      </c>
      <c r="F191" s="392">
        <v>0</v>
      </c>
      <c r="G191" s="392">
        <v>76183.95</v>
      </c>
      <c r="H191" s="392">
        <v>9466.25</v>
      </c>
      <c r="I191" s="380">
        <v>10993.421487525298</v>
      </c>
      <c r="J191" s="392">
        <v>668928.5</v>
      </c>
      <c r="K191" s="392">
        <v>412482.02</v>
      </c>
      <c r="L191" s="392">
        <v>10277.5</v>
      </c>
      <c r="M191" s="392">
        <v>822395.25</v>
      </c>
      <c r="N191" s="331">
        <f t="shared" si="4"/>
        <v>16101603.491487525</v>
      </c>
      <c r="O191" s="396">
        <v>21843.1</v>
      </c>
      <c r="P191" s="396">
        <v>94826.2</v>
      </c>
      <c r="Q191" s="396">
        <v>466061.65</v>
      </c>
      <c r="R191" s="396">
        <v>2671.87</v>
      </c>
      <c r="S191" s="373">
        <v>500656.8</v>
      </c>
      <c r="T191" s="332">
        <f t="shared" si="5"/>
        <v>17187663.111487523</v>
      </c>
      <c r="U191" s="446">
        <v>56</v>
      </c>
      <c r="V191" s="10">
        <v>2286</v>
      </c>
      <c r="W191" s="10">
        <v>-64209.58</v>
      </c>
      <c r="X191" s="10">
        <v>0</v>
      </c>
      <c r="Y191" s="10">
        <v>-41516.92</v>
      </c>
      <c r="Z191" s="373">
        <v>1</v>
      </c>
      <c r="AA191" s="400"/>
      <c r="AB191" s="400"/>
      <c r="AC191" s="400"/>
      <c r="AD191" s="400"/>
      <c r="AE191" s="400"/>
      <c r="AF191" s="400"/>
    </row>
    <row r="192" spans="1:32" x14ac:dyDescent="0.25">
      <c r="A192" s="338">
        <v>5714</v>
      </c>
      <c r="B192" s="330" t="s">
        <v>230</v>
      </c>
      <c r="C192" s="392">
        <v>3735948.62</v>
      </c>
      <c r="D192" s="392">
        <v>528327.94999999995</v>
      </c>
      <c r="E192" s="392">
        <v>0</v>
      </c>
      <c r="F192" s="392">
        <v>0</v>
      </c>
      <c r="G192" s="392">
        <v>51926.5</v>
      </c>
      <c r="H192" s="392">
        <v>4723.55</v>
      </c>
      <c r="I192" s="380">
        <v>7271.1783152798553</v>
      </c>
      <c r="J192" s="392">
        <v>111940.2</v>
      </c>
      <c r="K192" s="392">
        <v>32606.69</v>
      </c>
      <c r="L192" s="392">
        <v>6423</v>
      </c>
      <c r="M192" s="392">
        <v>288713.65000000002</v>
      </c>
      <c r="N192" s="331">
        <f t="shared" si="4"/>
        <v>4767881.3383152811</v>
      </c>
      <c r="O192" s="396">
        <v>78593.5</v>
      </c>
      <c r="P192" s="396">
        <v>0</v>
      </c>
      <c r="Q192" s="396">
        <v>143632.35</v>
      </c>
      <c r="R192" s="396">
        <v>3803.53</v>
      </c>
      <c r="S192" s="373">
        <v>162725.45000000001</v>
      </c>
      <c r="T192" s="332">
        <f t="shared" si="5"/>
        <v>5156636.1683152812</v>
      </c>
      <c r="U192" s="446">
        <v>68</v>
      </c>
      <c r="V192" s="10">
        <v>1169</v>
      </c>
      <c r="W192" s="10">
        <v>-45271.55</v>
      </c>
      <c r="X192" s="10">
        <v>0</v>
      </c>
      <c r="Y192" s="10">
        <v>-2820.45</v>
      </c>
      <c r="Z192" s="373">
        <v>1</v>
      </c>
      <c r="AA192" s="400"/>
      <c r="AB192" s="400"/>
      <c r="AC192" s="400"/>
      <c r="AD192" s="400"/>
      <c r="AE192" s="400"/>
      <c r="AF192" s="400"/>
    </row>
    <row r="193" spans="1:32" x14ac:dyDescent="0.25">
      <c r="A193" s="338">
        <v>5715</v>
      </c>
      <c r="B193" s="330" t="s">
        <v>231</v>
      </c>
      <c r="C193" s="392">
        <v>3625907.04</v>
      </c>
      <c r="D193" s="392">
        <v>648289.57999999996</v>
      </c>
      <c r="E193" s="392">
        <v>0</v>
      </c>
      <c r="F193" s="392">
        <v>0</v>
      </c>
      <c r="G193" s="392">
        <v>22668</v>
      </c>
      <c r="H193" s="392">
        <v>8780.6</v>
      </c>
      <c r="I193" s="380">
        <v>4036.5079707062928</v>
      </c>
      <c r="J193" s="392">
        <v>32824.75</v>
      </c>
      <c r="K193" s="392">
        <v>98503.53</v>
      </c>
      <c r="L193" s="392">
        <v>-1241</v>
      </c>
      <c r="M193" s="392">
        <v>272005.40000000002</v>
      </c>
      <c r="N193" s="331">
        <f t="shared" si="4"/>
        <v>4711774.4079707069</v>
      </c>
      <c r="O193" s="396">
        <v>59422.95</v>
      </c>
      <c r="P193" s="396">
        <v>46385.8</v>
      </c>
      <c r="Q193" s="396">
        <v>97376.85</v>
      </c>
      <c r="R193" s="396">
        <v>85371.839999999997</v>
      </c>
      <c r="S193" s="373">
        <v>154757.35</v>
      </c>
      <c r="T193" s="332">
        <f t="shared" si="5"/>
        <v>5155089.197970706</v>
      </c>
      <c r="U193" s="446">
        <v>66</v>
      </c>
      <c r="V193" s="10">
        <v>1090</v>
      </c>
      <c r="W193" s="10">
        <v>-166233.72</v>
      </c>
      <c r="X193" s="10">
        <v>0</v>
      </c>
      <c r="Y193" s="10">
        <v>-7101.43</v>
      </c>
      <c r="Z193" s="373">
        <v>1</v>
      </c>
      <c r="AA193" s="400"/>
      <c r="AB193" s="400"/>
      <c r="AC193" s="400"/>
      <c r="AD193" s="400"/>
      <c r="AE193" s="400"/>
      <c r="AF193" s="400"/>
    </row>
    <row r="194" spans="1:32" x14ac:dyDescent="0.25">
      <c r="A194" s="338">
        <v>5716</v>
      </c>
      <c r="B194" s="330" t="s">
        <v>232</v>
      </c>
      <c r="C194" s="392">
        <v>4003667.05</v>
      </c>
      <c r="D194" s="392">
        <v>520296.77</v>
      </c>
      <c r="E194" s="392">
        <v>0</v>
      </c>
      <c r="F194" s="392">
        <v>0</v>
      </c>
      <c r="G194" s="392">
        <v>5758048.4000000004</v>
      </c>
      <c r="H194" s="392">
        <v>1098543.8500000001</v>
      </c>
      <c r="I194" s="380">
        <v>880061.09235412697</v>
      </c>
      <c r="J194" s="392">
        <v>-24162</v>
      </c>
      <c r="K194" s="392">
        <v>255987.84</v>
      </c>
      <c r="L194" s="392">
        <v>103514.3</v>
      </c>
      <c r="M194" s="392">
        <v>641222.05000000005</v>
      </c>
      <c r="N194" s="331">
        <f t="shared" si="4"/>
        <v>13237179.352354128</v>
      </c>
      <c r="O194" s="396">
        <v>485768.2</v>
      </c>
      <c r="P194" s="396">
        <v>36537.300000000003</v>
      </c>
      <c r="Q194" s="396">
        <v>349296.8</v>
      </c>
      <c r="R194" s="396">
        <v>10632.35</v>
      </c>
      <c r="S194" s="373">
        <v>136837.85</v>
      </c>
      <c r="T194" s="332">
        <f t="shared" si="5"/>
        <v>14256251.852354128</v>
      </c>
      <c r="U194" s="446">
        <v>61</v>
      </c>
      <c r="V194" s="10">
        <v>1737</v>
      </c>
      <c r="W194" s="10">
        <v>-54331.56</v>
      </c>
      <c r="X194" s="10">
        <v>0</v>
      </c>
      <c r="Y194" s="10">
        <v>-52798.86</v>
      </c>
      <c r="Z194" s="373">
        <v>1</v>
      </c>
      <c r="AA194" s="400"/>
      <c r="AB194" s="400"/>
      <c r="AC194" s="400"/>
      <c r="AD194" s="400"/>
      <c r="AE194" s="400"/>
      <c r="AF194" s="400"/>
    </row>
    <row r="195" spans="1:32" x14ac:dyDescent="0.25">
      <c r="A195" s="338">
        <v>5717</v>
      </c>
      <c r="B195" s="330" t="s">
        <v>233</v>
      </c>
      <c r="C195" s="392">
        <v>13252115.74</v>
      </c>
      <c r="D195" s="392">
        <v>4042961.06</v>
      </c>
      <c r="E195" s="392">
        <v>0</v>
      </c>
      <c r="F195" s="392">
        <v>0</v>
      </c>
      <c r="G195" s="392">
        <v>208167.45</v>
      </c>
      <c r="H195" s="392">
        <v>17297</v>
      </c>
      <c r="I195" s="380">
        <v>28938.936853656774</v>
      </c>
      <c r="J195" s="392">
        <v>896177.1</v>
      </c>
      <c r="K195" s="392">
        <v>256975.7</v>
      </c>
      <c r="L195" s="392">
        <v>38705</v>
      </c>
      <c r="M195" s="392">
        <v>1269375.8999999999</v>
      </c>
      <c r="N195" s="331">
        <f t="shared" si="4"/>
        <v>20010713.886853658</v>
      </c>
      <c r="O195" s="396">
        <v>216727.3</v>
      </c>
      <c r="P195" s="396">
        <v>313199.09999999998</v>
      </c>
      <c r="Q195" s="396">
        <v>1111030.1499999999</v>
      </c>
      <c r="R195" s="396">
        <v>12219.67</v>
      </c>
      <c r="S195" s="373">
        <v>932997.2</v>
      </c>
      <c r="T195" s="332">
        <f t="shared" si="5"/>
        <v>22596887.306853659</v>
      </c>
      <c r="U195" s="446">
        <v>57</v>
      </c>
      <c r="V195" s="10">
        <v>3772</v>
      </c>
      <c r="W195" s="10">
        <v>-80492.929999999993</v>
      </c>
      <c r="X195" s="10">
        <v>-677.05</v>
      </c>
      <c r="Y195" s="10">
        <v>-288985.55</v>
      </c>
      <c r="Z195" s="373">
        <v>1</v>
      </c>
      <c r="AA195" s="400"/>
      <c r="AB195" s="400"/>
      <c r="AC195" s="400"/>
      <c r="AD195" s="400"/>
      <c r="AE195" s="400"/>
      <c r="AF195" s="400"/>
    </row>
    <row r="196" spans="1:32" x14ac:dyDescent="0.25">
      <c r="A196" s="338">
        <v>5718</v>
      </c>
      <c r="B196" s="330" t="s">
        <v>234</v>
      </c>
      <c r="C196" s="392">
        <v>6696051.5499999998</v>
      </c>
      <c r="D196" s="392">
        <v>1589745.34</v>
      </c>
      <c r="E196" s="392">
        <v>0</v>
      </c>
      <c r="F196" s="392">
        <v>0</v>
      </c>
      <c r="G196" s="392">
        <v>7016.3999999999896</v>
      </c>
      <c r="H196" s="392">
        <v>6022.35</v>
      </c>
      <c r="I196" s="380">
        <v>1673.5567975377814</v>
      </c>
      <c r="J196" s="392">
        <v>239936.05</v>
      </c>
      <c r="K196" s="392">
        <v>176966.58</v>
      </c>
      <c r="L196" s="392">
        <v>39346.6</v>
      </c>
      <c r="M196" s="392">
        <v>653818.6</v>
      </c>
      <c r="N196" s="331">
        <f t="shared" si="4"/>
        <v>9410577.0267975368</v>
      </c>
      <c r="O196" s="396">
        <v>281010.59999999998</v>
      </c>
      <c r="P196" s="396">
        <v>499018.7</v>
      </c>
      <c r="Q196" s="396">
        <v>636772.30000000005</v>
      </c>
      <c r="R196" s="396">
        <v>68471.08</v>
      </c>
      <c r="S196" s="373">
        <v>292877.40000000002</v>
      </c>
      <c r="T196" s="332">
        <f t="shared" si="5"/>
        <v>11188727.106797537</v>
      </c>
      <c r="U196" s="446">
        <v>55</v>
      </c>
      <c r="V196" s="10">
        <v>2000</v>
      </c>
      <c r="W196" s="10">
        <v>-100284.6</v>
      </c>
      <c r="X196" s="10">
        <v>0</v>
      </c>
      <c r="Y196" s="10">
        <v>-13553.26</v>
      </c>
      <c r="Z196" s="373">
        <v>1</v>
      </c>
      <c r="AA196" s="400"/>
      <c r="AB196" s="400"/>
      <c r="AC196" s="400"/>
      <c r="AD196" s="400"/>
      <c r="AE196" s="400"/>
      <c r="AF196" s="400"/>
    </row>
    <row r="197" spans="1:32" x14ac:dyDescent="0.25">
      <c r="A197" s="338">
        <v>5719</v>
      </c>
      <c r="B197" s="330" t="s">
        <v>235</v>
      </c>
      <c r="C197" s="392">
        <v>5095405.38</v>
      </c>
      <c r="D197" s="392">
        <v>2375604.75</v>
      </c>
      <c r="E197" s="392">
        <v>0</v>
      </c>
      <c r="F197" s="392">
        <v>0</v>
      </c>
      <c r="G197" s="392">
        <v>87340.15</v>
      </c>
      <c r="H197" s="392">
        <v>2210.15</v>
      </c>
      <c r="I197" s="380">
        <v>11494.00926366006</v>
      </c>
      <c r="J197" s="392">
        <v>145661.79999999999</v>
      </c>
      <c r="K197" s="392">
        <v>74826.42</v>
      </c>
      <c r="L197" s="392">
        <v>-39267.199999999997</v>
      </c>
      <c r="M197" s="392">
        <v>241886.05</v>
      </c>
      <c r="N197" s="331">
        <f t="shared" si="4"/>
        <v>7995161.5092636598</v>
      </c>
      <c r="O197" s="396">
        <v>55232.15</v>
      </c>
      <c r="P197" s="396">
        <v>27481.8</v>
      </c>
      <c r="Q197" s="396">
        <v>180299.4</v>
      </c>
      <c r="R197" s="396">
        <v>6889.27</v>
      </c>
      <c r="S197" s="373">
        <v>146778.15</v>
      </c>
      <c r="T197" s="332">
        <f t="shared" si="5"/>
        <v>8411842.2792636603</v>
      </c>
      <c r="U197" s="446">
        <v>57</v>
      </c>
      <c r="V197" s="10">
        <v>1239</v>
      </c>
      <c r="W197" s="10">
        <v>-44485.760000000002</v>
      </c>
      <c r="X197" s="10">
        <v>0</v>
      </c>
      <c r="Y197" s="10">
        <v>-6182.23</v>
      </c>
      <c r="Z197" s="373">
        <v>0.6</v>
      </c>
      <c r="AA197" s="400"/>
      <c r="AB197" s="400"/>
      <c r="AC197" s="400"/>
      <c r="AD197" s="400"/>
      <c r="AE197" s="400"/>
      <c r="AF197" s="400"/>
    </row>
    <row r="198" spans="1:32" x14ac:dyDescent="0.25">
      <c r="A198" s="338">
        <v>5720</v>
      </c>
      <c r="B198" s="330" t="s">
        <v>236</v>
      </c>
      <c r="C198" s="392">
        <v>3573722.67</v>
      </c>
      <c r="D198" s="392">
        <v>1015483.77</v>
      </c>
      <c r="E198" s="392">
        <v>0</v>
      </c>
      <c r="F198" s="392">
        <v>0</v>
      </c>
      <c r="G198" s="392">
        <v>57887.85</v>
      </c>
      <c r="H198" s="392">
        <v>6555.2</v>
      </c>
      <c r="I198" s="380">
        <v>8271.4297291969815</v>
      </c>
      <c r="J198" s="392">
        <v>574825.85</v>
      </c>
      <c r="K198" s="392">
        <v>37717.85</v>
      </c>
      <c r="L198" s="392">
        <v>0</v>
      </c>
      <c r="M198" s="392">
        <v>267014.95</v>
      </c>
      <c r="N198" s="331">
        <f t="shared" ref="N198:N261" si="6">SUM(C198:M198)</f>
        <v>5541479.5697291959</v>
      </c>
      <c r="O198" s="396">
        <v>12988.35</v>
      </c>
      <c r="P198" s="396">
        <v>0</v>
      </c>
      <c r="Q198" s="396">
        <v>332359.34999999998</v>
      </c>
      <c r="R198" s="396">
        <v>3407.15</v>
      </c>
      <c r="S198" s="373">
        <v>246977.95</v>
      </c>
      <c r="T198" s="332">
        <f t="shared" ref="T198:T261" si="7">SUM(N198:S198)</f>
        <v>6137212.3697291957</v>
      </c>
      <c r="U198" s="446">
        <v>67</v>
      </c>
      <c r="V198" s="10">
        <v>1032</v>
      </c>
      <c r="W198" s="10">
        <v>-44730.07</v>
      </c>
      <c r="X198" s="10">
        <v>0</v>
      </c>
      <c r="Y198" s="10">
        <v>-7872.43</v>
      </c>
      <c r="Z198" s="373">
        <v>0.9</v>
      </c>
      <c r="AA198" s="400"/>
      <c r="AB198" s="400"/>
      <c r="AC198" s="400"/>
      <c r="AD198" s="400"/>
      <c r="AE198" s="400"/>
      <c r="AF198" s="400"/>
    </row>
    <row r="199" spans="1:32" x14ac:dyDescent="0.25">
      <c r="A199" s="338">
        <v>5721</v>
      </c>
      <c r="B199" s="330" t="s">
        <v>237</v>
      </c>
      <c r="C199" s="392">
        <v>26031038.23</v>
      </c>
      <c r="D199" s="392">
        <v>5144385.46</v>
      </c>
      <c r="E199" s="392">
        <v>0</v>
      </c>
      <c r="F199" s="392">
        <v>0</v>
      </c>
      <c r="G199" s="392">
        <v>4439916.8</v>
      </c>
      <c r="H199" s="392">
        <v>406442.95</v>
      </c>
      <c r="I199" s="380">
        <v>622042.62700995128</v>
      </c>
      <c r="J199" s="392">
        <v>1005528.55</v>
      </c>
      <c r="K199" s="392">
        <v>935166.45</v>
      </c>
      <c r="L199" s="392">
        <v>348409</v>
      </c>
      <c r="M199" s="392">
        <v>2792261.2</v>
      </c>
      <c r="N199" s="331">
        <f t="shared" si="6"/>
        <v>41725191.267009959</v>
      </c>
      <c r="O199" s="396">
        <v>1685223</v>
      </c>
      <c r="P199" s="396">
        <v>1667583.1999999993</v>
      </c>
      <c r="Q199" s="396">
        <v>1086692.25</v>
      </c>
      <c r="R199" s="396">
        <v>166904.13</v>
      </c>
      <c r="S199" s="373">
        <v>778082.6</v>
      </c>
      <c r="T199" s="332">
        <f t="shared" si="7"/>
        <v>47109676.447009966</v>
      </c>
      <c r="U199" s="446">
        <v>62.5</v>
      </c>
      <c r="V199" s="10">
        <v>13194</v>
      </c>
      <c r="W199" s="10">
        <v>-741438.48</v>
      </c>
      <c r="X199" s="10">
        <v>0</v>
      </c>
      <c r="Y199" s="10">
        <v>-31504.61</v>
      </c>
      <c r="Z199" s="373">
        <v>1</v>
      </c>
      <c r="AA199" s="400"/>
      <c r="AB199" s="400"/>
      <c r="AC199" s="400"/>
      <c r="AD199" s="400"/>
      <c r="AE199" s="400"/>
      <c r="AF199" s="400"/>
    </row>
    <row r="200" spans="1:32" x14ac:dyDescent="0.25">
      <c r="A200" s="338">
        <v>5722</v>
      </c>
      <c r="B200" s="330" t="s">
        <v>238</v>
      </c>
      <c r="C200" s="392">
        <v>980663.14</v>
      </c>
      <c r="D200" s="392">
        <v>196990.65</v>
      </c>
      <c r="E200" s="392">
        <v>0</v>
      </c>
      <c r="F200" s="392">
        <v>0</v>
      </c>
      <c r="G200" s="392">
        <v>-4127.1000000000004</v>
      </c>
      <c r="H200" s="392">
        <v>1447.55</v>
      </c>
      <c r="I200" s="380">
        <v>0</v>
      </c>
      <c r="J200" s="392">
        <v>0</v>
      </c>
      <c r="K200" s="392">
        <v>-9356.33</v>
      </c>
      <c r="L200" s="392">
        <v>5654</v>
      </c>
      <c r="M200" s="392">
        <v>86104.75</v>
      </c>
      <c r="N200" s="331">
        <f t="shared" si="6"/>
        <v>1257376.6599999999</v>
      </c>
      <c r="O200" s="396">
        <v>14870.05</v>
      </c>
      <c r="P200" s="396">
        <v>0</v>
      </c>
      <c r="Q200" s="396">
        <v>38005</v>
      </c>
      <c r="R200" s="396">
        <v>0</v>
      </c>
      <c r="S200" s="373">
        <v>90937.05</v>
      </c>
      <c r="T200" s="332">
        <f t="shared" si="7"/>
        <v>1401188.76</v>
      </c>
      <c r="U200" s="446">
        <v>62</v>
      </c>
      <c r="V200" s="10">
        <v>383</v>
      </c>
      <c r="W200" s="10">
        <v>-363.9</v>
      </c>
      <c r="X200" s="10">
        <v>0</v>
      </c>
      <c r="Y200" s="10">
        <v>-831.89</v>
      </c>
      <c r="Z200" s="373">
        <v>1</v>
      </c>
      <c r="AA200" s="400"/>
      <c r="AB200" s="400"/>
      <c r="AC200" s="400"/>
      <c r="AD200" s="400"/>
      <c r="AE200" s="400"/>
      <c r="AF200" s="400"/>
    </row>
    <row r="201" spans="1:32" x14ac:dyDescent="0.25">
      <c r="A201" s="338">
        <v>5723</v>
      </c>
      <c r="B201" s="330" t="s">
        <v>239</v>
      </c>
      <c r="C201" s="392">
        <f>23752957.61-19138389.6+2500000</f>
        <v>7114568.0099999979</v>
      </c>
      <c r="D201" s="392">
        <f>4963577.31-3224113.18</f>
        <v>1739464.1299999994</v>
      </c>
      <c r="E201" s="392">
        <v>0</v>
      </c>
      <c r="F201" s="392">
        <v>0</v>
      </c>
      <c r="G201" s="392">
        <v>78553.45</v>
      </c>
      <c r="H201" s="392">
        <v>21369.5</v>
      </c>
      <c r="I201" s="380">
        <v>12825.365330459428</v>
      </c>
      <c r="J201" s="392">
        <v>591373.35</v>
      </c>
      <c r="K201" s="392">
        <v>96222.3</v>
      </c>
      <c r="L201" s="392">
        <v>40930.199999999997</v>
      </c>
      <c r="M201" s="392">
        <v>800321.1</v>
      </c>
      <c r="N201" s="331">
        <f t="shared" si="6"/>
        <v>10495627.405330455</v>
      </c>
      <c r="O201" s="396">
        <v>100227.75</v>
      </c>
      <c r="P201" s="396">
        <v>130922.2</v>
      </c>
      <c r="Q201" s="396">
        <v>369625.9</v>
      </c>
      <c r="R201" s="396">
        <v>11415.21</v>
      </c>
      <c r="S201" s="373">
        <v>545046.69999999995</v>
      </c>
      <c r="T201" s="332">
        <f t="shared" si="7"/>
        <v>11652865.165330455</v>
      </c>
      <c r="U201" s="446">
        <v>53</v>
      </c>
      <c r="V201" s="10">
        <v>2116</v>
      </c>
      <c r="W201" s="10">
        <v>-22965.83</v>
      </c>
      <c r="X201" s="10">
        <v>0</v>
      </c>
      <c r="Y201" s="10">
        <v>-65097.79</v>
      </c>
      <c r="Z201" s="373">
        <v>1</v>
      </c>
      <c r="AA201" s="400"/>
      <c r="AB201" s="400"/>
      <c r="AC201" s="400"/>
      <c r="AD201" s="400"/>
      <c r="AE201" s="400"/>
      <c r="AF201" s="400"/>
    </row>
    <row r="202" spans="1:32" x14ac:dyDescent="0.25">
      <c r="A202" s="338">
        <v>5724</v>
      </c>
      <c r="B202" s="330" t="s">
        <v>69</v>
      </c>
      <c r="C202" s="392">
        <v>54817621.829999998</v>
      </c>
      <c r="D202" s="392">
        <v>10235054.91</v>
      </c>
      <c r="E202" s="392">
        <v>0</v>
      </c>
      <c r="F202" s="392">
        <v>0</v>
      </c>
      <c r="G202" s="392">
        <v>7751705</v>
      </c>
      <c r="H202" s="392">
        <v>571570.5</v>
      </c>
      <c r="I202" s="380">
        <v>1068313.6259844447</v>
      </c>
      <c r="J202" s="392">
        <v>3026565.87</v>
      </c>
      <c r="K202" s="392">
        <v>2950881.6</v>
      </c>
      <c r="L202" s="392">
        <v>795429</v>
      </c>
      <c r="M202" s="392">
        <v>6737909.3499999996</v>
      </c>
      <c r="N202" s="331">
        <f t="shared" si="6"/>
        <v>87955051.685984433</v>
      </c>
      <c r="O202" s="396">
        <v>4882546.7</v>
      </c>
      <c r="P202" s="396">
        <v>2897019.8</v>
      </c>
      <c r="Q202" s="396">
        <v>2653985.7000000002</v>
      </c>
      <c r="R202" s="396">
        <v>120393.85</v>
      </c>
      <c r="S202" s="373">
        <v>2684995.65</v>
      </c>
      <c r="T202" s="332">
        <f t="shared" si="7"/>
        <v>101193993.38598444</v>
      </c>
      <c r="U202" s="446">
        <v>61</v>
      </c>
      <c r="V202" s="10">
        <v>21416</v>
      </c>
      <c r="W202" s="10">
        <v>-832000.88</v>
      </c>
      <c r="X202" s="10">
        <v>0</v>
      </c>
      <c r="Y202" s="10">
        <v>-1186988.81</v>
      </c>
      <c r="Z202" s="373">
        <v>1.3</v>
      </c>
      <c r="AA202" s="400"/>
      <c r="AB202" s="400"/>
      <c r="AC202" s="400"/>
      <c r="AD202" s="400"/>
      <c r="AE202" s="400"/>
      <c r="AF202" s="400"/>
    </row>
    <row r="203" spans="1:32" x14ac:dyDescent="0.25">
      <c r="A203" s="338">
        <v>5725</v>
      </c>
      <c r="B203" s="330" t="s">
        <v>70</v>
      </c>
      <c r="C203" s="392">
        <v>11685207.630000001</v>
      </c>
      <c r="D203" s="392">
        <v>3334645.07</v>
      </c>
      <c r="E203" s="392">
        <v>0</v>
      </c>
      <c r="F203" s="392">
        <v>0</v>
      </c>
      <c r="G203" s="392">
        <v>2347039.35</v>
      </c>
      <c r="H203" s="392">
        <v>38529.699999999997</v>
      </c>
      <c r="I203" s="380">
        <v>306193.86824835569</v>
      </c>
      <c r="J203" s="392">
        <v>245328.09</v>
      </c>
      <c r="K203" s="392">
        <v>177581.08</v>
      </c>
      <c r="L203" s="392">
        <v>71464.7</v>
      </c>
      <c r="M203" s="392">
        <v>1627350.05</v>
      </c>
      <c r="N203" s="331">
        <f t="shared" si="6"/>
        <v>19833339.538248353</v>
      </c>
      <c r="O203" s="396">
        <v>1121038.45</v>
      </c>
      <c r="P203" s="396">
        <v>25642.3</v>
      </c>
      <c r="Q203" s="396">
        <v>1252365.75</v>
      </c>
      <c r="R203" s="396">
        <v>80651.56</v>
      </c>
      <c r="S203" s="373">
        <v>1337206.8999999999</v>
      </c>
      <c r="T203" s="332">
        <f t="shared" si="7"/>
        <v>23650244.49824835</v>
      </c>
      <c r="U203" s="446">
        <v>56</v>
      </c>
      <c r="V203" s="10">
        <v>4088</v>
      </c>
      <c r="W203" s="10">
        <v>-161484.73000000001</v>
      </c>
      <c r="X203" s="10">
        <v>0</v>
      </c>
      <c r="Y203" s="10">
        <v>-93116.76</v>
      </c>
      <c r="Z203" s="373">
        <v>1.4</v>
      </c>
      <c r="AA203" s="400"/>
      <c r="AB203" s="400"/>
      <c r="AC203" s="400"/>
      <c r="AD203" s="400"/>
      <c r="AE203" s="400"/>
      <c r="AF203" s="400"/>
    </row>
    <row r="204" spans="1:32" x14ac:dyDescent="0.25">
      <c r="A204" s="338">
        <v>5726</v>
      </c>
      <c r="B204" s="330" t="s">
        <v>318</v>
      </c>
      <c r="C204" s="392">
        <v>3164431.37</v>
      </c>
      <c r="D204" s="392">
        <v>546525.89</v>
      </c>
      <c r="E204" s="392">
        <v>0</v>
      </c>
      <c r="F204" s="392">
        <v>0</v>
      </c>
      <c r="G204" s="392">
        <v>17116.650000000001</v>
      </c>
      <c r="H204" s="392">
        <v>-3194.1</v>
      </c>
      <c r="I204" s="380">
        <v>1786.994780294096</v>
      </c>
      <c r="J204" s="392">
        <v>0</v>
      </c>
      <c r="K204" s="392">
        <v>21972.47</v>
      </c>
      <c r="L204" s="392">
        <v>5667.15</v>
      </c>
      <c r="M204" s="392">
        <v>257062.25</v>
      </c>
      <c r="N204" s="331">
        <f t="shared" si="6"/>
        <v>4011368.6747802943</v>
      </c>
      <c r="O204" s="396">
        <v>43623.199999999997</v>
      </c>
      <c r="P204" s="396">
        <v>0</v>
      </c>
      <c r="Q204" s="396">
        <v>161739.6</v>
      </c>
      <c r="R204" s="396">
        <v>2222.1999999999998</v>
      </c>
      <c r="S204" s="373">
        <v>78583.399999999994</v>
      </c>
      <c r="T204" s="332">
        <f t="shared" si="7"/>
        <v>4297537.0747802947</v>
      </c>
      <c r="U204" s="446">
        <v>65</v>
      </c>
      <c r="V204" s="10">
        <v>1136</v>
      </c>
      <c r="W204" s="10">
        <v>-21224.69</v>
      </c>
      <c r="X204" s="10">
        <v>0</v>
      </c>
      <c r="Y204" s="10">
        <v>-10530.72</v>
      </c>
      <c r="Z204" s="373">
        <v>1</v>
      </c>
      <c r="AA204" s="400"/>
      <c r="AB204" s="400"/>
      <c r="AC204" s="400"/>
      <c r="AD204" s="400"/>
      <c r="AE204" s="400"/>
      <c r="AF204" s="400"/>
    </row>
    <row r="205" spans="1:32" x14ac:dyDescent="0.25">
      <c r="A205" s="338">
        <v>5727</v>
      </c>
      <c r="B205" s="330" t="s">
        <v>319</v>
      </c>
      <c r="C205" s="392">
        <v>4883872.09</v>
      </c>
      <c r="D205" s="392">
        <v>863274</v>
      </c>
      <c r="E205" s="392">
        <v>0</v>
      </c>
      <c r="F205" s="392">
        <v>0</v>
      </c>
      <c r="G205" s="392">
        <v>58006.35</v>
      </c>
      <c r="H205" s="392">
        <v>4098.7</v>
      </c>
      <c r="I205" s="380">
        <v>7971.3414697669496</v>
      </c>
      <c r="J205" s="392">
        <v>116097.25</v>
      </c>
      <c r="K205" s="392">
        <v>91225.66</v>
      </c>
      <c r="L205" s="392">
        <v>10059.15</v>
      </c>
      <c r="M205" s="392">
        <v>766898.5</v>
      </c>
      <c r="N205" s="331">
        <f t="shared" si="6"/>
        <v>6801503.0414697668</v>
      </c>
      <c r="O205" s="396">
        <v>158797.79999999999</v>
      </c>
      <c r="P205" s="396">
        <v>25357.7</v>
      </c>
      <c r="Q205" s="396">
        <v>443308.5</v>
      </c>
      <c r="R205" s="396">
        <v>28318.5</v>
      </c>
      <c r="S205" s="373">
        <v>179725.75</v>
      </c>
      <c r="T205" s="332">
        <f t="shared" si="7"/>
        <v>7637011.2914697668</v>
      </c>
      <c r="U205" s="446">
        <v>66</v>
      </c>
      <c r="V205" s="10">
        <v>2603</v>
      </c>
      <c r="W205" s="10">
        <v>-234703.66</v>
      </c>
      <c r="X205" s="10">
        <v>0</v>
      </c>
      <c r="Y205" s="10">
        <v>-1303.1099999999999</v>
      </c>
      <c r="Z205" s="373">
        <v>1.5</v>
      </c>
      <c r="AA205" s="400"/>
      <c r="AB205" s="400"/>
      <c r="AC205" s="400"/>
      <c r="AD205" s="400"/>
      <c r="AE205" s="400"/>
      <c r="AF205" s="400"/>
    </row>
    <row r="206" spans="1:32" x14ac:dyDescent="0.25">
      <c r="A206" s="338">
        <v>5728</v>
      </c>
      <c r="B206" s="330" t="s">
        <v>320</v>
      </c>
      <c r="C206" s="392">
        <v>1356845.01</v>
      </c>
      <c r="D206" s="392">
        <v>272853.89</v>
      </c>
      <c r="E206" s="392">
        <v>0</v>
      </c>
      <c r="F206" s="392">
        <v>0</v>
      </c>
      <c r="G206" s="392">
        <v>458711.35</v>
      </c>
      <c r="H206" s="392">
        <v>9265.85</v>
      </c>
      <c r="I206" s="380">
        <v>60066.066467467965</v>
      </c>
      <c r="J206" s="392">
        <v>28169.15</v>
      </c>
      <c r="K206" s="392">
        <v>66834.240000000005</v>
      </c>
      <c r="L206" s="392">
        <v>50858.95</v>
      </c>
      <c r="M206" s="392">
        <v>218789.9</v>
      </c>
      <c r="N206" s="331">
        <f t="shared" si="6"/>
        <v>2522394.4064674685</v>
      </c>
      <c r="O206" s="396">
        <v>207284.05</v>
      </c>
      <c r="P206" s="396">
        <v>0</v>
      </c>
      <c r="Q206" s="396">
        <v>53415.6</v>
      </c>
      <c r="R206" s="396">
        <v>2879.79</v>
      </c>
      <c r="S206" s="373">
        <v>36772.9</v>
      </c>
      <c r="T206" s="332">
        <f t="shared" si="7"/>
        <v>2822746.7464674683</v>
      </c>
      <c r="U206" s="446">
        <v>58</v>
      </c>
      <c r="V206" s="10">
        <v>586</v>
      </c>
      <c r="W206" s="10">
        <v>-4838.91</v>
      </c>
      <c r="X206" s="10">
        <v>0</v>
      </c>
      <c r="Y206" s="10">
        <v>-1784.33</v>
      </c>
      <c r="Z206" s="373">
        <v>1</v>
      </c>
      <c r="AA206" s="400"/>
      <c r="AB206" s="400"/>
      <c r="AC206" s="400"/>
      <c r="AD206" s="400"/>
      <c r="AE206" s="400"/>
      <c r="AF206" s="400"/>
    </row>
    <row r="207" spans="1:32" x14ac:dyDescent="0.25">
      <c r="A207" s="338">
        <v>5729</v>
      </c>
      <c r="B207" s="330" t="s">
        <v>321</v>
      </c>
      <c r="C207" s="392">
        <v>7463659.0599999996</v>
      </c>
      <c r="D207" s="392">
        <v>2118485.7799999998</v>
      </c>
      <c r="E207" s="392">
        <v>0</v>
      </c>
      <c r="F207" s="392">
        <v>0</v>
      </c>
      <c r="G207" s="392">
        <v>462214.45</v>
      </c>
      <c r="H207" s="392">
        <v>16134.85</v>
      </c>
      <c r="I207" s="380">
        <v>61397.351940365414</v>
      </c>
      <c r="J207" s="392">
        <v>145551.9</v>
      </c>
      <c r="K207" s="392">
        <v>37140.22</v>
      </c>
      <c r="L207" s="392">
        <v>4914.5</v>
      </c>
      <c r="M207" s="392">
        <v>831588.7</v>
      </c>
      <c r="N207" s="331">
        <f t="shared" si="6"/>
        <v>11141086.811940365</v>
      </c>
      <c r="O207" s="396">
        <v>8148.6</v>
      </c>
      <c r="P207" s="396">
        <v>12157</v>
      </c>
      <c r="Q207" s="396">
        <v>560232.55000000005</v>
      </c>
      <c r="R207" s="396">
        <v>1404.43</v>
      </c>
      <c r="S207" s="373">
        <v>377963.25</v>
      </c>
      <c r="T207" s="332">
        <f t="shared" si="7"/>
        <v>12100992.641940365</v>
      </c>
      <c r="U207" s="446">
        <v>61</v>
      </c>
      <c r="V207" s="10">
        <v>1600</v>
      </c>
      <c r="W207" s="10">
        <v>-55924.56</v>
      </c>
      <c r="X207" s="10">
        <v>0</v>
      </c>
      <c r="Y207" s="10">
        <v>-25477.88</v>
      </c>
      <c r="Z207" s="373">
        <v>1.5</v>
      </c>
      <c r="AA207" s="400"/>
      <c r="AB207" s="400"/>
      <c r="AC207" s="400"/>
      <c r="AD207" s="400"/>
      <c r="AE207" s="400"/>
      <c r="AF207" s="400"/>
    </row>
    <row r="208" spans="1:32" x14ac:dyDescent="0.25">
      <c r="A208" s="338">
        <v>5730</v>
      </c>
      <c r="B208" s="330" t="s">
        <v>322</v>
      </c>
      <c r="C208" s="392">
        <v>5610615.1100000003</v>
      </c>
      <c r="D208" s="392">
        <v>1641875.69</v>
      </c>
      <c r="E208" s="392">
        <v>0</v>
      </c>
      <c r="F208" s="392">
        <v>0</v>
      </c>
      <c r="G208" s="392">
        <v>19311.45</v>
      </c>
      <c r="H208" s="392">
        <v>2170.35</v>
      </c>
      <c r="I208" s="380">
        <v>2757.2437858956664</v>
      </c>
      <c r="J208" s="392">
        <v>68556.05</v>
      </c>
      <c r="K208" s="392">
        <v>49267.199999999997</v>
      </c>
      <c r="L208" s="392">
        <v>5000.7</v>
      </c>
      <c r="M208" s="392">
        <v>377384.8</v>
      </c>
      <c r="N208" s="331">
        <f t="shared" si="6"/>
        <v>7776938.593785896</v>
      </c>
      <c r="O208" s="396">
        <v>9246.0499999999993</v>
      </c>
      <c r="P208" s="396">
        <v>221.9</v>
      </c>
      <c r="Q208" s="396">
        <v>315881.5</v>
      </c>
      <c r="R208" s="396">
        <v>42579.76</v>
      </c>
      <c r="S208" s="373">
        <v>204150</v>
      </c>
      <c r="T208" s="332">
        <f t="shared" si="7"/>
        <v>8349017.8037858959</v>
      </c>
      <c r="U208" s="446">
        <v>57</v>
      </c>
      <c r="V208" s="10">
        <v>1434</v>
      </c>
      <c r="W208" s="10">
        <v>-100825.03</v>
      </c>
      <c r="X208" s="10">
        <v>0</v>
      </c>
      <c r="Y208" s="10">
        <v>-100409.53</v>
      </c>
      <c r="Z208" s="373">
        <v>0.9</v>
      </c>
      <c r="AA208" s="400"/>
      <c r="AB208" s="400"/>
      <c r="AC208" s="400"/>
      <c r="AD208" s="400"/>
      <c r="AE208" s="400"/>
      <c r="AF208" s="400"/>
    </row>
    <row r="209" spans="1:32" x14ac:dyDescent="0.25">
      <c r="A209" s="338">
        <v>5731</v>
      </c>
      <c r="B209" s="330" t="s">
        <v>323</v>
      </c>
      <c r="C209" s="392">
        <v>3883515.86</v>
      </c>
      <c r="D209" s="392">
        <v>479491.16</v>
      </c>
      <c r="E209" s="392">
        <v>0</v>
      </c>
      <c r="F209" s="392">
        <v>0</v>
      </c>
      <c r="G209" s="392">
        <v>28157.45</v>
      </c>
      <c r="H209" s="392">
        <v>821.1</v>
      </c>
      <c r="I209" s="380">
        <v>3719.4707571882641</v>
      </c>
      <c r="J209" s="392">
        <v>0</v>
      </c>
      <c r="K209" s="392">
        <v>44706.05</v>
      </c>
      <c r="L209" s="392">
        <v>4190.5</v>
      </c>
      <c r="M209" s="392">
        <v>395665.8</v>
      </c>
      <c r="N209" s="331">
        <f t="shared" si="6"/>
        <v>4840267.3907571873</v>
      </c>
      <c r="O209" s="396">
        <v>36501.300000000003</v>
      </c>
      <c r="P209" s="396">
        <v>426957.4</v>
      </c>
      <c r="Q209" s="396">
        <v>170662.15</v>
      </c>
      <c r="R209" s="396">
        <v>3324.37</v>
      </c>
      <c r="S209" s="373">
        <v>122454.25</v>
      </c>
      <c r="T209" s="332">
        <f t="shared" si="7"/>
        <v>5600166.8607571879</v>
      </c>
      <c r="U209" s="446">
        <v>75</v>
      </c>
      <c r="V209" s="10">
        <v>1362</v>
      </c>
      <c r="W209" s="10">
        <v>-64816.57</v>
      </c>
      <c r="X209" s="10">
        <v>0</v>
      </c>
      <c r="Y209" s="10">
        <v>-528.07000000000005</v>
      </c>
      <c r="Z209" s="373">
        <v>1.5</v>
      </c>
      <c r="AA209" s="400"/>
      <c r="AB209" s="400"/>
      <c r="AC209" s="400"/>
      <c r="AD209" s="400"/>
      <c r="AE209" s="400"/>
      <c r="AF209" s="400"/>
    </row>
    <row r="210" spans="1:32" x14ac:dyDescent="0.25">
      <c r="A210" s="338">
        <v>5732</v>
      </c>
      <c r="B210" s="330" t="s">
        <v>324</v>
      </c>
      <c r="C210" s="392">
        <v>2888646.88</v>
      </c>
      <c r="D210" s="392">
        <v>673684.44</v>
      </c>
      <c r="E210" s="392">
        <v>0</v>
      </c>
      <c r="F210" s="392">
        <v>0</v>
      </c>
      <c r="G210" s="392">
        <v>-186526.5</v>
      </c>
      <c r="H210" s="392">
        <v>25350.9</v>
      </c>
      <c r="I210" s="380">
        <v>0</v>
      </c>
      <c r="J210" s="392">
        <v>392553.95</v>
      </c>
      <c r="K210" s="392">
        <v>55985.18</v>
      </c>
      <c r="L210" s="392">
        <v>15660.35</v>
      </c>
      <c r="M210" s="392">
        <v>365980.3</v>
      </c>
      <c r="N210" s="331">
        <f t="shared" si="6"/>
        <v>4231335.5</v>
      </c>
      <c r="O210" s="396">
        <v>81769.7</v>
      </c>
      <c r="P210" s="396">
        <v>0</v>
      </c>
      <c r="Q210" s="396">
        <v>71467</v>
      </c>
      <c r="R210" s="396">
        <v>3748.62</v>
      </c>
      <c r="S210" s="373">
        <v>293405.75</v>
      </c>
      <c r="T210" s="332">
        <f t="shared" si="7"/>
        <v>4681726.57</v>
      </c>
      <c r="U210" s="446">
        <v>66</v>
      </c>
      <c r="V210" s="10">
        <v>1083</v>
      </c>
      <c r="W210" s="10">
        <v>-96968.61</v>
      </c>
      <c r="X210" s="10">
        <v>0</v>
      </c>
      <c r="Y210" s="10">
        <v>-7152.81</v>
      </c>
      <c r="Z210" s="373">
        <v>1</v>
      </c>
      <c r="AA210" s="400"/>
      <c r="AB210" s="400"/>
      <c r="AC210" s="400"/>
      <c r="AD210" s="400"/>
      <c r="AE210" s="400"/>
      <c r="AF210" s="400"/>
    </row>
    <row r="211" spans="1:32" x14ac:dyDescent="0.25">
      <c r="A211" s="338">
        <v>5741</v>
      </c>
      <c r="B211" s="330" t="s">
        <v>325</v>
      </c>
      <c r="C211" s="392">
        <v>487738.69</v>
      </c>
      <c r="D211" s="392">
        <v>48683.56</v>
      </c>
      <c r="E211" s="392">
        <v>0</v>
      </c>
      <c r="F211" s="392">
        <v>1480</v>
      </c>
      <c r="G211" s="392">
        <v>6294.45</v>
      </c>
      <c r="H211" s="392">
        <v>103.45</v>
      </c>
      <c r="I211" s="380">
        <v>821.18677288597235</v>
      </c>
      <c r="J211" s="392">
        <v>0</v>
      </c>
      <c r="K211" s="392">
        <v>2049.08</v>
      </c>
      <c r="L211" s="392">
        <v>0</v>
      </c>
      <c r="M211" s="392">
        <v>46308</v>
      </c>
      <c r="N211" s="331">
        <f t="shared" si="6"/>
        <v>593478.41677288583</v>
      </c>
      <c r="O211" s="396">
        <v>21051.95</v>
      </c>
      <c r="P211" s="396">
        <v>0</v>
      </c>
      <c r="Q211" s="396">
        <v>17160</v>
      </c>
      <c r="R211" s="396">
        <v>0</v>
      </c>
      <c r="S211" s="373">
        <v>17949.900000000001</v>
      </c>
      <c r="T211" s="332">
        <f t="shared" si="7"/>
        <v>649640.26677288581</v>
      </c>
      <c r="U211" s="446">
        <v>81</v>
      </c>
      <c r="V211" s="10">
        <v>244</v>
      </c>
      <c r="W211" s="10">
        <v>-7718</v>
      </c>
      <c r="X211" s="10">
        <v>0</v>
      </c>
      <c r="Y211" s="10">
        <v>-7.0000000000000007E-2</v>
      </c>
      <c r="Z211" s="373">
        <v>1.2</v>
      </c>
      <c r="AA211" s="400"/>
      <c r="AB211" s="400"/>
      <c r="AC211" s="400"/>
      <c r="AD211" s="400"/>
      <c r="AE211" s="400"/>
      <c r="AF211" s="400"/>
    </row>
    <row r="212" spans="1:32" x14ac:dyDescent="0.25">
      <c r="A212" s="338">
        <v>5742</v>
      </c>
      <c r="B212" s="330" t="s">
        <v>326</v>
      </c>
      <c r="C212" s="392">
        <v>536970.76</v>
      </c>
      <c r="D212" s="392">
        <v>71947.41</v>
      </c>
      <c r="E212" s="392">
        <v>0</v>
      </c>
      <c r="F212" s="392">
        <v>0</v>
      </c>
      <c r="G212" s="392">
        <v>7779.1</v>
      </c>
      <c r="H212" s="392">
        <v>529.85</v>
      </c>
      <c r="I212" s="380">
        <v>1066.4749115445538</v>
      </c>
      <c r="J212" s="392">
        <v>0</v>
      </c>
      <c r="K212" s="392">
        <v>31129.64</v>
      </c>
      <c r="L212" s="392">
        <v>798.3</v>
      </c>
      <c r="M212" s="392">
        <v>26167.3</v>
      </c>
      <c r="N212" s="331">
        <f t="shared" si="6"/>
        <v>676388.83491154469</v>
      </c>
      <c r="O212" s="396">
        <v>0</v>
      </c>
      <c r="P212" s="396">
        <v>0</v>
      </c>
      <c r="Q212" s="396">
        <v>49908.25</v>
      </c>
      <c r="R212" s="396">
        <v>0</v>
      </c>
      <c r="S212" s="373">
        <v>17004.599999999999</v>
      </c>
      <c r="T212" s="332">
        <f t="shared" si="7"/>
        <v>743301.68491154467</v>
      </c>
      <c r="U212" s="446">
        <v>76</v>
      </c>
      <c r="V212" s="10">
        <v>354</v>
      </c>
      <c r="W212" s="10">
        <v>-17619.240000000002</v>
      </c>
      <c r="X212" s="10">
        <v>0</v>
      </c>
      <c r="Y212" s="10">
        <v>0</v>
      </c>
      <c r="Z212" s="373">
        <v>0.5</v>
      </c>
      <c r="AA212" s="400"/>
      <c r="AB212" s="400"/>
      <c r="AC212" s="400"/>
      <c r="AD212" s="400"/>
      <c r="AE212" s="400"/>
      <c r="AF212" s="400"/>
    </row>
    <row r="213" spans="1:32" x14ac:dyDescent="0.25">
      <c r="A213" s="338">
        <v>5743</v>
      </c>
      <c r="B213" s="330" t="s">
        <v>264</v>
      </c>
      <c r="C213" s="392">
        <v>1161361.73</v>
      </c>
      <c r="D213" s="392">
        <v>131605.74</v>
      </c>
      <c r="E213" s="392">
        <v>0</v>
      </c>
      <c r="F213" s="392">
        <v>0</v>
      </c>
      <c r="G213" s="392">
        <v>4725.5</v>
      </c>
      <c r="H213" s="392">
        <v>692.1</v>
      </c>
      <c r="I213" s="380">
        <v>695.3627691566054</v>
      </c>
      <c r="J213" s="392">
        <v>0</v>
      </c>
      <c r="K213" s="392">
        <v>3711.66</v>
      </c>
      <c r="L213" s="392">
        <v>0</v>
      </c>
      <c r="M213" s="392">
        <v>68536.05</v>
      </c>
      <c r="N213" s="331">
        <f t="shared" si="6"/>
        <v>1371328.1427691567</v>
      </c>
      <c r="O213" s="396">
        <v>28664.35</v>
      </c>
      <c r="P213" s="396">
        <v>143911.6</v>
      </c>
      <c r="Q213" s="396">
        <v>31227.9</v>
      </c>
      <c r="R213" s="396">
        <v>2130.6999999999998</v>
      </c>
      <c r="S213" s="373">
        <v>25402.85</v>
      </c>
      <c r="T213" s="332">
        <f t="shared" si="7"/>
        <v>1602665.5427691569</v>
      </c>
      <c r="U213" s="446">
        <v>73</v>
      </c>
      <c r="V213" s="10">
        <v>633</v>
      </c>
      <c r="W213" s="10">
        <v>-4378.76</v>
      </c>
      <c r="X213" s="10">
        <v>0</v>
      </c>
      <c r="Y213" s="10">
        <v>-284.19</v>
      </c>
      <c r="Z213" s="373">
        <v>0.8</v>
      </c>
      <c r="AA213" s="400"/>
      <c r="AB213" s="400"/>
      <c r="AC213" s="400"/>
      <c r="AD213" s="400"/>
      <c r="AE213" s="400"/>
      <c r="AF213" s="400"/>
    </row>
    <row r="214" spans="1:32" x14ac:dyDescent="0.25">
      <c r="A214" s="338">
        <v>5744</v>
      </c>
      <c r="B214" s="330" t="s">
        <v>265</v>
      </c>
      <c r="C214" s="392">
        <v>1343549.76</v>
      </c>
      <c r="D214" s="392">
        <v>174272.5</v>
      </c>
      <c r="E214" s="392">
        <v>0</v>
      </c>
      <c r="F214" s="392">
        <v>6290</v>
      </c>
      <c r="G214" s="392">
        <v>1930294.1</v>
      </c>
      <c r="H214" s="392">
        <v>20931.599999999999</v>
      </c>
      <c r="I214" s="380">
        <v>250444.79215917294</v>
      </c>
      <c r="J214" s="392">
        <v>0</v>
      </c>
      <c r="K214" s="392">
        <v>76190.789999999994</v>
      </c>
      <c r="L214" s="392">
        <v>0</v>
      </c>
      <c r="M214" s="392">
        <v>173957.15</v>
      </c>
      <c r="N214" s="331">
        <f t="shared" si="6"/>
        <v>3975930.6921591735</v>
      </c>
      <c r="O214" s="396">
        <v>1627852.05</v>
      </c>
      <c r="P214" s="396">
        <v>57070.8</v>
      </c>
      <c r="Q214" s="396">
        <v>60399.9</v>
      </c>
      <c r="R214" s="396">
        <v>9578.92</v>
      </c>
      <c r="S214" s="373">
        <v>25503.8</v>
      </c>
      <c r="T214" s="332">
        <f t="shared" si="7"/>
        <v>5756336.1621591737</v>
      </c>
      <c r="U214" s="446">
        <v>66</v>
      </c>
      <c r="V214" s="10">
        <v>1108</v>
      </c>
      <c r="W214" s="10">
        <v>-33141.129999999997</v>
      </c>
      <c r="X214" s="10">
        <v>0</v>
      </c>
      <c r="Y214" s="10">
        <v>-2056.0500000000002</v>
      </c>
      <c r="Z214" s="373">
        <v>1</v>
      </c>
      <c r="AA214" s="400"/>
      <c r="AB214" s="400"/>
      <c r="AC214" s="400"/>
      <c r="AD214" s="400"/>
      <c r="AE214" s="400"/>
      <c r="AF214" s="400"/>
    </row>
    <row r="215" spans="1:32" x14ac:dyDescent="0.25">
      <c r="A215" s="338">
        <v>5745</v>
      </c>
      <c r="B215" s="330" t="s">
        <v>266</v>
      </c>
      <c r="C215" s="392">
        <v>1718959.87</v>
      </c>
      <c r="D215" s="392">
        <v>212759.87</v>
      </c>
      <c r="E215" s="392">
        <v>0</v>
      </c>
      <c r="F215" s="392">
        <v>0</v>
      </c>
      <c r="G215" s="392">
        <v>73772.7</v>
      </c>
      <c r="H215" s="392">
        <v>1089.8499999999999</v>
      </c>
      <c r="I215" s="380">
        <v>9608.7991129143575</v>
      </c>
      <c r="J215" s="392">
        <v>0</v>
      </c>
      <c r="K215" s="392">
        <v>27582.799999999999</v>
      </c>
      <c r="L215" s="392">
        <v>0</v>
      </c>
      <c r="M215" s="392">
        <v>131546.1</v>
      </c>
      <c r="N215" s="331">
        <f t="shared" si="6"/>
        <v>2175319.9891129145</v>
      </c>
      <c r="O215" s="396">
        <v>185403.2</v>
      </c>
      <c r="P215" s="396">
        <v>0</v>
      </c>
      <c r="Q215" s="396">
        <v>65257.65</v>
      </c>
      <c r="R215" s="396">
        <v>16897.87</v>
      </c>
      <c r="S215" s="373">
        <v>53988.15</v>
      </c>
      <c r="T215" s="332">
        <f t="shared" si="7"/>
        <v>2496866.8591129147</v>
      </c>
      <c r="U215" s="446">
        <v>78</v>
      </c>
      <c r="V215" s="10">
        <v>1042</v>
      </c>
      <c r="W215" s="10">
        <v>-32505.78</v>
      </c>
      <c r="X215" s="10">
        <v>0</v>
      </c>
      <c r="Y215" s="10">
        <v>-14.75</v>
      </c>
      <c r="Z215" s="373">
        <v>1</v>
      </c>
      <c r="AA215" s="400"/>
      <c r="AB215" s="400"/>
      <c r="AC215" s="400"/>
      <c r="AD215" s="400"/>
      <c r="AE215" s="400"/>
      <c r="AF215" s="400"/>
    </row>
    <row r="216" spans="1:32" x14ac:dyDescent="0.25">
      <c r="A216" s="338">
        <v>5746</v>
      </c>
      <c r="B216" s="330" t="s">
        <v>267</v>
      </c>
      <c r="C216" s="392">
        <v>1543172.72</v>
      </c>
      <c r="D216" s="392">
        <v>156369.78</v>
      </c>
      <c r="E216" s="392">
        <v>0</v>
      </c>
      <c r="F216" s="392">
        <v>0</v>
      </c>
      <c r="G216" s="392">
        <v>33164.6</v>
      </c>
      <c r="H216" s="392">
        <v>1462.85</v>
      </c>
      <c r="I216" s="380">
        <v>4444.5214709155143</v>
      </c>
      <c r="J216" s="392">
        <v>0</v>
      </c>
      <c r="K216" s="392">
        <v>26732.77</v>
      </c>
      <c r="L216" s="392">
        <v>0</v>
      </c>
      <c r="M216" s="392">
        <v>211320.5</v>
      </c>
      <c r="N216" s="331">
        <f t="shared" si="6"/>
        <v>1976667.7414709157</v>
      </c>
      <c r="O216" s="396">
        <v>21961.55</v>
      </c>
      <c r="P216" s="396">
        <v>18580</v>
      </c>
      <c r="Q216" s="396">
        <v>161482.9</v>
      </c>
      <c r="R216" s="396">
        <v>26529.05</v>
      </c>
      <c r="S216" s="373">
        <v>16487.599999999999</v>
      </c>
      <c r="T216" s="332">
        <f t="shared" si="7"/>
        <v>2221708.8414709158</v>
      </c>
      <c r="U216" s="446">
        <v>73</v>
      </c>
      <c r="V216" s="10">
        <v>952</v>
      </c>
      <c r="W216" s="10">
        <v>-54535.56</v>
      </c>
      <c r="X216" s="10">
        <v>0</v>
      </c>
      <c r="Y216" s="10">
        <v>-106.41</v>
      </c>
      <c r="Z216" s="373">
        <v>1.2</v>
      </c>
      <c r="AA216" s="400"/>
      <c r="AB216" s="400"/>
      <c r="AC216" s="400"/>
      <c r="AD216" s="400"/>
      <c r="AE216" s="400"/>
      <c r="AF216" s="400"/>
    </row>
    <row r="217" spans="1:32" x14ac:dyDescent="0.25">
      <c r="A217" s="338">
        <v>5747</v>
      </c>
      <c r="B217" s="330" t="s">
        <v>268</v>
      </c>
      <c r="C217" s="392">
        <v>317367.28000000003</v>
      </c>
      <c r="D217" s="392">
        <v>43732.97</v>
      </c>
      <c r="E217" s="392">
        <v>0</v>
      </c>
      <c r="F217" s="392">
        <v>0</v>
      </c>
      <c r="G217" s="392">
        <v>8019.85</v>
      </c>
      <c r="H217" s="392">
        <v>175.5</v>
      </c>
      <c r="I217" s="380">
        <v>1051.894061984566</v>
      </c>
      <c r="J217" s="392">
        <v>0</v>
      </c>
      <c r="K217" s="392">
        <v>6565.94</v>
      </c>
      <c r="L217" s="392">
        <v>0</v>
      </c>
      <c r="M217" s="392">
        <v>31648.6</v>
      </c>
      <c r="N217" s="331">
        <f t="shared" si="6"/>
        <v>408562.03406198451</v>
      </c>
      <c r="O217" s="396">
        <v>0</v>
      </c>
      <c r="P217" s="396">
        <v>0</v>
      </c>
      <c r="Q217" s="396">
        <v>12906.35</v>
      </c>
      <c r="R217" s="396">
        <v>334.1</v>
      </c>
      <c r="S217" s="373">
        <v>1265.0999999999999</v>
      </c>
      <c r="T217" s="332">
        <f t="shared" si="7"/>
        <v>423067.58406198444</v>
      </c>
      <c r="U217" s="446">
        <v>69</v>
      </c>
      <c r="V217" s="10">
        <v>194</v>
      </c>
      <c r="W217" s="10">
        <v>-498.38</v>
      </c>
      <c r="X217" s="10">
        <v>0</v>
      </c>
      <c r="Y217" s="10">
        <v>0</v>
      </c>
      <c r="Z217" s="373">
        <v>1</v>
      </c>
      <c r="AA217" s="400"/>
      <c r="AB217" s="400"/>
      <c r="AC217" s="400"/>
      <c r="AD217" s="400"/>
      <c r="AE217" s="400"/>
      <c r="AF217" s="400"/>
    </row>
    <row r="218" spans="1:32" x14ac:dyDescent="0.25">
      <c r="A218" s="338">
        <v>5748</v>
      </c>
      <c r="B218" s="330" t="s">
        <v>269</v>
      </c>
      <c r="C218" s="392">
        <v>439427.88</v>
      </c>
      <c r="D218" s="392">
        <v>50333.39</v>
      </c>
      <c r="E218" s="392">
        <v>0</v>
      </c>
      <c r="F218" s="392">
        <v>2080</v>
      </c>
      <c r="G218" s="392">
        <v>384.75</v>
      </c>
      <c r="H218" s="392">
        <v>75.75</v>
      </c>
      <c r="I218" s="380">
        <v>59.106348788507212</v>
      </c>
      <c r="J218" s="392">
        <v>0</v>
      </c>
      <c r="K218" s="392">
        <v>-704.07</v>
      </c>
      <c r="L218" s="392">
        <v>0</v>
      </c>
      <c r="M218" s="392">
        <v>21910.15</v>
      </c>
      <c r="N218" s="331">
        <f t="shared" si="6"/>
        <v>513566.95634878852</v>
      </c>
      <c r="O218" s="396">
        <v>3153.95</v>
      </c>
      <c r="P218" s="396">
        <v>0</v>
      </c>
      <c r="Q218" s="396">
        <v>21835</v>
      </c>
      <c r="R218" s="396">
        <v>20981.279999999999</v>
      </c>
      <c r="S218" s="373">
        <v>8822</v>
      </c>
      <c r="T218" s="332">
        <f t="shared" si="7"/>
        <v>568359.18634878856</v>
      </c>
      <c r="U218" s="446">
        <v>72</v>
      </c>
      <c r="V218" s="10">
        <v>269</v>
      </c>
      <c r="W218" s="10">
        <v>-22846.58</v>
      </c>
      <c r="X218" s="10">
        <v>0</v>
      </c>
      <c r="Y218" s="10">
        <v>0</v>
      </c>
      <c r="Z218" s="373">
        <v>0.6</v>
      </c>
      <c r="AA218" s="400"/>
      <c r="AB218" s="400"/>
      <c r="AC218" s="400"/>
      <c r="AD218" s="400"/>
      <c r="AE218" s="400"/>
      <c r="AF218" s="400"/>
    </row>
    <row r="219" spans="1:32" x14ac:dyDescent="0.25">
      <c r="A219" s="338">
        <v>5749</v>
      </c>
      <c r="B219" s="330" t="s">
        <v>270</v>
      </c>
      <c r="C219" s="392">
        <v>7710798.29</v>
      </c>
      <c r="D219" s="392">
        <v>778923.23</v>
      </c>
      <c r="E219" s="392">
        <v>0</v>
      </c>
      <c r="F219" s="392">
        <v>0</v>
      </c>
      <c r="G219" s="392">
        <v>168704.7</v>
      </c>
      <c r="H219" s="392">
        <v>28639.4</v>
      </c>
      <c r="I219" s="380">
        <v>25329.618253971872</v>
      </c>
      <c r="J219" s="392">
        <v>-53462.9</v>
      </c>
      <c r="K219" s="392">
        <v>197893</v>
      </c>
      <c r="L219" s="392">
        <v>73983.199999999997</v>
      </c>
      <c r="M219" s="392">
        <v>819167.95</v>
      </c>
      <c r="N219" s="331">
        <f t="shared" si="6"/>
        <v>9749976.4882539697</v>
      </c>
      <c r="O219" s="396">
        <v>582192.94999999995</v>
      </c>
      <c r="P219" s="396">
        <v>255643.9</v>
      </c>
      <c r="Q219" s="396">
        <v>396785.65</v>
      </c>
      <c r="R219" s="396">
        <v>49747.63</v>
      </c>
      <c r="S219" s="373">
        <v>226660.5</v>
      </c>
      <c r="T219" s="332">
        <f t="shared" si="7"/>
        <v>11261007.118253971</v>
      </c>
      <c r="U219" s="446">
        <v>72</v>
      </c>
      <c r="V219" s="10">
        <v>5135</v>
      </c>
      <c r="W219" s="10">
        <v>-262098.52</v>
      </c>
      <c r="X219" s="10">
        <v>0</v>
      </c>
      <c r="Y219" s="10">
        <v>-2137.56</v>
      </c>
      <c r="Z219" s="373">
        <v>1</v>
      </c>
      <c r="AA219" s="400"/>
      <c r="AB219" s="400"/>
      <c r="AC219" s="400"/>
      <c r="AD219" s="400"/>
      <c r="AE219" s="400"/>
      <c r="AF219" s="400"/>
    </row>
    <row r="220" spans="1:32" x14ac:dyDescent="0.25">
      <c r="A220" s="338">
        <v>5750</v>
      </c>
      <c r="B220" s="330" t="s">
        <v>271</v>
      </c>
      <c r="C220" s="392">
        <v>338295.71</v>
      </c>
      <c r="D220" s="392">
        <v>33464.83</v>
      </c>
      <c r="E220" s="392">
        <v>0</v>
      </c>
      <c r="F220" s="392">
        <v>1090</v>
      </c>
      <c r="G220" s="392">
        <v>10.9000000000001</v>
      </c>
      <c r="H220" s="392">
        <v>11.5</v>
      </c>
      <c r="I220" s="380">
        <v>2.8750970963356517</v>
      </c>
      <c r="J220" s="392">
        <v>0</v>
      </c>
      <c r="K220" s="392">
        <v>11155.51</v>
      </c>
      <c r="L220" s="392">
        <v>229.5</v>
      </c>
      <c r="M220" s="392">
        <v>13295.8</v>
      </c>
      <c r="N220" s="331">
        <f t="shared" si="6"/>
        <v>397556.62509709637</v>
      </c>
      <c r="O220" s="396">
        <v>9385.1</v>
      </c>
      <c r="P220" s="396">
        <v>0</v>
      </c>
      <c r="Q220" s="396">
        <v>1837</v>
      </c>
      <c r="R220" s="396">
        <v>6.8</v>
      </c>
      <c r="S220" s="373">
        <v>0</v>
      </c>
      <c r="T220" s="332">
        <f t="shared" si="7"/>
        <v>408785.52509709634</v>
      </c>
      <c r="U220" s="446">
        <v>80</v>
      </c>
      <c r="V220" s="10">
        <v>185</v>
      </c>
      <c r="W220" s="10">
        <v>-2778.65</v>
      </c>
      <c r="X220" s="10">
        <v>0</v>
      </c>
      <c r="Y220" s="10">
        <v>0</v>
      </c>
      <c r="Z220" s="373">
        <v>0.6</v>
      </c>
      <c r="AA220" s="400"/>
      <c r="AB220" s="400"/>
      <c r="AC220" s="400"/>
      <c r="AD220" s="400"/>
      <c r="AE220" s="400"/>
      <c r="AF220" s="400"/>
    </row>
    <row r="221" spans="1:32" x14ac:dyDescent="0.25">
      <c r="A221" s="338">
        <v>5752</v>
      </c>
      <c r="B221" s="330" t="s">
        <v>331</v>
      </c>
      <c r="C221" s="392">
        <v>581022.15</v>
      </c>
      <c r="D221" s="392">
        <v>84583.17</v>
      </c>
      <c r="E221" s="392">
        <v>0</v>
      </c>
      <c r="F221" s="392">
        <v>0</v>
      </c>
      <c r="G221" s="392">
        <v>282.2</v>
      </c>
      <c r="H221" s="392">
        <v>812.65</v>
      </c>
      <c r="I221" s="380">
        <v>140.52678821085152</v>
      </c>
      <c r="J221" s="392">
        <v>0</v>
      </c>
      <c r="K221" s="392">
        <v>15676.71</v>
      </c>
      <c r="L221" s="392">
        <v>833.4</v>
      </c>
      <c r="M221" s="392">
        <v>42394</v>
      </c>
      <c r="N221" s="331">
        <f t="shared" si="6"/>
        <v>725744.80678821087</v>
      </c>
      <c r="O221" s="396">
        <v>25500.3</v>
      </c>
      <c r="P221" s="396">
        <v>0</v>
      </c>
      <c r="Q221" s="396">
        <v>16794.05</v>
      </c>
      <c r="R221" s="396">
        <v>1825.8</v>
      </c>
      <c r="S221" s="373">
        <v>17285.95</v>
      </c>
      <c r="T221" s="332">
        <f t="shared" si="7"/>
        <v>787150.90678821097</v>
      </c>
      <c r="U221" s="446">
        <v>74</v>
      </c>
      <c r="V221" s="10">
        <v>403</v>
      </c>
      <c r="W221" s="10">
        <v>-21537.07</v>
      </c>
      <c r="X221" s="10">
        <v>0</v>
      </c>
      <c r="Y221" s="10">
        <v>-5783.06</v>
      </c>
      <c r="Z221" s="373">
        <v>0.7</v>
      </c>
      <c r="AA221" s="400"/>
      <c r="AB221" s="400"/>
      <c r="AC221" s="400"/>
      <c r="AD221" s="400"/>
      <c r="AE221" s="400"/>
      <c r="AF221" s="400"/>
    </row>
    <row r="222" spans="1:32" x14ac:dyDescent="0.25">
      <c r="A222" s="338">
        <v>5754</v>
      </c>
      <c r="B222" s="330" t="s">
        <v>332</v>
      </c>
      <c r="C222" s="392">
        <v>605521.17000000004</v>
      </c>
      <c r="D222" s="392">
        <v>80553.37</v>
      </c>
      <c r="E222" s="392">
        <v>0</v>
      </c>
      <c r="F222" s="392">
        <v>0</v>
      </c>
      <c r="G222" s="392">
        <v>1035.8499999999999</v>
      </c>
      <c r="H222" s="392">
        <v>959.45</v>
      </c>
      <c r="I222" s="380">
        <v>256.10184090707588</v>
      </c>
      <c r="J222" s="392">
        <v>0</v>
      </c>
      <c r="K222" s="392">
        <v>3966.51</v>
      </c>
      <c r="L222" s="392">
        <v>1575.5</v>
      </c>
      <c r="M222" s="392">
        <v>39827.1</v>
      </c>
      <c r="N222" s="331">
        <f t="shared" si="6"/>
        <v>733695.05184090708</v>
      </c>
      <c r="O222" s="396">
        <v>5642.65</v>
      </c>
      <c r="P222" s="396">
        <v>0</v>
      </c>
      <c r="Q222" s="396">
        <v>2444.85</v>
      </c>
      <c r="R222" s="396">
        <v>5657.1</v>
      </c>
      <c r="S222" s="373">
        <v>0</v>
      </c>
      <c r="T222" s="332">
        <f t="shared" si="7"/>
        <v>747439.65184090706</v>
      </c>
      <c r="U222" s="446">
        <v>79</v>
      </c>
      <c r="V222" s="10">
        <v>328</v>
      </c>
      <c r="W222" s="10">
        <v>-9602.36</v>
      </c>
      <c r="X222" s="10">
        <v>0</v>
      </c>
      <c r="Y222" s="10">
        <v>-101.41</v>
      </c>
      <c r="Z222" s="373">
        <v>1</v>
      </c>
      <c r="AA222" s="400"/>
      <c r="AB222" s="400"/>
      <c r="AC222" s="400"/>
      <c r="AD222" s="400"/>
      <c r="AE222" s="400"/>
      <c r="AF222" s="400"/>
    </row>
    <row r="223" spans="1:32" x14ac:dyDescent="0.25">
      <c r="A223" s="338">
        <v>5755</v>
      </c>
      <c r="B223" s="330" t="s">
        <v>333</v>
      </c>
      <c r="C223" s="392">
        <v>641762.68000000005</v>
      </c>
      <c r="D223" s="392">
        <v>70970.2</v>
      </c>
      <c r="E223" s="392">
        <v>0</v>
      </c>
      <c r="F223" s="392">
        <v>0</v>
      </c>
      <c r="G223" s="392">
        <v>5588.7</v>
      </c>
      <c r="H223" s="392">
        <v>768.9</v>
      </c>
      <c r="I223" s="380">
        <v>816.0141651635472</v>
      </c>
      <c r="J223" s="392">
        <v>0</v>
      </c>
      <c r="K223" s="392">
        <v>3785.33</v>
      </c>
      <c r="L223" s="392">
        <v>2533.1</v>
      </c>
      <c r="M223" s="392">
        <v>43107.05</v>
      </c>
      <c r="N223" s="331">
        <f t="shared" si="6"/>
        <v>769331.97416516347</v>
      </c>
      <c r="O223" s="396">
        <v>25416.95</v>
      </c>
      <c r="P223" s="396">
        <v>0</v>
      </c>
      <c r="Q223" s="396">
        <v>63834.9</v>
      </c>
      <c r="R223" s="396">
        <v>5562.9</v>
      </c>
      <c r="S223" s="373">
        <v>34972.15</v>
      </c>
      <c r="T223" s="332">
        <f t="shared" si="7"/>
        <v>899118.87416516349</v>
      </c>
      <c r="U223" s="446">
        <v>80</v>
      </c>
      <c r="V223" s="10">
        <v>437</v>
      </c>
      <c r="W223" s="10">
        <v>-8185.46</v>
      </c>
      <c r="X223" s="10">
        <v>0</v>
      </c>
      <c r="Y223" s="10">
        <v>0</v>
      </c>
      <c r="Z223" s="373">
        <v>0.7</v>
      </c>
      <c r="AA223" s="400"/>
      <c r="AB223" s="400"/>
      <c r="AC223" s="400"/>
      <c r="AD223" s="400"/>
      <c r="AE223" s="400"/>
      <c r="AF223" s="400"/>
    </row>
    <row r="224" spans="1:32" x14ac:dyDescent="0.25">
      <c r="A224" s="338">
        <v>5756</v>
      </c>
      <c r="B224" s="330" t="s">
        <v>334</v>
      </c>
      <c r="C224" s="392">
        <v>939223.22</v>
      </c>
      <c r="D224" s="392">
        <v>168947.92</v>
      </c>
      <c r="E224" s="392">
        <v>0</v>
      </c>
      <c r="F224" s="392">
        <v>0</v>
      </c>
      <c r="G224" s="392">
        <v>-6975.15</v>
      </c>
      <c r="H224" s="392">
        <v>-672.55</v>
      </c>
      <c r="I224" s="380">
        <v>0</v>
      </c>
      <c r="J224" s="392">
        <v>0</v>
      </c>
      <c r="K224" s="392">
        <v>5914.32</v>
      </c>
      <c r="L224" s="392">
        <v>160.4</v>
      </c>
      <c r="M224" s="392">
        <v>84984</v>
      </c>
      <c r="N224" s="331">
        <f t="shared" si="6"/>
        <v>1191582.1599999999</v>
      </c>
      <c r="O224" s="396">
        <v>29390.1</v>
      </c>
      <c r="P224" s="396">
        <v>765</v>
      </c>
      <c r="Q224" s="396">
        <v>31400.6</v>
      </c>
      <c r="R224" s="396">
        <v>0</v>
      </c>
      <c r="S224" s="373">
        <v>6990.4</v>
      </c>
      <c r="T224" s="332">
        <f t="shared" si="7"/>
        <v>1260128.26</v>
      </c>
      <c r="U224" s="446">
        <v>72</v>
      </c>
      <c r="V224" s="10">
        <v>505</v>
      </c>
      <c r="W224" s="10">
        <v>-20702.57</v>
      </c>
      <c r="X224" s="10">
        <v>0</v>
      </c>
      <c r="Y224" s="10">
        <v>-1228.77</v>
      </c>
      <c r="Z224" s="373">
        <v>1</v>
      </c>
      <c r="AA224" s="400"/>
      <c r="AB224" s="400"/>
      <c r="AC224" s="400"/>
      <c r="AD224" s="400"/>
      <c r="AE224" s="400"/>
      <c r="AF224" s="400"/>
    </row>
    <row r="225" spans="1:32" x14ac:dyDescent="0.25">
      <c r="A225" s="338">
        <v>5757</v>
      </c>
      <c r="B225" s="330" t="s">
        <v>335</v>
      </c>
      <c r="C225" s="392">
        <v>11162653.550000001</v>
      </c>
      <c r="D225" s="392">
        <v>1136686.72</v>
      </c>
      <c r="E225" s="392">
        <v>0</v>
      </c>
      <c r="F225" s="392">
        <v>0</v>
      </c>
      <c r="G225" s="392">
        <v>1505027.1</v>
      </c>
      <c r="H225" s="392">
        <v>52674.35</v>
      </c>
      <c r="I225" s="380">
        <v>199934.95160057207</v>
      </c>
      <c r="J225" s="392">
        <v>0</v>
      </c>
      <c r="K225" s="392">
        <v>421751.35</v>
      </c>
      <c r="L225" s="392">
        <v>110574.45</v>
      </c>
      <c r="M225" s="392">
        <v>1290165.8</v>
      </c>
      <c r="N225" s="331">
        <f t="shared" si="6"/>
        <v>15879468.271600572</v>
      </c>
      <c r="O225" s="396">
        <v>2385887.2999999998</v>
      </c>
      <c r="P225" s="396">
        <v>77692.2</v>
      </c>
      <c r="Q225" s="396">
        <v>525535</v>
      </c>
      <c r="R225" s="396">
        <v>59814.36</v>
      </c>
      <c r="S225" s="373">
        <v>409342.65</v>
      </c>
      <c r="T225" s="332">
        <f t="shared" si="7"/>
        <v>19337739.781600568</v>
      </c>
      <c r="U225" s="446">
        <v>77</v>
      </c>
      <c r="V225" s="10">
        <v>7030</v>
      </c>
      <c r="W225" s="10">
        <v>-409528.08</v>
      </c>
      <c r="X225" s="10">
        <v>0</v>
      </c>
      <c r="Y225" s="10">
        <v>-24544.12</v>
      </c>
      <c r="Z225" s="373">
        <v>1</v>
      </c>
      <c r="AA225" s="400"/>
      <c r="AB225" s="400"/>
      <c r="AC225" s="400"/>
      <c r="AD225" s="400"/>
      <c r="AE225" s="400"/>
      <c r="AF225" s="400"/>
    </row>
    <row r="226" spans="1:32" x14ac:dyDescent="0.25">
      <c r="A226" s="338">
        <v>5758</v>
      </c>
      <c r="B226" s="330" t="s">
        <v>216</v>
      </c>
      <c r="C226" s="392">
        <v>298632.88</v>
      </c>
      <c r="D226" s="392">
        <v>39960.19</v>
      </c>
      <c r="E226" s="392">
        <v>0</v>
      </c>
      <c r="F226" s="392">
        <v>1010</v>
      </c>
      <c r="G226" s="392">
        <v>5572.45</v>
      </c>
      <c r="H226" s="392">
        <v>862.25</v>
      </c>
      <c r="I226" s="380">
        <v>825.91014668709533</v>
      </c>
      <c r="J226" s="392">
        <v>0</v>
      </c>
      <c r="K226" s="392">
        <v>699.76</v>
      </c>
      <c r="L226" s="392">
        <v>0</v>
      </c>
      <c r="M226" s="392">
        <v>23619.9</v>
      </c>
      <c r="N226" s="331">
        <f t="shared" si="6"/>
        <v>371183.34014668717</v>
      </c>
      <c r="O226" s="396">
        <v>0</v>
      </c>
      <c r="P226" s="396">
        <v>0</v>
      </c>
      <c r="Q226" s="396">
        <v>25718.400000000001</v>
      </c>
      <c r="R226" s="396">
        <v>5040.37</v>
      </c>
      <c r="S226" s="373">
        <v>34052.5</v>
      </c>
      <c r="T226" s="332">
        <f t="shared" si="7"/>
        <v>435994.61014668719</v>
      </c>
      <c r="U226" s="446">
        <v>83</v>
      </c>
      <c r="V226" s="10">
        <v>165</v>
      </c>
      <c r="W226" s="10">
        <v>-3824.08</v>
      </c>
      <c r="X226" s="10">
        <v>0</v>
      </c>
      <c r="Y226" s="10">
        <v>0</v>
      </c>
      <c r="Z226" s="373">
        <v>0.9</v>
      </c>
      <c r="AA226" s="400"/>
      <c r="AB226" s="400"/>
      <c r="AC226" s="400"/>
      <c r="AD226" s="400"/>
      <c r="AE226" s="400"/>
      <c r="AF226" s="400"/>
    </row>
    <row r="227" spans="1:32" x14ac:dyDescent="0.25">
      <c r="A227" s="338">
        <v>5759</v>
      </c>
      <c r="B227" s="330" t="s">
        <v>217</v>
      </c>
      <c r="C227" s="392">
        <v>336645.86</v>
      </c>
      <c r="D227" s="392">
        <v>56358.34</v>
      </c>
      <c r="E227" s="392">
        <v>0</v>
      </c>
      <c r="F227" s="392">
        <v>0</v>
      </c>
      <c r="G227" s="392">
        <v>7389.45</v>
      </c>
      <c r="H227" s="392">
        <v>121.05</v>
      </c>
      <c r="I227" s="380">
        <v>963.99181884057214</v>
      </c>
      <c r="J227" s="392">
        <v>0</v>
      </c>
      <c r="K227" s="392">
        <v>8237.02</v>
      </c>
      <c r="L227" s="392">
        <v>242.95</v>
      </c>
      <c r="M227" s="392">
        <v>28590.3</v>
      </c>
      <c r="N227" s="331">
        <f t="shared" si="6"/>
        <v>438548.96181884053</v>
      </c>
      <c r="O227" s="396">
        <v>3194.25</v>
      </c>
      <c r="P227" s="396">
        <v>0</v>
      </c>
      <c r="Q227" s="396">
        <v>7397.8</v>
      </c>
      <c r="R227" s="396">
        <v>27.03</v>
      </c>
      <c r="S227" s="373">
        <v>15682</v>
      </c>
      <c r="T227" s="332">
        <f t="shared" si="7"/>
        <v>464850.04181884055</v>
      </c>
      <c r="U227" s="446">
        <v>81</v>
      </c>
      <c r="V227" s="10">
        <v>215</v>
      </c>
      <c r="W227" s="10">
        <v>-11258.17</v>
      </c>
      <c r="X227" s="10">
        <v>0</v>
      </c>
      <c r="Y227" s="10">
        <v>-113.05</v>
      </c>
      <c r="Z227" s="373">
        <v>1</v>
      </c>
      <c r="AA227" s="400"/>
      <c r="AB227" s="400"/>
      <c r="AC227" s="400"/>
      <c r="AD227" s="400"/>
      <c r="AE227" s="400"/>
      <c r="AF227" s="400"/>
    </row>
    <row r="228" spans="1:32" x14ac:dyDescent="0.25">
      <c r="A228" s="338">
        <v>5760</v>
      </c>
      <c r="B228" s="330" t="s">
        <v>218</v>
      </c>
      <c r="C228" s="392">
        <v>828540.41</v>
      </c>
      <c r="D228" s="392">
        <v>70641.75</v>
      </c>
      <c r="E228" s="392">
        <v>0</v>
      </c>
      <c r="F228" s="392">
        <v>0</v>
      </c>
      <c r="G228" s="392">
        <v>1033.95</v>
      </c>
      <c r="H228" s="392">
        <v>1009.9</v>
      </c>
      <c r="I228" s="380">
        <v>262.33335715828542</v>
      </c>
      <c r="J228" s="392">
        <v>0</v>
      </c>
      <c r="K228" s="392">
        <v>4654.07</v>
      </c>
      <c r="L228" s="392">
        <v>0</v>
      </c>
      <c r="M228" s="392">
        <v>105358.55</v>
      </c>
      <c r="N228" s="331">
        <f t="shared" si="6"/>
        <v>1011500.9633571582</v>
      </c>
      <c r="O228" s="396">
        <v>16854.2</v>
      </c>
      <c r="P228" s="396">
        <v>477.2</v>
      </c>
      <c r="Q228" s="396">
        <v>21138.6</v>
      </c>
      <c r="R228" s="396">
        <v>2427.5</v>
      </c>
      <c r="S228" s="373">
        <v>892.7</v>
      </c>
      <c r="T228" s="332">
        <f t="shared" si="7"/>
        <v>1053291.1633571582</v>
      </c>
      <c r="U228" s="446">
        <v>78</v>
      </c>
      <c r="V228" s="10">
        <v>505</v>
      </c>
      <c r="W228" s="10">
        <v>-11699.49</v>
      </c>
      <c r="X228" s="10">
        <v>0</v>
      </c>
      <c r="Y228" s="10">
        <v>-1918.01</v>
      </c>
      <c r="Z228" s="373">
        <v>1.5</v>
      </c>
      <c r="AA228" s="400"/>
      <c r="AB228" s="400"/>
      <c r="AC228" s="400"/>
      <c r="AD228" s="400"/>
      <c r="AE228" s="400"/>
      <c r="AF228" s="400"/>
    </row>
    <row r="229" spans="1:32" x14ac:dyDescent="0.25">
      <c r="A229" s="338">
        <v>5761</v>
      </c>
      <c r="B229" s="330" t="s">
        <v>134</v>
      </c>
      <c r="C229" s="392">
        <v>794794.29</v>
      </c>
      <c r="D229" s="392">
        <v>99810.19</v>
      </c>
      <c r="E229" s="392">
        <v>0</v>
      </c>
      <c r="F229" s="392">
        <v>0</v>
      </c>
      <c r="G229" s="392">
        <v>13844.65</v>
      </c>
      <c r="H229" s="392">
        <v>849.4</v>
      </c>
      <c r="I229" s="380">
        <v>1886.0187718040486</v>
      </c>
      <c r="J229" s="392">
        <v>0</v>
      </c>
      <c r="K229" s="392">
        <v>17533.5</v>
      </c>
      <c r="L229" s="392">
        <v>6520.55</v>
      </c>
      <c r="M229" s="392">
        <v>92247.15</v>
      </c>
      <c r="N229" s="331">
        <f t="shared" si="6"/>
        <v>1027485.7487718042</v>
      </c>
      <c r="O229" s="396">
        <v>54355.95</v>
      </c>
      <c r="P229" s="396">
        <v>17444</v>
      </c>
      <c r="Q229" s="396">
        <v>31666.35</v>
      </c>
      <c r="R229" s="396">
        <v>12561.89</v>
      </c>
      <c r="S229" s="373">
        <v>61949.05</v>
      </c>
      <c r="T229" s="332">
        <f t="shared" si="7"/>
        <v>1205462.9887718041</v>
      </c>
      <c r="U229" s="446">
        <v>81</v>
      </c>
      <c r="V229" s="10">
        <v>535</v>
      </c>
      <c r="W229" s="10">
        <v>-35972.910000000003</v>
      </c>
      <c r="X229" s="10">
        <v>0</v>
      </c>
      <c r="Y229" s="10">
        <v>0</v>
      </c>
      <c r="Z229" s="373">
        <v>1.1000000000000001</v>
      </c>
      <c r="AA229" s="400"/>
      <c r="AB229" s="400"/>
      <c r="AC229" s="400"/>
      <c r="AD229" s="400"/>
      <c r="AE229" s="400"/>
      <c r="AF229" s="400"/>
    </row>
    <row r="230" spans="1:32" x14ac:dyDescent="0.25">
      <c r="A230" s="338">
        <v>5762</v>
      </c>
      <c r="B230" s="330" t="s">
        <v>135</v>
      </c>
      <c r="C230" s="392">
        <v>240364.43</v>
      </c>
      <c r="D230" s="392">
        <v>33456.11</v>
      </c>
      <c r="E230" s="392">
        <v>0</v>
      </c>
      <c r="F230" s="392">
        <v>0</v>
      </c>
      <c r="G230" s="392">
        <v>14449.35</v>
      </c>
      <c r="H230" s="392">
        <v>108.8</v>
      </c>
      <c r="I230" s="380">
        <v>1868.5756604026194</v>
      </c>
      <c r="J230" s="392">
        <v>0</v>
      </c>
      <c r="K230" s="392">
        <v>1087.5</v>
      </c>
      <c r="L230" s="392">
        <v>75</v>
      </c>
      <c r="M230" s="392">
        <v>19868.599999999999</v>
      </c>
      <c r="N230" s="331">
        <f t="shared" si="6"/>
        <v>311278.36566040252</v>
      </c>
      <c r="O230" s="396">
        <v>8622.5</v>
      </c>
      <c r="P230" s="396">
        <v>0</v>
      </c>
      <c r="Q230" s="396">
        <v>880</v>
      </c>
      <c r="R230" s="396">
        <v>4050.2</v>
      </c>
      <c r="S230" s="373">
        <v>1152.75</v>
      </c>
      <c r="T230" s="332">
        <f t="shared" si="7"/>
        <v>325983.81566040253</v>
      </c>
      <c r="U230" s="446">
        <v>78</v>
      </c>
      <c r="V230" s="10">
        <v>145</v>
      </c>
      <c r="W230" s="10">
        <v>-3659.26</v>
      </c>
      <c r="X230" s="10">
        <v>0</v>
      </c>
      <c r="Y230" s="10">
        <v>0</v>
      </c>
      <c r="Z230" s="373">
        <v>1</v>
      </c>
      <c r="AA230" s="400"/>
      <c r="AB230" s="400"/>
      <c r="AC230" s="400"/>
      <c r="AD230" s="400"/>
      <c r="AE230" s="400"/>
      <c r="AF230" s="400"/>
    </row>
    <row r="231" spans="1:32" x14ac:dyDescent="0.25">
      <c r="A231" s="338">
        <v>5763</v>
      </c>
      <c r="B231" s="330" t="s">
        <v>136</v>
      </c>
      <c r="C231" s="392">
        <v>1107938.55</v>
      </c>
      <c r="D231" s="392">
        <v>241285.89</v>
      </c>
      <c r="E231" s="392">
        <v>0</v>
      </c>
      <c r="F231" s="392">
        <v>3240</v>
      </c>
      <c r="G231" s="392">
        <v>32665.45</v>
      </c>
      <c r="H231" s="392">
        <v>1547.4</v>
      </c>
      <c r="I231" s="380">
        <v>4103.610683293984</v>
      </c>
      <c r="J231" s="392">
        <v>0</v>
      </c>
      <c r="K231" s="392">
        <v>16727.34</v>
      </c>
      <c r="L231" s="392">
        <v>3519.35</v>
      </c>
      <c r="M231" s="392">
        <v>88555</v>
      </c>
      <c r="N231" s="331">
        <f t="shared" si="6"/>
        <v>1499582.590683294</v>
      </c>
      <c r="O231" s="396">
        <v>45726.7</v>
      </c>
      <c r="P231" s="396">
        <v>0</v>
      </c>
      <c r="Q231" s="396">
        <v>24332.65</v>
      </c>
      <c r="R231" s="396">
        <v>7621.41</v>
      </c>
      <c r="S231" s="373">
        <v>6556.05</v>
      </c>
      <c r="T231" s="332">
        <f t="shared" si="7"/>
        <v>1583819.4006832938</v>
      </c>
      <c r="U231" s="446">
        <v>68</v>
      </c>
      <c r="V231" s="10">
        <v>620</v>
      </c>
      <c r="W231" s="10">
        <v>-14704.25</v>
      </c>
      <c r="X231" s="10">
        <v>0</v>
      </c>
      <c r="Y231" s="10">
        <v>-348.45</v>
      </c>
      <c r="Z231" s="373">
        <v>1</v>
      </c>
      <c r="AA231" s="400"/>
      <c r="AB231" s="400"/>
      <c r="AC231" s="400"/>
      <c r="AD231" s="400"/>
      <c r="AE231" s="400"/>
      <c r="AF231" s="400"/>
    </row>
    <row r="232" spans="1:32" x14ac:dyDescent="0.25">
      <c r="A232" s="338">
        <v>5764</v>
      </c>
      <c r="B232" s="330" t="s">
        <v>336</v>
      </c>
      <c r="C232" s="392">
        <v>4953500.9400000004</v>
      </c>
      <c r="D232" s="392">
        <v>423966.98</v>
      </c>
      <c r="E232" s="392">
        <v>0</v>
      </c>
      <c r="F232" s="392">
        <v>0</v>
      </c>
      <c r="G232" s="392">
        <v>431918.2</v>
      </c>
      <c r="H232" s="392">
        <v>45807.45</v>
      </c>
      <c r="I232" s="380">
        <v>61317.304873216774</v>
      </c>
      <c r="J232" s="392">
        <v>0</v>
      </c>
      <c r="K232" s="392">
        <v>183049.14</v>
      </c>
      <c r="L232" s="392">
        <v>36197.4</v>
      </c>
      <c r="M232" s="392">
        <v>454100.85</v>
      </c>
      <c r="N232" s="331">
        <f t="shared" si="6"/>
        <v>6589858.2648732169</v>
      </c>
      <c r="O232" s="396">
        <v>2136567.6</v>
      </c>
      <c r="P232" s="396">
        <v>327432.7</v>
      </c>
      <c r="Q232" s="396">
        <v>245586.45</v>
      </c>
      <c r="R232" s="396">
        <v>26109.17</v>
      </c>
      <c r="S232" s="373">
        <v>135465.70000000001</v>
      </c>
      <c r="T232" s="332">
        <f t="shared" si="7"/>
        <v>9461019.8848732151</v>
      </c>
      <c r="U232" s="446">
        <v>73</v>
      </c>
      <c r="V232" s="10">
        <v>3857</v>
      </c>
      <c r="W232" s="10">
        <v>-220639.95</v>
      </c>
      <c r="X232" s="10">
        <v>0</v>
      </c>
      <c r="Y232" s="10">
        <v>-1324.77</v>
      </c>
      <c r="Z232" s="373">
        <v>1</v>
      </c>
      <c r="AA232" s="400"/>
      <c r="AB232" s="400"/>
      <c r="AC232" s="400"/>
      <c r="AD232" s="400"/>
      <c r="AE232" s="400"/>
      <c r="AF232" s="400"/>
    </row>
    <row r="233" spans="1:32" x14ac:dyDescent="0.25">
      <c r="A233" s="338">
        <v>5765</v>
      </c>
      <c r="B233" s="330" t="s">
        <v>337</v>
      </c>
      <c r="C233" s="392">
        <v>809855.69</v>
      </c>
      <c r="D233" s="392">
        <v>85686.68</v>
      </c>
      <c r="E233" s="392">
        <v>0</v>
      </c>
      <c r="F233" s="392">
        <v>0</v>
      </c>
      <c r="G233" s="392">
        <v>4215.25</v>
      </c>
      <c r="H233" s="392">
        <v>882.6</v>
      </c>
      <c r="I233" s="380">
        <v>654.32204163190352</v>
      </c>
      <c r="J233" s="392">
        <v>0</v>
      </c>
      <c r="K233" s="392">
        <v>13487.21</v>
      </c>
      <c r="L233" s="392">
        <v>0</v>
      </c>
      <c r="M233" s="392">
        <v>31776</v>
      </c>
      <c r="N233" s="331">
        <f t="shared" si="6"/>
        <v>946557.75204163173</v>
      </c>
      <c r="O233" s="396">
        <v>28462.45</v>
      </c>
      <c r="P233" s="396">
        <v>922.5</v>
      </c>
      <c r="Q233" s="396">
        <v>50292</v>
      </c>
      <c r="R233" s="396">
        <v>208.07</v>
      </c>
      <c r="S233" s="373">
        <v>31876.2</v>
      </c>
      <c r="T233" s="332">
        <f t="shared" si="7"/>
        <v>1058318.9720416316</v>
      </c>
      <c r="U233" s="446">
        <v>81</v>
      </c>
      <c r="V233" s="10">
        <v>496</v>
      </c>
      <c r="W233" s="10">
        <v>-10251.64</v>
      </c>
      <c r="X233" s="10">
        <v>0</v>
      </c>
      <c r="Y233" s="10">
        <v>-3.44</v>
      </c>
      <c r="Z233" s="373">
        <v>0.5</v>
      </c>
      <c r="AA233" s="400"/>
      <c r="AB233" s="400"/>
      <c r="AC233" s="400"/>
      <c r="AD233" s="400"/>
      <c r="AE233" s="400"/>
      <c r="AF233" s="400"/>
    </row>
    <row r="234" spans="1:32" x14ac:dyDescent="0.25">
      <c r="A234" s="338">
        <v>5766</v>
      </c>
      <c r="B234" s="330" t="s">
        <v>338</v>
      </c>
      <c r="C234" s="392">
        <v>849129.18</v>
      </c>
      <c r="D234" s="392">
        <v>106512.1</v>
      </c>
      <c r="E234" s="392">
        <v>0</v>
      </c>
      <c r="F234" s="392">
        <v>0</v>
      </c>
      <c r="G234" s="392">
        <v>11838.05</v>
      </c>
      <c r="H234" s="392">
        <v>1450.75</v>
      </c>
      <c r="I234" s="380">
        <v>1705.6513524011175</v>
      </c>
      <c r="J234" s="392">
        <v>0</v>
      </c>
      <c r="K234" s="392">
        <v>26259.51</v>
      </c>
      <c r="L234" s="392">
        <v>4564.6499999999996</v>
      </c>
      <c r="M234" s="392">
        <v>56058.8</v>
      </c>
      <c r="N234" s="331">
        <f t="shared" si="6"/>
        <v>1057518.6913524012</v>
      </c>
      <c r="O234" s="396">
        <v>0</v>
      </c>
      <c r="P234" s="396">
        <v>0</v>
      </c>
      <c r="Q234" s="396">
        <v>61265.599999999999</v>
      </c>
      <c r="R234" s="396">
        <v>200.2</v>
      </c>
      <c r="S234" s="373">
        <v>33834.949999999997</v>
      </c>
      <c r="T234" s="332">
        <f t="shared" si="7"/>
        <v>1152819.4413524012</v>
      </c>
      <c r="U234" s="446">
        <v>77</v>
      </c>
      <c r="V234" s="10">
        <v>576</v>
      </c>
      <c r="W234" s="10">
        <v>-7853.91</v>
      </c>
      <c r="X234" s="10">
        <v>0</v>
      </c>
      <c r="Y234" s="10">
        <v>-105.29</v>
      </c>
      <c r="Z234" s="373">
        <v>0.7</v>
      </c>
      <c r="AA234" s="400"/>
      <c r="AB234" s="400"/>
      <c r="AC234" s="400"/>
      <c r="AD234" s="400"/>
      <c r="AE234" s="400"/>
      <c r="AF234" s="400"/>
    </row>
    <row r="235" spans="1:32" x14ac:dyDescent="0.25">
      <c r="A235" s="338">
        <v>5785</v>
      </c>
      <c r="B235" s="330" t="s">
        <v>278</v>
      </c>
      <c r="C235" s="392">
        <v>1012785.62</v>
      </c>
      <c r="D235" s="392">
        <v>179625.07</v>
      </c>
      <c r="E235" s="392">
        <v>0</v>
      </c>
      <c r="F235" s="392">
        <v>0</v>
      </c>
      <c r="G235" s="392">
        <v>14098.45</v>
      </c>
      <c r="H235" s="392">
        <v>237.3</v>
      </c>
      <c r="I235" s="380">
        <v>1840.0300535175729</v>
      </c>
      <c r="J235" s="392">
        <v>0</v>
      </c>
      <c r="K235" s="392">
        <v>25805.360000000001</v>
      </c>
      <c r="L235" s="392">
        <v>1333.1</v>
      </c>
      <c r="M235" s="392">
        <v>69341.75</v>
      </c>
      <c r="N235" s="331">
        <f t="shared" si="6"/>
        <v>1305066.6800535177</v>
      </c>
      <c r="O235" s="396">
        <v>0</v>
      </c>
      <c r="P235" s="396">
        <v>26156.9</v>
      </c>
      <c r="Q235" s="396">
        <v>36959.550000000003</v>
      </c>
      <c r="R235" s="396">
        <v>2431.35</v>
      </c>
      <c r="S235" s="373">
        <v>27893.15</v>
      </c>
      <c r="T235" s="332">
        <f t="shared" si="7"/>
        <v>1398507.6300535176</v>
      </c>
      <c r="U235" s="446">
        <v>77</v>
      </c>
      <c r="V235" s="10">
        <v>458</v>
      </c>
      <c r="W235" s="10">
        <v>-1740.53</v>
      </c>
      <c r="X235" s="10">
        <v>0</v>
      </c>
      <c r="Y235" s="10">
        <v>-602.91</v>
      </c>
      <c r="Z235" s="373">
        <v>1</v>
      </c>
      <c r="AA235" s="400"/>
      <c r="AB235" s="400"/>
      <c r="AC235" s="400"/>
      <c r="AD235" s="400"/>
      <c r="AE235" s="400"/>
      <c r="AF235" s="400"/>
    </row>
    <row r="236" spans="1:32" x14ac:dyDescent="0.25">
      <c r="A236" s="338">
        <v>5788</v>
      </c>
      <c r="B236" s="330" t="s">
        <v>279</v>
      </c>
      <c r="C236" s="392">
        <v>713924.25</v>
      </c>
      <c r="D236" s="392">
        <v>86868.62</v>
      </c>
      <c r="E236" s="392">
        <v>0</v>
      </c>
      <c r="F236" s="392">
        <v>0</v>
      </c>
      <c r="G236" s="392">
        <v>6514.3</v>
      </c>
      <c r="H236" s="392">
        <v>134.65</v>
      </c>
      <c r="I236" s="380">
        <v>853.40968029825194</v>
      </c>
      <c r="J236" s="392">
        <v>0</v>
      </c>
      <c r="K236" s="392">
        <v>18807.8</v>
      </c>
      <c r="L236" s="392">
        <v>3926</v>
      </c>
      <c r="M236" s="392">
        <v>90186</v>
      </c>
      <c r="N236" s="331">
        <f t="shared" si="6"/>
        <v>921215.02968029841</v>
      </c>
      <c r="O236" s="396">
        <v>0</v>
      </c>
      <c r="P236" s="396">
        <v>0</v>
      </c>
      <c r="Q236" s="396">
        <v>58045.05</v>
      </c>
      <c r="R236" s="396">
        <v>0</v>
      </c>
      <c r="S236" s="373">
        <v>41283.75</v>
      </c>
      <c r="T236" s="332">
        <f t="shared" si="7"/>
        <v>1020543.8296802985</v>
      </c>
      <c r="U236" s="446">
        <v>72</v>
      </c>
      <c r="V236" s="10">
        <v>380</v>
      </c>
      <c r="W236" s="10">
        <v>-13344.28</v>
      </c>
      <c r="X236" s="10">
        <v>0</v>
      </c>
      <c r="Y236" s="10">
        <v>-82.54</v>
      </c>
      <c r="Z236" s="373">
        <v>1.25</v>
      </c>
      <c r="AA236" s="400"/>
      <c r="AB236" s="400"/>
      <c r="AC236" s="400"/>
      <c r="AD236" s="400"/>
      <c r="AE236" s="400"/>
      <c r="AF236" s="400"/>
    </row>
    <row r="237" spans="1:32" x14ac:dyDescent="0.25">
      <c r="A237" s="338">
        <v>5790</v>
      </c>
      <c r="B237" s="330" t="s">
        <v>280</v>
      </c>
      <c r="C237" s="392">
        <v>858994.16</v>
      </c>
      <c r="D237" s="392">
        <v>124857</v>
      </c>
      <c r="E237" s="392">
        <v>0</v>
      </c>
      <c r="F237" s="392">
        <v>0</v>
      </c>
      <c r="G237" s="392">
        <v>3295.7</v>
      </c>
      <c r="H237" s="392">
        <v>755.65</v>
      </c>
      <c r="I237" s="380">
        <v>520.00109916247277</v>
      </c>
      <c r="J237" s="392">
        <v>0</v>
      </c>
      <c r="K237" s="392">
        <v>31803.69</v>
      </c>
      <c r="L237" s="392">
        <v>-1145.5</v>
      </c>
      <c r="M237" s="392">
        <v>82914.25</v>
      </c>
      <c r="N237" s="331">
        <f t="shared" si="6"/>
        <v>1101994.9510991625</v>
      </c>
      <c r="O237" s="396">
        <v>9920.6</v>
      </c>
      <c r="P237" s="396">
        <v>147675</v>
      </c>
      <c r="Q237" s="396">
        <v>68988</v>
      </c>
      <c r="R237" s="396">
        <v>0</v>
      </c>
      <c r="S237" s="373">
        <v>20856.2</v>
      </c>
      <c r="T237" s="332">
        <f t="shared" si="7"/>
        <v>1349434.7510991625</v>
      </c>
      <c r="U237" s="446">
        <v>76</v>
      </c>
      <c r="V237" s="10">
        <v>538</v>
      </c>
      <c r="W237" s="10">
        <v>-4880.07</v>
      </c>
      <c r="X237" s="10">
        <v>0</v>
      </c>
      <c r="Y237" s="10">
        <v>-267.56</v>
      </c>
      <c r="Z237" s="373">
        <v>1</v>
      </c>
      <c r="AA237" s="400"/>
      <c r="AB237" s="400"/>
      <c r="AC237" s="400"/>
      <c r="AD237" s="400"/>
      <c r="AE237" s="400"/>
      <c r="AF237" s="400"/>
    </row>
    <row r="238" spans="1:32" x14ac:dyDescent="0.25">
      <c r="A238" s="338">
        <v>5792</v>
      </c>
      <c r="B238" s="330" t="s">
        <v>281</v>
      </c>
      <c r="C238" s="392">
        <v>1234961.3700000001</v>
      </c>
      <c r="D238" s="392">
        <v>114706.73</v>
      </c>
      <c r="E238" s="392">
        <v>0</v>
      </c>
      <c r="F238" s="392">
        <v>0</v>
      </c>
      <c r="G238" s="392">
        <v>60735.55</v>
      </c>
      <c r="H238" s="392">
        <v>908.35</v>
      </c>
      <c r="I238" s="380">
        <v>7912.1516918216284</v>
      </c>
      <c r="J238" s="392">
        <v>0</v>
      </c>
      <c r="K238" s="392">
        <v>29622.68</v>
      </c>
      <c r="L238" s="392">
        <v>456.7</v>
      </c>
      <c r="M238" s="392">
        <v>117252.9</v>
      </c>
      <c r="N238" s="331">
        <f t="shared" si="6"/>
        <v>1566556.4316918217</v>
      </c>
      <c r="O238" s="396">
        <v>0</v>
      </c>
      <c r="P238" s="396">
        <v>4994.2</v>
      </c>
      <c r="Q238" s="396">
        <v>78135.05</v>
      </c>
      <c r="R238" s="396">
        <v>922.61</v>
      </c>
      <c r="S238" s="373">
        <v>37993.5</v>
      </c>
      <c r="T238" s="332">
        <f t="shared" si="7"/>
        <v>1688601.7916918218</v>
      </c>
      <c r="U238" s="446">
        <v>77</v>
      </c>
      <c r="V238" s="10">
        <v>657</v>
      </c>
      <c r="W238" s="10">
        <v>-12155.98</v>
      </c>
      <c r="X238" s="10">
        <v>0</v>
      </c>
      <c r="Y238" s="10">
        <v>-4.79</v>
      </c>
      <c r="Z238" s="373">
        <v>1</v>
      </c>
      <c r="AA238" s="400"/>
      <c r="AB238" s="400"/>
      <c r="AC238" s="400"/>
      <c r="AD238" s="400"/>
      <c r="AE238" s="400"/>
      <c r="AF238" s="400"/>
    </row>
    <row r="239" spans="1:32" x14ac:dyDescent="0.25">
      <c r="A239" s="338">
        <v>5798</v>
      </c>
      <c r="B239" s="330" t="s">
        <v>282</v>
      </c>
      <c r="C239" s="392">
        <v>917633.59</v>
      </c>
      <c r="D239" s="392">
        <v>96142.75</v>
      </c>
      <c r="E239" s="392">
        <v>0</v>
      </c>
      <c r="F239" s="392">
        <v>0</v>
      </c>
      <c r="G239" s="392">
        <v>11853.05</v>
      </c>
      <c r="H239" s="392">
        <v>288.89999999999998</v>
      </c>
      <c r="I239" s="380">
        <v>1558.4502316452015</v>
      </c>
      <c r="J239" s="392">
        <v>0</v>
      </c>
      <c r="K239" s="392">
        <v>13283.32</v>
      </c>
      <c r="L239" s="392">
        <v>3941.45</v>
      </c>
      <c r="M239" s="392">
        <v>38499.65</v>
      </c>
      <c r="N239" s="331">
        <f t="shared" si="6"/>
        <v>1083201.1602316452</v>
      </c>
      <c r="O239" s="396">
        <v>15436.75</v>
      </c>
      <c r="P239" s="396">
        <v>0</v>
      </c>
      <c r="Q239" s="396">
        <v>7406.05</v>
      </c>
      <c r="R239" s="396">
        <v>0</v>
      </c>
      <c r="S239" s="373">
        <v>0</v>
      </c>
      <c r="T239" s="332">
        <f t="shared" si="7"/>
        <v>1106043.9602316453</v>
      </c>
      <c r="U239" s="446">
        <v>77.5</v>
      </c>
      <c r="V239" s="10">
        <v>488</v>
      </c>
      <c r="W239" s="10">
        <v>-8728.89</v>
      </c>
      <c r="X239" s="10">
        <v>0</v>
      </c>
      <c r="Y239" s="10">
        <v>-86.47</v>
      </c>
      <c r="Z239" s="373">
        <v>0.5</v>
      </c>
      <c r="AA239" s="400"/>
      <c r="AB239" s="400"/>
      <c r="AC239" s="400"/>
      <c r="AD239" s="400"/>
      <c r="AE239" s="400"/>
      <c r="AF239" s="400"/>
    </row>
    <row r="240" spans="1:32" x14ac:dyDescent="0.25">
      <c r="A240" s="338">
        <v>5799</v>
      </c>
      <c r="B240" s="330" t="s">
        <v>283</v>
      </c>
      <c r="C240" s="392">
        <v>3909988.1900000004</v>
      </c>
      <c r="D240" s="392">
        <v>528364.12</v>
      </c>
      <c r="E240" s="392">
        <v>0</v>
      </c>
      <c r="F240" s="392">
        <v>0</v>
      </c>
      <c r="G240" s="392">
        <v>-5334.45</v>
      </c>
      <c r="H240" s="392">
        <v>3344.45</v>
      </c>
      <c r="I240" s="380">
        <v>0</v>
      </c>
      <c r="J240" s="392">
        <v>0</v>
      </c>
      <c r="K240" s="392">
        <v>53771.66</v>
      </c>
      <c r="L240" s="392">
        <v>14351.4</v>
      </c>
      <c r="M240" s="392">
        <v>407035</v>
      </c>
      <c r="N240" s="331">
        <f t="shared" si="6"/>
        <v>4911520.370000001</v>
      </c>
      <c r="O240" s="396">
        <v>11845.95</v>
      </c>
      <c r="P240" s="396">
        <v>0</v>
      </c>
      <c r="Q240" s="396">
        <v>208055.75</v>
      </c>
      <c r="R240" s="396">
        <v>7395.42</v>
      </c>
      <c r="S240" s="373">
        <v>229546.5</v>
      </c>
      <c r="T240" s="332">
        <f t="shared" si="7"/>
        <v>5368363.9900000012</v>
      </c>
      <c r="U240" s="446">
        <v>69</v>
      </c>
      <c r="V240" s="10">
        <v>1997</v>
      </c>
      <c r="W240" s="10">
        <v>-19385.689999999999</v>
      </c>
      <c r="X240" s="10">
        <v>0</v>
      </c>
      <c r="Y240" s="10">
        <v>-1090.27</v>
      </c>
      <c r="Z240" s="373">
        <v>1</v>
      </c>
      <c r="AA240" s="400"/>
      <c r="AB240" s="400"/>
      <c r="AC240" s="400"/>
      <c r="AD240" s="400"/>
      <c r="AE240" s="400"/>
      <c r="AF240" s="400"/>
    </row>
    <row r="241" spans="1:32" x14ac:dyDescent="0.25">
      <c r="A241" s="338">
        <v>5803</v>
      </c>
      <c r="B241" s="330" t="s">
        <v>384</v>
      </c>
      <c r="C241" s="392">
        <v>1131244.6100000001</v>
      </c>
      <c r="D241" s="392">
        <v>145757.59</v>
      </c>
      <c r="E241" s="392">
        <v>0</v>
      </c>
      <c r="F241" s="392">
        <v>0</v>
      </c>
      <c r="G241" s="392">
        <v>-15589.05</v>
      </c>
      <c r="H241" s="392">
        <v>373.5</v>
      </c>
      <c r="I241" s="380">
        <v>0</v>
      </c>
      <c r="J241" s="392">
        <v>0</v>
      </c>
      <c r="K241" s="392">
        <v>12121.29</v>
      </c>
      <c r="L241" s="392">
        <v>0</v>
      </c>
      <c r="M241" s="392">
        <v>104771.85</v>
      </c>
      <c r="N241" s="331">
        <f t="shared" si="6"/>
        <v>1378679.7900000003</v>
      </c>
      <c r="O241" s="396">
        <v>0</v>
      </c>
      <c r="P241" s="396">
        <v>1452.3</v>
      </c>
      <c r="Q241" s="396">
        <v>16551.8</v>
      </c>
      <c r="R241" s="396">
        <v>336.85</v>
      </c>
      <c r="S241" s="373">
        <v>2438.3000000000002</v>
      </c>
      <c r="T241" s="332">
        <f t="shared" si="7"/>
        <v>1399459.0400000005</v>
      </c>
      <c r="U241" s="446">
        <v>78</v>
      </c>
      <c r="V241" s="10">
        <v>614</v>
      </c>
      <c r="W241" s="10">
        <v>-18498.72</v>
      </c>
      <c r="X241" s="10">
        <v>0</v>
      </c>
      <c r="Y241" s="10">
        <v>-225.66</v>
      </c>
      <c r="Z241" s="373">
        <v>1</v>
      </c>
      <c r="AA241" s="400"/>
      <c r="AB241" s="400"/>
      <c r="AC241" s="400"/>
      <c r="AD241" s="400"/>
      <c r="AE241" s="400"/>
      <c r="AF241" s="400"/>
    </row>
    <row r="242" spans="1:32" x14ac:dyDescent="0.25">
      <c r="A242" s="338">
        <v>5804</v>
      </c>
      <c r="B242" s="330" t="s">
        <v>431</v>
      </c>
      <c r="C242" s="392">
        <v>2553852.62</v>
      </c>
      <c r="D242" s="392">
        <v>336553.66</v>
      </c>
      <c r="E242" s="392">
        <v>0</v>
      </c>
      <c r="F242" s="392">
        <v>0</v>
      </c>
      <c r="G242" s="392">
        <v>54371.8</v>
      </c>
      <c r="H242" s="392">
        <v>515.29999999999995</v>
      </c>
      <c r="I242" s="380">
        <v>7044.8991891198139</v>
      </c>
      <c r="J242" s="392">
        <v>0</v>
      </c>
      <c r="K242" s="392">
        <v>73220.460000000006</v>
      </c>
      <c r="L242" s="392">
        <v>4390.1000000000004</v>
      </c>
      <c r="M242" s="392">
        <v>268001.8</v>
      </c>
      <c r="N242" s="331">
        <f t="shared" si="6"/>
        <v>3297950.6391891195</v>
      </c>
      <c r="O242" s="396">
        <v>3973</v>
      </c>
      <c r="P242" s="396">
        <v>48892.6</v>
      </c>
      <c r="Q242" s="396">
        <v>68571.100000000006</v>
      </c>
      <c r="R242" s="396">
        <v>6548.47</v>
      </c>
      <c r="S242" s="373">
        <v>60966.6</v>
      </c>
      <c r="T242" s="332">
        <f t="shared" si="7"/>
        <v>3486902.4091891199</v>
      </c>
      <c r="U242" s="446">
        <v>72</v>
      </c>
      <c r="V242" s="10">
        <v>1591</v>
      </c>
      <c r="W242" s="10">
        <v>-120100.77</v>
      </c>
      <c r="X242" s="10">
        <v>0</v>
      </c>
      <c r="Y242" s="10">
        <v>-76.150000000000006</v>
      </c>
      <c r="Z242" s="373">
        <v>1</v>
      </c>
      <c r="AA242" s="400"/>
      <c r="AB242" s="400"/>
      <c r="AC242" s="400"/>
      <c r="AD242" s="400"/>
      <c r="AE242" s="400"/>
      <c r="AF242" s="400"/>
    </row>
    <row r="243" spans="1:32" x14ac:dyDescent="0.25">
      <c r="A243" s="338">
        <v>5805</v>
      </c>
      <c r="B243" s="330" t="s">
        <v>433</v>
      </c>
      <c r="C243" s="392">
        <v>8314484.79</v>
      </c>
      <c r="D243" s="392">
        <v>1078882.68</v>
      </c>
      <c r="E243" s="392">
        <v>0</v>
      </c>
      <c r="F243" s="392">
        <v>0</v>
      </c>
      <c r="G243" s="392">
        <v>344844.6</v>
      </c>
      <c r="H243" s="392">
        <v>38273</v>
      </c>
      <c r="I243" s="380">
        <v>49174.120505137442</v>
      </c>
      <c r="J243" s="392">
        <v>0</v>
      </c>
      <c r="K243" s="392">
        <v>208340.91</v>
      </c>
      <c r="L243" s="392">
        <v>70919.5</v>
      </c>
      <c r="M243" s="392">
        <v>990415.55</v>
      </c>
      <c r="N243" s="331">
        <f t="shared" si="6"/>
        <v>11095335.150505139</v>
      </c>
      <c r="O243" s="396">
        <v>97651.95</v>
      </c>
      <c r="P243" s="396">
        <v>326180</v>
      </c>
      <c r="Q243" s="396">
        <v>655368.35</v>
      </c>
      <c r="R243" s="396">
        <v>71404.789999999994</v>
      </c>
      <c r="S243" s="373">
        <v>325627.5</v>
      </c>
      <c r="T243" s="332">
        <f t="shared" si="7"/>
        <v>12571567.740505137</v>
      </c>
      <c r="U243" s="446">
        <v>69</v>
      </c>
      <c r="V243" s="10">
        <v>5669</v>
      </c>
      <c r="W243" s="10">
        <v>-186304.74</v>
      </c>
      <c r="X243" s="10">
        <v>0</v>
      </c>
      <c r="Y243" s="10">
        <v>-4320.09</v>
      </c>
      <c r="Z243" s="373">
        <v>1.1000000000000001</v>
      </c>
      <c r="AA243" s="400"/>
      <c r="AB243" s="400"/>
      <c r="AC243" s="400"/>
      <c r="AD243" s="400"/>
      <c r="AE243" s="400"/>
      <c r="AF243" s="400"/>
    </row>
    <row r="244" spans="1:32" x14ac:dyDescent="0.25">
      <c r="A244" s="338">
        <v>5806</v>
      </c>
      <c r="B244" s="330" t="s">
        <v>521</v>
      </c>
      <c r="C244" s="392">
        <v>5704672.8500000006</v>
      </c>
      <c r="D244" s="392">
        <v>578821.68999999994</v>
      </c>
      <c r="E244" s="392">
        <v>0</v>
      </c>
      <c r="F244" s="392">
        <v>0</v>
      </c>
      <c r="G244" s="392">
        <v>138495.15</v>
      </c>
      <c r="H244" s="392">
        <v>5487.4</v>
      </c>
      <c r="I244" s="380">
        <v>18480.527295892891</v>
      </c>
      <c r="J244" s="392">
        <v>54947.5</v>
      </c>
      <c r="K244" s="392">
        <v>36005.19</v>
      </c>
      <c r="L244" s="392">
        <v>24994.85</v>
      </c>
      <c r="M244" s="392">
        <v>496965</v>
      </c>
      <c r="N244" s="331">
        <f t="shared" si="6"/>
        <v>7058870.1572958948</v>
      </c>
      <c r="O244" s="396">
        <v>32523.45</v>
      </c>
      <c r="P244" s="396">
        <v>12728.8</v>
      </c>
      <c r="Q244" s="396">
        <v>239262.65</v>
      </c>
      <c r="R244" s="396">
        <v>39163.879999999997</v>
      </c>
      <c r="S244" s="373">
        <v>88587.65</v>
      </c>
      <c r="T244" s="332">
        <f t="shared" si="7"/>
        <v>7471136.5872958954</v>
      </c>
      <c r="U244" s="446">
        <v>76</v>
      </c>
      <c r="V244" s="10">
        <v>2949</v>
      </c>
      <c r="W244" s="10">
        <v>-117362.91</v>
      </c>
      <c r="X244" s="10">
        <v>0</v>
      </c>
      <c r="Y244" s="10">
        <v>-1600.01</v>
      </c>
      <c r="Z244" s="373">
        <v>1</v>
      </c>
      <c r="AA244" s="400"/>
      <c r="AB244" s="400"/>
      <c r="AC244" s="400"/>
      <c r="AD244" s="400"/>
      <c r="AE244" s="400"/>
      <c r="AF244" s="400"/>
    </row>
    <row r="245" spans="1:32" x14ac:dyDescent="0.25">
      <c r="A245" s="338">
        <v>5812</v>
      </c>
      <c r="B245" s="330" t="s">
        <v>385</v>
      </c>
      <c r="C245" s="392">
        <v>215620.62</v>
      </c>
      <c r="D245" s="392">
        <v>45225.54</v>
      </c>
      <c r="E245" s="392">
        <v>0</v>
      </c>
      <c r="F245" s="392">
        <v>0</v>
      </c>
      <c r="G245" s="392">
        <v>8964.85</v>
      </c>
      <c r="H245" s="392">
        <v>-48.15</v>
      </c>
      <c r="I245" s="380">
        <v>1144.4811731649993</v>
      </c>
      <c r="J245" s="392">
        <v>0</v>
      </c>
      <c r="K245" s="392">
        <v>3497.81</v>
      </c>
      <c r="L245" s="392">
        <v>637.5</v>
      </c>
      <c r="M245" s="392">
        <v>14867.15</v>
      </c>
      <c r="N245" s="331">
        <f t="shared" si="6"/>
        <v>289909.80117316503</v>
      </c>
      <c r="O245" s="396">
        <v>0</v>
      </c>
      <c r="P245" s="396">
        <v>38923.599999999999</v>
      </c>
      <c r="Q245" s="396">
        <v>4767.1000000000004</v>
      </c>
      <c r="R245" s="396">
        <v>0</v>
      </c>
      <c r="S245" s="373">
        <v>18737.3</v>
      </c>
      <c r="T245" s="332">
        <f t="shared" si="7"/>
        <v>352337.80117316497</v>
      </c>
      <c r="U245" s="446">
        <v>77</v>
      </c>
      <c r="V245" s="10">
        <v>130</v>
      </c>
      <c r="W245" s="10">
        <v>-7905.96</v>
      </c>
      <c r="X245" s="10">
        <v>0</v>
      </c>
      <c r="Y245" s="10">
        <v>0</v>
      </c>
      <c r="Z245" s="373">
        <v>0.8</v>
      </c>
      <c r="AA245" s="400"/>
      <c r="AB245" s="400"/>
      <c r="AC245" s="400"/>
      <c r="AD245" s="400"/>
      <c r="AE245" s="400"/>
      <c r="AF245" s="400"/>
    </row>
    <row r="246" spans="1:32" x14ac:dyDescent="0.25">
      <c r="A246" s="338">
        <v>5813</v>
      </c>
      <c r="B246" s="330" t="s">
        <v>386</v>
      </c>
      <c r="C246" s="392">
        <v>802140.85</v>
      </c>
      <c r="D246" s="392">
        <v>109360.41</v>
      </c>
      <c r="E246" s="392">
        <v>0</v>
      </c>
      <c r="F246" s="392">
        <v>3100</v>
      </c>
      <c r="G246" s="392">
        <v>18875.25</v>
      </c>
      <c r="H246" s="392">
        <v>454.3</v>
      </c>
      <c r="I246" s="380">
        <v>2480.9970124318993</v>
      </c>
      <c r="J246" s="392">
        <v>0</v>
      </c>
      <c r="K246" s="392">
        <v>14431.02</v>
      </c>
      <c r="L246" s="392">
        <v>0</v>
      </c>
      <c r="M246" s="392">
        <v>108318.3</v>
      </c>
      <c r="N246" s="331">
        <f t="shared" si="6"/>
        <v>1059161.1270124319</v>
      </c>
      <c r="O246" s="396">
        <v>0</v>
      </c>
      <c r="P246" s="396">
        <v>0</v>
      </c>
      <c r="Q246" s="396">
        <v>36850</v>
      </c>
      <c r="R246" s="396">
        <v>0</v>
      </c>
      <c r="S246" s="373">
        <v>3259.3</v>
      </c>
      <c r="T246" s="332">
        <f t="shared" si="7"/>
        <v>1099270.4270124319</v>
      </c>
      <c r="U246" s="446">
        <v>70</v>
      </c>
      <c r="V246" s="10">
        <v>492</v>
      </c>
      <c r="W246" s="10">
        <v>-11356.09</v>
      </c>
      <c r="X246" s="10">
        <v>0</v>
      </c>
      <c r="Y246" s="10">
        <v>-55.8</v>
      </c>
      <c r="Z246" s="373">
        <v>1.2</v>
      </c>
      <c r="AA246" s="400"/>
      <c r="AB246" s="400"/>
      <c r="AC246" s="400"/>
      <c r="AD246" s="400"/>
      <c r="AE246" s="400"/>
      <c r="AF246" s="400"/>
    </row>
    <row r="247" spans="1:32" x14ac:dyDescent="0.25">
      <c r="A247" s="338">
        <v>5816</v>
      </c>
      <c r="B247" s="330" t="s">
        <v>6</v>
      </c>
      <c r="C247" s="392">
        <v>3298208.5</v>
      </c>
      <c r="D247" s="392">
        <v>313916.65999999997</v>
      </c>
      <c r="E247" s="392">
        <v>0</v>
      </c>
      <c r="F247" s="392">
        <v>0</v>
      </c>
      <c r="G247" s="392">
        <v>115220.7</v>
      </c>
      <c r="H247" s="392">
        <v>22660.799999999999</v>
      </c>
      <c r="I247" s="380">
        <v>17697.441977160819</v>
      </c>
      <c r="J247" s="392">
        <v>0</v>
      </c>
      <c r="K247" s="392">
        <v>172168.66</v>
      </c>
      <c r="L247" s="392">
        <v>26633.4</v>
      </c>
      <c r="M247" s="392">
        <v>251428.2</v>
      </c>
      <c r="N247" s="331">
        <f t="shared" si="6"/>
        <v>4217934.3619771609</v>
      </c>
      <c r="O247" s="396">
        <v>19660.349999999999</v>
      </c>
      <c r="P247" s="396">
        <v>37659.5</v>
      </c>
      <c r="Q247" s="396">
        <v>80623.05</v>
      </c>
      <c r="R247" s="396">
        <v>10120.69</v>
      </c>
      <c r="S247" s="373">
        <v>87255.15</v>
      </c>
      <c r="T247" s="332">
        <f t="shared" si="7"/>
        <v>4453253.1019771611</v>
      </c>
      <c r="U247" s="446">
        <v>70</v>
      </c>
      <c r="V247" s="10">
        <v>2571</v>
      </c>
      <c r="W247" s="10">
        <v>-106669.5</v>
      </c>
      <c r="X247" s="10">
        <v>0</v>
      </c>
      <c r="Y247" s="10">
        <v>-115.51</v>
      </c>
      <c r="Z247" s="373">
        <v>0.7</v>
      </c>
      <c r="AA247" s="400"/>
      <c r="AB247" s="400"/>
      <c r="AC247" s="400"/>
      <c r="AD247" s="400"/>
      <c r="AE247" s="400"/>
      <c r="AF247" s="400"/>
    </row>
    <row r="248" spans="1:32" x14ac:dyDescent="0.25">
      <c r="A248" s="338">
        <v>5817</v>
      </c>
      <c r="B248" s="330" t="s">
        <v>7</v>
      </c>
      <c r="C248" s="392">
        <v>1375925.32</v>
      </c>
      <c r="D248" s="392">
        <v>149186.26</v>
      </c>
      <c r="E248" s="392">
        <v>0</v>
      </c>
      <c r="F248" s="392">
        <v>5290</v>
      </c>
      <c r="G248" s="392">
        <v>19970.150000000001</v>
      </c>
      <c r="H248" s="392">
        <v>1466.6</v>
      </c>
      <c r="I248" s="380">
        <v>2751.4615035657589</v>
      </c>
      <c r="J248" s="392">
        <v>0</v>
      </c>
      <c r="K248" s="392">
        <v>30595.45</v>
      </c>
      <c r="L248" s="392">
        <v>4527.95</v>
      </c>
      <c r="M248" s="392">
        <v>127142.9</v>
      </c>
      <c r="N248" s="331">
        <f t="shared" si="6"/>
        <v>1716856.0915035657</v>
      </c>
      <c r="O248" s="396">
        <v>0</v>
      </c>
      <c r="P248" s="396">
        <v>0</v>
      </c>
      <c r="Q248" s="396">
        <v>25362.55</v>
      </c>
      <c r="R248" s="396">
        <v>4040.66</v>
      </c>
      <c r="S248" s="373">
        <v>22571.1</v>
      </c>
      <c r="T248" s="332">
        <f t="shared" si="7"/>
        <v>1768830.4015035657</v>
      </c>
      <c r="U248" s="446">
        <v>77</v>
      </c>
      <c r="V248" s="10">
        <v>953</v>
      </c>
      <c r="W248" s="10">
        <v>-41595.360000000001</v>
      </c>
      <c r="X248" s="10">
        <v>0</v>
      </c>
      <c r="Y248" s="10">
        <v>-10.69</v>
      </c>
      <c r="Z248" s="373">
        <v>1</v>
      </c>
      <c r="AA248" s="400"/>
      <c r="AB248" s="400"/>
      <c r="AC248" s="400"/>
      <c r="AD248" s="400"/>
      <c r="AE248" s="400"/>
      <c r="AF248" s="400"/>
    </row>
    <row r="249" spans="1:32" x14ac:dyDescent="0.25">
      <c r="A249" s="338">
        <v>5819</v>
      </c>
      <c r="B249" s="330" t="s">
        <v>8</v>
      </c>
      <c r="C249" s="392">
        <v>525238.66</v>
      </c>
      <c r="D249" s="392">
        <v>166495.91</v>
      </c>
      <c r="E249" s="392">
        <v>0</v>
      </c>
      <c r="F249" s="392">
        <v>0</v>
      </c>
      <c r="G249" s="392">
        <v>23064.7</v>
      </c>
      <c r="H249" s="392">
        <v>4384.7</v>
      </c>
      <c r="I249" s="380">
        <v>3523.2004569712271</v>
      </c>
      <c r="J249" s="392">
        <v>0</v>
      </c>
      <c r="K249" s="392">
        <v>13378.75</v>
      </c>
      <c r="L249" s="392">
        <v>2011.65</v>
      </c>
      <c r="M249" s="392">
        <v>82861.149999999994</v>
      </c>
      <c r="N249" s="331">
        <f t="shared" si="6"/>
        <v>820958.7204569712</v>
      </c>
      <c r="O249" s="396">
        <v>23421.9</v>
      </c>
      <c r="P249" s="396">
        <v>1378</v>
      </c>
      <c r="Q249" s="396">
        <v>28832.45</v>
      </c>
      <c r="R249" s="396">
        <v>0</v>
      </c>
      <c r="S249" s="373">
        <v>19825.95</v>
      </c>
      <c r="T249" s="332">
        <f t="shared" si="7"/>
        <v>894417.02045697113</v>
      </c>
      <c r="U249" s="446">
        <v>69</v>
      </c>
      <c r="V249" s="10">
        <v>376</v>
      </c>
      <c r="W249" s="10">
        <v>-1283.44</v>
      </c>
      <c r="X249" s="10">
        <v>0</v>
      </c>
      <c r="Y249" s="10">
        <v>-176.44</v>
      </c>
      <c r="Z249" s="373">
        <v>1</v>
      </c>
      <c r="AA249" s="400"/>
      <c r="AB249" s="400"/>
      <c r="AC249" s="400"/>
      <c r="AD249" s="400"/>
      <c r="AE249" s="400"/>
      <c r="AF249" s="400"/>
    </row>
    <row r="250" spans="1:32" x14ac:dyDescent="0.25">
      <c r="A250" s="338">
        <v>5821</v>
      </c>
      <c r="B250" s="330" t="s">
        <v>9</v>
      </c>
      <c r="C250" s="392">
        <v>475571.88</v>
      </c>
      <c r="D250" s="392">
        <v>56105.45</v>
      </c>
      <c r="E250" s="392">
        <v>0</v>
      </c>
      <c r="F250" s="392">
        <v>2100</v>
      </c>
      <c r="G250" s="392">
        <v>-495.35</v>
      </c>
      <c r="H250" s="392">
        <v>381.8</v>
      </c>
      <c r="I250" s="380">
        <v>0</v>
      </c>
      <c r="J250" s="392">
        <v>0</v>
      </c>
      <c r="K250" s="392">
        <v>8585.49</v>
      </c>
      <c r="L250" s="392">
        <v>1346.65</v>
      </c>
      <c r="M250" s="392">
        <v>50446.3</v>
      </c>
      <c r="N250" s="331">
        <f t="shared" si="6"/>
        <v>594042.22000000009</v>
      </c>
      <c r="O250" s="396">
        <v>0</v>
      </c>
      <c r="P250" s="396">
        <v>0</v>
      </c>
      <c r="Q250" s="396">
        <v>3630</v>
      </c>
      <c r="R250" s="396">
        <v>16980.38</v>
      </c>
      <c r="S250" s="373">
        <v>0</v>
      </c>
      <c r="T250" s="332">
        <f t="shared" si="7"/>
        <v>614652.60000000009</v>
      </c>
      <c r="U250" s="446">
        <v>72</v>
      </c>
      <c r="V250" s="10">
        <v>362</v>
      </c>
      <c r="W250" s="10">
        <v>-9920.1200000000008</v>
      </c>
      <c r="X250" s="10">
        <v>0</v>
      </c>
      <c r="Y250" s="10">
        <v>0</v>
      </c>
      <c r="Z250" s="373">
        <v>1</v>
      </c>
      <c r="AA250" s="400"/>
      <c r="AB250" s="400"/>
      <c r="AC250" s="400"/>
      <c r="AD250" s="400"/>
      <c r="AE250" s="400"/>
      <c r="AF250" s="400"/>
    </row>
    <row r="251" spans="1:32" x14ac:dyDescent="0.25">
      <c r="A251" s="338">
        <v>5822</v>
      </c>
      <c r="B251" s="330" t="s">
        <v>10</v>
      </c>
      <c r="C251" s="392">
        <v>13952614.9</v>
      </c>
      <c r="D251" s="392">
        <v>1429430.63</v>
      </c>
      <c r="E251" s="392">
        <v>0</v>
      </c>
      <c r="F251" s="392">
        <v>0</v>
      </c>
      <c r="G251" s="392">
        <v>510459.35</v>
      </c>
      <c r="H251" s="392">
        <v>123003.8</v>
      </c>
      <c r="I251" s="380">
        <v>81306.609964313699</v>
      </c>
      <c r="J251" s="392">
        <v>0</v>
      </c>
      <c r="K251" s="392">
        <v>906432.77</v>
      </c>
      <c r="L251" s="392">
        <v>208173.85</v>
      </c>
      <c r="M251" s="392">
        <v>1406155.3</v>
      </c>
      <c r="N251" s="331">
        <f t="shared" si="6"/>
        <v>18617577.209964316</v>
      </c>
      <c r="O251" s="396">
        <v>76138.3</v>
      </c>
      <c r="P251" s="396">
        <v>152337.1</v>
      </c>
      <c r="Q251" s="396">
        <v>604071.85</v>
      </c>
      <c r="R251" s="396">
        <v>197416.49</v>
      </c>
      <c r="S251" s="373">
        <v>412749.45</v>
      </c>
      <c r="T251" s="332">
        <f t="shared" si="7"/>
        <v>20060290.399964318</v>
      </c>
      <c r="U251" s="446">
        <v>75</v>
      </c>
      <c r="V251" s="10">
        <v>10072</v>
      </c>
      <c r="W251" s="10">
        <v>-541005.63</v>
      </c>
      <c r="X251" s="10">
        <v>0</v>
      </c>
      <c r="Y251" s="10">
        <v>-1059.3900000000001</v>
      </c>
      <c r="Z251" s="373">
        <v>1</v>
      </c>
      <c r="AA251" s="400"/>
      <c r="AB251" s="400"/>
      <c r="AC251" s="400"/>
      <c r="AD251" s="400"/>
      <c r="AE251" s="400"/>
      <c r="AF251" s="400"/>
    </row>
    <row r="252" spans="1:32" x14ac:dyDescent="0.25">
      <c r="A252" s="338">
        <v>5827</v>
      </c>
      <c r="B252" s="330" t="s">
        <v>11</v>
      </c>
      <c r="C252" s="392">
        <v>456771.92</v>
      </c>
      <c r="D252" s="392">
        <v>43125.3</v>
      </c>
      <c r="E252" s="392">
        <v>0</v>
      </c>
      <c r="F252" s="392">
        <v>1620</v>
      </c>
      <c r="G252" s="392">
        <v>7178.1</v>
      </c>
      <c r="H252" s="392">
        <v>374.95</v>
      </c>
      <c r="I252" s="380">
        <v>969.45321979812036</v>
      </c>
      <c r="J252" s="392">
        <v>0</v>
      </c>
      <c r="K252" s="392">
        <v>-2811.11</v>
      </c>
      <c r="L252" s="392">
        <v>30.85</v>
      </c>
      <c r="M252" s="392">
        <v>36758.050000000003</v>
      </c>
      <c r="N252" s="331">
        <f t="shared" si="6"/>
        <v>544017.5132197981</v>
      </c>
      <c r="O252" s="396">
        <v>0</v>
      </c>
      <c r="P252" s="396">
        <v>14325</v>
      </c>
      <c r="Q252" s="396">
        <v>5967.7</v>
      </c>
      <c r="R252" s="396">
        <v>120.26</v>
      </c>
      <c r="S252" s="373">
        <v>0</v>
      </c>
      <c r="T252" s="332">
        <f t="shared" si="7"/>
        <v>564430.47321979806</v>
      </c>
      <c r="U252" s="446">
        <v>80</v>
      </c>
      <c r="V252" s="10">
        <v>285</v>
      </c>
      <c r="W252" s="10">
        <v>-3387.34</v>
      </c>
      <c r="X252" s="10">
        <v>0</v>
      </c>
      <c r="Y252" s="10">
        <v>0</v>
      </c>
      <c r="Z252" s="373">
        <v>1</v>
      </c>
      <c r="AA252" s="400"/>
      <c r="AB252" s="400"/>
      <c r="AC252" s="400"/>
      <c r="AD252" s="400"/>
      <c r="AE252" s="400"/>
      <c r="AF252" s="400"/>
    </row>
    <row r="253" spans="1:32" x14ac:dyDescent="0.25">
      <c r="A253" s="338">
        <v>5828</v>
      </c>
      <c r="B253" s="330" t="s">
        <v>512</v>
      </c>
      <c r="C253" s="392">
        <v>158097.26</v>
      </c>
      <c r="D253" s="392">
        <v>30020.76</v>
      </c>
      <c r="E253" s="392">
        <v>0</v>
      </c>
      <c r="F253" s="392">
        <v>0</v>
      </c>
      <c r="G253" s="392">
        <v>-386.05</v>
      </c>
      <c r="H253" s="392">
        <v>113</v>
      </c>
      <c r="I253" s="380">
        <v>0</v>
      </c>
      <c r="J253" s="392">
        <v>0</v>
      </c>
      <c r="K253" s="392">
        <v>38.200000000000003</v>
      </c>
      <c r="L253" s="392">
        <v>0</v>
      </c>
      <c r="M253" s="392">
        <v>23587.4</v>
      </c>
      <c r="N253" s="331">
        <f t="shared" si="6"/>
        <v>211470.57000000004</v>
      </c>
      <c r="O253" s="396">
        <v>0</v>
      </c>
      <c r="P253" s="396">
        <v>0</v>
      </c>
      <c r="Q253" s="396">
        <v>14374.45</v>
      </c>
      <c r="R253" s="396">
        <v>0</v>
      </c>
      <c r="S253" s="373">
        <v>17585.900000000001</v>
      </c>
      <c r="T253" s="332">
        <f t="shared" si="7"/>
        <v>243430.92000000004</v>
      </c>
      <c r="U253" s="446">
        <v>84</v>
      </c>
      <c r="V253" s="10">
        <v>111</v>
      </c>
      <c r="W253" s="10">
        <v>-74.88</v>
      </c>
      <c r="X253" s="10">
        <v>0</v>
      </c>
      <c r="Y253" s="10">
        <v>0</v>
      </c>
      <c r="Z253" s="373">
        <v>1.5</v>
      </c>
      <c r="AA253" s="400"/>
      <c r="AB253" s="400"/>
      <c r="AC253" s="400"/>
      <c r="AD253" s="400"/>
      <c r="AE253" s="400"/>
      <c r="AF253" s="400"/>
    </row>
    <row r="254" spans="1:32" x14ac:dyDescent="0.25">
      <c r="A254" s="338">
        <v>5830</v>
      </c>
      <c r="B254" s="330" t="s">
        <v>12</v>
      </c>
      <c r="C254" s="392">
        <v>904067.88</v>
      </c>
      <c r="D254" s="392">
        <v>83116.44</v>
      </c>
      <c r="E254" s="392">
        <v>0</v>
      </c>
      <c r="F254" s="392">
        <v>0</v>
      </c>
      <c r="G254" s="392">
        <v>17936.5</v>
      </c>
      <c r="H254" s="392">
        <v>301.5</v>
      </c>
      <c r="I254" s="380">
        <v>2340.8937876325617</v>
      </c>
      <c r="J254" s="392">
        <v>0</v>
      </c>
      <c r="K254" s="392">
        <v>9458.58</v>
      </c>
      <c r="L254" s="392">
        <v>1945.2</v>
      </c>
      <c r="M254" s="392">
        <v>57367.65</v>
      </c>
      <c r="N254" s="331">
        <f t="shared" si="6"/>
        <v>1076534.6437876325</v>
      </c>
      <c r="O254" s="396">
        <v>0</v>
      </c>
      <c r="P254" s="396">
        <v>1597.2</v>
      </c>
      <c r="Q254" s="396">
        <v>33027.800000000003</v>
      </c>
      <c r="R254" s="396">
        <v>4317.7700000000004</v>
      </c>
      <c r="S254" s="373">
        <v>47000.800000000003</v>
      </c>
      <c r="T254" s="332">
        <f t="shared" si="7"/>
        <v>1162478.2137876325</v>
      </c>
      <c r="U254" s="446">
        <v>77</v>
      </c>
      <c r="V254" s="10">
        <v>451</v>
      </c>
      <c r="W254" s="10">
        <v>-28785.19</v>
      </c>
      <c r="X254" s="10">
        <v>0</v>
      </c>
      <c r="Y254" s="10">
        <v>-7.0000000000000007E-2</v>
      </c>
      <c r="Z254" s="373">
        <v>1</v>
      </c>
      <c r="AA254" s="400"/>
      <c r="AB254" s="400"/>
      <c r="AC254" s="400"/>
      <c r="AD254" s="400"/>
      <c r="AE254" s="400"/>
      <c r="AF254" s="400"/>
    </row>
    <row r="255" spans="1:32" x14ac:dyDescent="0.25">
      <c r="A255" s="338">
        <v>5831</v>
      </c>
      <c r="B255" s="330" t="s">
        <v>432</v>
      </c>
      <c r="C255" s="392">
        <v>4459376.84</v>
      </c>
      <c r="D255" s="392">
        <v>647455.73</v>
      </c>
      <c r="E255" s="392">
        <v>0</v>
      </c>
      <c r="F255" s="392">
        <v>0</v>
      </c>
      <c r="G255" s="392">
        <v>480849.8</v>
      </c>
      <c r="H255" s="392">
        <v>20587.349999999999</v>
      </c>
      <c r="I255" s="380">
        <v>64360.736337491879</v>
      </c>
      <c r="J255" s="392">
        <v>0</v>
      </c>
      <c r="K255" s="392">
        <v>206702.76</v>
      </c>
      <c r="L255" s="392">
        <v>22092.85</v>
      </c>
      <c r="M255" s="392">
        <v>458956.5</v>
      </c>
      <c r="N255" s="331">
        <f t="shared" si="6"/>
        <v>6360382.5663374914</v>
      </c>
      <c r="O255" s="396">
        <v>21168.7</v>
      </c>
      <c r="P255" s="396">
        <v>62187.9</v>
      </c>
      <c r="Q255" s="396">
        <v>282710</v>
      </c>
      <c r="R255" s="396">
        <v>37519.93</v>
      </c>
      <c r="S255" s="373">
        <v>232705.05</v>
      </c>
      <c r="T255" s="332">
        <f t="shared" si="7"/>
        <v>6996674.1463374915</v>
      </c>
      <c r="U255" s="446">
        <v>73</v>
      </c>
      <c r="V255" s="10">
        <v>3296</v>
      </c>
      <c r="W255" s="10">
        <v>-100160.31</v>
      </c>
      <c r="X255" s="10">
        <v>0</v>
      </c>
      <c r="Y255" s="10">
        <v>-366.07</v>
      </c>
      <c r="Z255" s="373">
        <v>0.6</v>
      </c>
      <c r="AA255" s="400"/>
      <c r="AB255" s="400"/>
      <c r="AC255" s="400"/>
      <c r="AD255" s="400"/>
      <c r="AE255" s="400"/>
      <c r="AF255" s="400"/>
    </row>
    <row r="256" spans="1:32" x14ac:dyDescent="0.25">
      <c r="A256" s="338">
        <v>5841</v>
      </c>
      <c r="B256" s="330" t="s">
        <v>13</v>
      </c>
      <c r="C256" s="392">
        <v>5666309.0300000003</v>
      </c>
      <c r="D256" s="392">
        <v>1732789.26</v>
      </c>
      <c r="E256" s="392">
        <v>0</v>
      </c>
      <c r="F256" s="392">
        <v>0</v>
      </c>
      <c r="G256" s="392">
        <v>175013.05</v>
      </c>
      <c r="H256" s="392">
        <v>67661.899999999994</v>
      </c>
      <c r="I256" s="380">
        <v>31147.948397249842</v>
      </c>
      <c r="J256" s="392">
        <v>872877.7</v>
      </c>
      <c r="K256" s="392">
        <v>327608.68</v>
      </c>
      <c r="L256" s="392">
        <v>32338.85</v>
      </c>
      <c r="M256" s="392">
        <v>1478157</v>
      </c>
      <c r="N256" s="331">
        <f t="shared" si="6"/>
        <v>10383903.41839725</v>
      </c>
      <c r="O256" s="396">
        <v>163.25</v>
      </c>
      <c r="P256" s="396">
        <v>158620.4</v>
      </c>
      <c r="Q256" s="396">
        <v>374670.25</v>
      </c>
      <c r="R256" s="396">
        <v>19839.59</v>
      </c>
      <c r="S256" s="373">
        <v>150359.04999999999</v>
      </c>
      <c r="T256" s="332">
        <f t="shared" si="7"/>
        <v>11087555.958397251</v>
      </c>
      <c r="U256" s="446">
        <v>83</v>
      </c>
      <c r="V256" s="10">
        <v>3468</v>
      </c>
      <c r="W256" s="10">
        <v>-69683.91</v>
      </c>
      <c r="X256" s="10">
        <v>0</v>
      </c>
      <c r="Y256" s="10">
        <v>-15910.69</v>
      </c>
      <c r="Z256" s="373">
        <v>1.5</v>
      </c>
      <c r="AA256" s="400"/>
      <c r="AB256" s="400"/>
      <c r="AC256" s="400"/>
      <c r="AD256" s="400"/>
      <c r="AE256" s="400"/>
      <c r="AF256" s="400"/>
    </row>
    <row r="257" spans="1:32" x14ac:dyDescent="0.25">
      <c r="A257" s="338">
        <v>5842</v>
      </c>
      <c r="B257" s="330" t="s">
        <v>14</v>
      </c>
      <c r="C257" s="392">
        <v>817226.26</v>
      </c>
      <c r="D257" s="392">
        <v>154884.04</v>
      </c>
      <c r="E257" s="392">
        <v>0</v>
      </c>
      <c r="F257" s="392">
        <v>0</v>
      </c>
      <c r="G257" s="392">
        <v>43312.35</v>
      </c>
      <c r="H257" s="392">
        <v>2615.75</v>
      </c>
      <c r="I257" s="380">
        <v>5894.9887031345015</v>
      </c>
      <c r="J257" s="392">
        <v>-24596.85</v>
      </c>
      <c r="K257" s="392">
        <v>23613.599999999999</v>
      </c>
      <c r="L257" s="392">
        <v>907.25</v>
      </c>
      <c r="M257" s="392">
        <v>141300.04999999999</v>
      </c>
      <c r="N257" s="331">
        <f t="shared" si="6"/>
        <v>1165157.4387031344</v>
      </c>
      <c r="O257" s="396">
        <v>0</v>
      </c>
      <c r="P257" s="396">
        <v>428.8</v>
      </c>
      <c r="Q257" s="396">
        <v>22076.15</v>
      </c>
      <c r="R257" s="396">
        <v>0</v>
      </c>
      <c r="S257" s="373">
        <v>25274.7</v>
      </c>
      <c r="T257" s="332">
        <f t="shared" si="7"/>
        <v>1212937.0887031343</v>
      </c>
      <c r="U257" s="446">
        <v>81</v>
      </c>
      <c r="V257" s="10">
        <v>548</v>
      </c>
      <c r="W257" s="10">
        <v>-2487.0300000000002</v>
      </c>
      <c r="X257" s="10">
        <v>0</v>
      </c>
      <c r="Y257" s="10">
        <v>-313.92</v>
      </c>
      <c r="Z257" s="373">
        <v>1.5</v>
      </c>
      <c r="AA257" s="400"/>
      <c r="AB257" s="400"/>
      <c r="AC257" s="400"/>
      <c r="AD257" s="400"/>
      <c r="AE257" s="400"/>
      <c r="AF257" s="400"/>
    </row>
    <row r="258" spans="1:32" x14ac:dyDescent="0.25">
      <c r="A258" s="338">
        <v>5843</v>
      </c>
      <c r="B258" s="330" t="s">
        <v>15</v>
      </c>
      <c r="C258" s="392">
        <v>2576175.84</v>
      </c>
      <c r="D258" s="392">
        <v>1599844.45</v>
      </c>
      <c r="E258" s="392">
        <v>0</v>
      </c>
      <c r="F258" s="392">
        <v>0</v>
      </c>
      <c r="G258" s="392">
        <v>39278.9</v>
      </c>
      <c r="H258" s="392">
        <v>13498</v>
      </c>
      <c r="I258" s="380">
        <v>6774.0496403391244</v>
      </c>
      <c r="J258" s="392">
        <v>1262291.18</v>
      </c>
      <c r="K258" s="392">
        <v>93615.95</v>
      </c>
      <c r="L258" s="392">
        <v>44858.45</v>
      </c>
      <c r="M258" s="392">
        <v>1169640.1000000001</v>
      </c>
      <c r="N258" s="331">
        <f t="shared" si="6"/>
        <v>6805976.9196403399</v>
      </c>
      <c r="O258" s="396">
        <v>0</v>
      </c>
      <c r="P258" s="396">
        <v>941705.7</v>
      </c>
      <c r="Q258" s="396">
        <v>471343.2</v>
      </c>
      <c r="R258" s="396">
        <v>41559.769999999997</v>
      </c>
      <c r="S258" s="373">
        <v>399957.7</v>
      </c>
      <c r="T258" s="332">
        <f t="shared" si="7"/>
        <v>8660543.2896403391</v>
      </c>
      <c r="U258" s="446">
        <v>74</v>
      </c>
      <c r="V258" s="10">
        <v>858</v>
      </c>
      <c r="W258" s="10">
        <v>-93359.46</v>
      </c>
      <c r="X258" s="10">
        <v>0</v>
      </c>
      <c r="Y258" s="10">
        <v>-7690.73</v>
      </c>
      <c r="Z258" s="373">
        <v>1.5</v>
      </c>
      <c r="AA258" s="400"/>
      <c r="AB258" s="400"/>
      <c r="AC258" s="400"/>
      <c r="AD258" s="400"/>
      <c r="AE258" s="400"/>
      <c r="AF258" s="400"/>
    </row>
    <row r="259" spans="1:32" x14ac:dyDescent="0.25">
      <c r="A259" s="338">
        <v>5851</v>
      </c>
      <c r="B259" s="330" t="s">
        <v>16</v>
      </c>
      <c r="C259" s="392">
        <v>738151.97</v>
      </c>
      <c r="D259" s="392">
        <v>153761.03</v>
      </c>
      <c r="E259" s="392">
        <v>0</v>
      </c>
      <c r="F259" s="392">
        <v>0</v>
      </c>
      <c r="G259" s="392">
        <v>81541.3</v>
      </c>
      <c r="H259" s="392">
        <v>5819.5</v>
      </c>
      <c r="I259" s="380">
        <v>11212.981357748147</v>
      </c>
      <c r="J259" s="392">
        <v>195823.8</v>
      </c>
      <c r="K259" s="392">
        <v>41396.54</v>
      </c>
      <c r="L259" s="392">
        <v>6856</v>
      </c>
      <c r="M259" s="392">
        <v>242268.4</v>
      </c>
      <c r="N259" s="331">
        <f t="shared" si="6"/>
        <v>1476831.5213577482</v>
      </c>
      <c r="O259" s="396">
        <v>30894.1</v>
      </c>
      <c r="P259" s="396">
        <v>96769.600000000006</v>
      </c>
      <c r="Q259" s="396">
        <v>235479.55</v>
      </c>
      <c r="R259" s="396">
        <v>9116.69</v>
      </c>
      <c r="S259" s="373">
        <v>42944.7</v>
      </c>
      <c r="T259" s="332">
        <f t="shared" si="7"/>
        <v>1892036.1613577483</v>
      </c>
      <c r="U259" s="446">
        <v>62</v>
      </c>
      <c r="V259" s="10">
        <v>451</v>
      </c>
      <c r="W259" s="10">
        <v>-21666.11</v>
      </c>
      <c r="X259" s="10">
        <v>0</v>
      </c>
      <c r="Y259" s="10">
        <v>-717.14</v>
      </c>
      <c r="Z259" s="373">
        <v>1.1000000000000001</v>
      </c>
      <c r="AA259" s="400"/>
      <c r="AB259" s="400"/>
      <c r="AC259" s="400"/>
      <c r="AD259" s="400"/>
      <c r="AE259" s="400"/>
      <c r="AF259" s="400"/>
    </row>
    <row r="260" spans="1:32" x14ac:dyDescent="0.25">
      <c r="A260" s="338">
        <v>5852</v>
      </c>
      <c r="B260" s="330" t="s">
        <v>17</v>
      </c>
      <c r="C260" s="392">
        <v>1386272.17</v>
      </c>
      <c r="D260" s="392">
        <v>806082.03</v>
      </c>
      <c r="E260" s="392">
        <v>0</v>
      </c>
      <c r="F260" s="392">
        <v>0</v>
      </c>
      <c r="G260" s="392">
        <v>7664.2</v>
      </c>
      <c r="H260" s="392">
        <v>4105.05</v>
      </c>
      <c r="I260" s="380">
        <v>1510.6132366539382</v>
      </c>
      <c r="J260" s="392">
        <v>161771.70000000001</v>
      </c>
      <c r="K260" s="392">
        <v>60098.23</v>
      </c>
      <c r="L260" s="392">
        <v>7630.35</v>
      </c>
      <c r="M260" s="392">
        <v>135958.1</v>
      </c>
      <c r="N260" s="331">
        <f t="shared" si="6"/>
        <v>2571092.4432366546</v>
      </c>
      <c r="O260" s="396">
        <v>10313.4</v>
      </c>
      <c r="P260" s="396">
        <v>113022.7</v>
      </c>
      <c r="Q260" s="396">
        <v>254943.7</v>
      </c>
      <c r="R260" s="396">
        <v>23343.47</v>
      </c>
      <c r="S260" s="373">
        <v>92081.5</v>
      </c>
      <c r="T260" s="332">
        <f t="shared" si="7"/>
        <v>3064797.2132366551</v>
      </c>
      <c r="U260" s="446">
        <v>65.5</v>
      </c>
      <c r="V260" s="10">
        <v>473</v>
      </c>
      <c r="W260" s="10">
        <v>-27108.42</v>
      </c>
      <c r="X260" s="10">
        <v>0</v>
      </c>
      <c r="Y260" s="10">
        <v>-13682.97</v>
      </c>
      <c r="Z260" s="373">
        <v>0.75</v>
      </c>
      <c r="AA260" s="400"/>
      <c r="AB260" s="400"/>
      <c r="AC260" s="400"/>
      <c r="AD260" s="400"/>
      <c r="AE260" s="400"/>
      <c r="AF260" s="400"/>
    </row>
    <row r="261" spans="1:32" x14ac:dyDescent="0.25">
      <c r="A261" s="338">
        <v>5853</v>
      </c>
      <c r="B261" s="330" t="s">
        <v>18</v>
      </c>
      <c r="C261" s="392">
        <v>1803146.48</v>
      </c>
      <c r="D261" s="392">
        <v>422839.12</v>
      </c>
      <c r="E261" s="392">
        <v>0</v>
      </c>
      <c r="F261" s="392">
        <v>0</v>
      </c>
      <c r="G261" s="392">
        <v>-1152.55</v>
      </c>
      <c r="H261" s="392">
        <v>4720.95</v>
      </c>
      <c r="I261" s="380">
        <v>458.01323565018276</v>
      </c>
      <c r="J261" s="392">
        <v>220827.3</v>
      </c>
      <c r="K261" s="392">
        <v>-53216.51</v>
      </c>
      <c r="L261" s="392">
        <v>13881.15</v>
      </c>
      <c r="M261" s="392">
        <v>199806.3</v>
      </c>
      <c r="N261" s="331">
        <f t="shared" si="6"/>
        <v>2611310.2532356502</v>
      </c>
      <c r="O261" s="396">
        <v>31372.400000000001</v>
      </c>
      <c r="P261" s="396">
        <v>24813.1</v>
      </c>
      <c r="Q261" s="396">
        <v>186617.1</v>
      </c>
      <c r="R261" s="396">
        <v>22979.31</v>
      </c>
      <c r="S261" s="373">
        <v>131753.25</v>
      </c>
      <c r="T261" s="332">
        <f t="shared" si="7"/>
        <v>3008845.4132356504</v>
      </c>
      <c r="U261" s="446">
        <v>71</v>
      </c>
      <c r="V261" s="10">
        <v>782</v>
      </c>
      <c r="W261" s="10">
        <v>-57694.6</v>
      </c>
      <c r="X261" s="10">
        <v>0</v>
      </c>
      <c r="Y261" s="10">
        <v>-1845.85</v>
      </c>
      <c r="Z261" s="373">
        <v>1</v>
      </c>
      <c r="AA261" s="400"/>
      <c r="AB261" s="400"/>
      <c r="AC261" s="400"/>
      <c r="AD261" s="400"/>
      <c r="AE261" s="400"/>
      <c r="AF261" s="400"/>
    </row>
    <row r="262" spans="1:32" x14ac:dyDescent="0.25">
      <c r="A262" s="338">
        <v>5854</v>
      </c>
      <c r="B262" s="330" t="s">
        <v>19</v>
      </c>
      <c r="C262" s="392">
        <v>726471.09</v>
      </c>
      <c r="D262" s="392">
        <v>109495.42</v>
      </c>
      <c r="E262" s="392">
        <v>0</v>
      </c>
      <c r="F262" s="392">
        <v>0</v>
      </c>
      <c r="G262" s="392">
        <v>-21821.35</v>
      </c>
      <c r="H262" s="392">
        <v>858.8</v>
      </c>
      <c r="I262" s="380">
        <v>0</v>
      </c>
      <c r="J262" s="392">
        <v>0</v>
      </c>
      <c r="K262" s="392">
        <v>26593.07</v>
      </c>
      <c r="L262" s="392">
        <v>590.29999999999995</v>
      </c>
      <c r="M262" s="392">
        <v>106192.75</v>
      </c>
      <c r="N262" s="331">
        <f t="shared" ref="N262:N314" si="8">SUM(C262:M262)</f>
        <v>948380.08000000007</v>
      </c>
      <c r="O262" s="396">
        <v>4043.85</v>
      </c>
      <c r="P262" s="396">
        <v>2120.1999999999998</v>
      </c>
      <c r="Q262" s="396">
        <v>105661.15</v>
      </c>
      <c r="R262" s="396">
        <v>5495.07</v>
      </c>
      <c r="S262" s="373">
        <v>85256.05</v>
      </c>
      <c r="T262" s="332">
        <f t="shared" ref="T262:T314" si="9">SUM(N262:S262)</f>
        <v>1150956.4000000001</v>
      </c>
      <c r="U262" s="446">
        <v>80</v>
      </c>
      <c r="V262" s="10">
        <v>390</v>
      </c>
      <c r="W262" s="10">
        <v>-35094.21</v>
      </c>
      <c r="X262" s="10">
        <v>0</v>
      </c>
      <c r="Y262" s="10">
        <v>-390.45</v>
      </c>
      <c r="Z262" s="373">
        <v>1.5</v>
      </c>
      <c r="AA262" s="400"/>
      <c r="AB262" s="400"/>
      <c r="AC262" s="400"/>
      <c r="AD262" s="400"/>
      <c r="AE262" s="400"/>
      <c r="AF262" s="400"/>
    </row>
    <row r="263" spans="1:32" x14ac:dyDescent="0.25">
      <c r="A263" s="338">
        <v>5855</v>
      </c>
      <c r="B263" s="330" t="s">
        <v>20</v>
      </c>
      <c r="C263" s="392">
        <v>2203323.67</v>
      </c>
      <c r="D263" s="392">
        <v>781682.29</v>
      </c>
      <c r="E263" s="392">
        <v>0</v>
      </c>
      <c r="F263" s="392">
        <v>0</v>
      </c>
      <c r="G263" s="392">
        <v>18129.900000000001</v>
      </c>
      <c r="H263" s="392">
        <v>11361</v>
      </c>
      <c r="I263" s="380">
        <v>3785.2321856394956</v>
      </c>
      <c r="J263" s="392">
        <v>405655.69</v>
      </c>
      <c r="K263" s="392">
        <v>155639.24</v>
      </c>
      <c r="L263" s="392">
        <v>14669.5</v>
      </c>
      <c r="M263" s="392">
        <v>173057.85</v>
      </c>
      <c r="N263" s="331">
        <f t="shared" si="8"/>
        <v>3767304.3721856396</v>
      </c>
      <c r="O263" s="396">
        <v>1577</v>
      </c>
      <c r="P263" s="396">
        <v>12774.4</v>
      </c>
      <c r="Q263" s="396">
        <v>332615.55</v>
      </c>
      <c r="R263" s="396">
        <v>1228.57</v>
      </c>
      <c r="S263" s="373">
        <v>232703.5</v>
      </c>
      <c r="T263" s="332">
        <f t="shared" si="9"/>
        <v>4348203.3921856396</v>
      </c>
      <c r="U263" s="446">
        <v>49</v>
      </c>
      <c r="V263" s="10">
        <v>639</v>
      </c>
      <c r="W263" s="10">
        <v>-14842.68</v>
      </c>
      <c r="X263" s="10">
        <v>0</v>
      </c>
      <c r="Y263" s="10">
        <v>-26944.76</v>
      </c>
      <c r="Z263" s="373">
        <v>0.5</v>
      </c>
      <c r="AA263" s="400"/>
      <c r="AB263" s="400"/>
      <c r="AC263" s="400"/>
      <c r="AD263" s="400"/>
      <c r="AE263" s="400"/>
      <c r="AF263" s="400"/>
    </row>
    <row r="264" spans="1:32" x14ac:dyDescent="0.25">
      <c r="A264" s="338">
        <v>5856</v>
      </c>
      <c r="B264" s="330" t="s">
        <v>21</v>
      </c>
      <c r="C264" s="392">
        <v>1907995.31</v>
      </c>
      <c r="D264" s="392">
        <v>152460.07999999999</v>
      </c>
      <c r="E264" s="392">
        <v>0</v>
      </c>
      <c r="F264" s="392">
        <v>0</v>
      </c>
      <c r="G264" s="392">
        <v>9095.7999999999993</v>
      </c>
      <c r="H264" s="392">
        <v>1534.5</v>
      </c>
      <c r="I264" s="380">
        <v>1364.4261010346759</v>
      </c>
      <c r="J264" s="392">
        <v>202415.25</v>
      </c>
      <c r="K264" s="392">
        <v>37303.040000000001</v>
      </c>
      <c r="L264" s="392">
        <v>1989.75</v>
      </c>
      <c r="M264" s="392">
        <v>238218.5</v>
      </c>
      <c r="N264" s="331">
        <f t="shared" si="8"/>
        <v>2552376.656101035</v>
      </c>
      <c r="O264" s="396">
        <v>5455.65</v>
      </c>
      <c r="P264" s="396">
        <v>1176.2</v>
      </c>
      <c r="Q264" s="396">
        <v>66264.25</v>
      </c>
      <c r="R264" s="396">
        <v>5855.17</v>
      </c>
      <c r="S264" s="373">
        <v>57373.35</v>
      </c>
      <c r="T264" s="332">
        <f t="shared" si="9"/>
        <v>2688501.2761010351</v>
      </c>
      <c r="U264" s="446">
        <v>68</v>
      </c>
      <c r="V264" s="10">
        <v>722</v>
      </c>
      <c r="W264" s="10">
        <v>-18130.95</v>
      </c>
      <c r="X264" s="10">
        <v>0</v>
      </c>
      <c r="Y264" s="10">
        <v>-2264.71</v>
      </c>
      <c r="Z264" s="373">
        <v>1.3</v>
      </c>
      <c r="AA264" s="400"/>
      <c r="AB264" s="400"/>
      <c r="AC264" s="400"/>
      <c r="AD264" s="400"/>
      <c r="AE264" s="400"/>
      <c r="AF264" s="400"/>
    </row>
    <row r="265" spans="1:32" x14ac:dyDescent="0.25">
      <c r="A265" s="338">
        <v>5857</v>
      </c>
      <c r="B265" s="330" t="s">
        <v>22</v>
      </c>
      <c r="C265" s="392">
        <v>4265829.24</v>
      </c>
      <c r="D265" s="392">
        <v>797966.37</v>
      </c>
      <c r="E265" s="392">
        <v>0</v>
      </c>
      <c r="F265" s="392">
        <v>0</v>
      </c>
      <c r="G265" s="392">
        <v>126483.8</v>
      </c>
      <c r="H265" s="392">
        <v>4788.1000000000004</v>
      </c>
      <c r="I265" s="380">
        <v>16849.082969663494</v>
      </c>
      <c r="J265" s="392">
        <v>0</v>
      </c>
      <c r="K265" s="392">
        <v>69439.05</v>
      </c>
      <c r="L265" s="392">
        <v>316.95000000000101</v>
      </c>
      <c r="M265" s="392">
        <v>396139.95</v>
      </c>
      <c r="N265" s="331">
        <f t="shared" si="8"/>
        <v>5677812.5429696636</v>
      </c>
      <c r="O265" s="396">
        <v>68107.399999999994</v>
      </c>
      <c r="P265" s="396">
        <v>53955</v>
      </c>
      <c r="Q265" s="396">
        <v>141278.04999999999</v>
      </c>
      <c r="R265" s="396">
        <v>458.97</v>
      </c>
      <c r="S265" s="373">
        <v>231550.9</v>
      </c>
      <c r="T265" s="332">
        <f t="shared" si="9"/>
        <v>6173162.8629696639</v>
      </c>
      <c r="U265" s="446">
        <v>66</v>
      </c>
      <c r="V265" s="10">
        <v>1370</v>
      </c>
      <c r="W265" s="10">
        <v>-37534.22</v>
      </c>
      <c r="X265" s="10">
        <v>0</v>
      </c>
      <c r="Y265" s="10">
        <v>-1357.23</v>
      </c>
      <c r="Z265" s="373">
        <v>1</v>
      </c>
      <c r="AA265" s="400"/>
      <c r="AB265" s="400"/>
      <c r="AC265" s="400"/>
      <c r="AD265" s="400"/>
      <c r="AE265" s="400"/>
      <c r="AF265" s="400"/>
    </row>
    <row r="266" spans="1:32" x14ac:dyDescent="0.25">
      <c r="A266" s="338">
        <v>5858</v>
      </c>
      <c r="B266" s="330" t="s">
        <v>23</v>
      </c>
      <c r="C266" s="392">
        <v>1945188.87</v>
      </c>
      <c r="D266" s="392">
        <v>435802.59</v>
      </c>
      <c r="E266" s="392">
        <v>0</v>
      </c>
      <c r="F266" s="392">
        <v>0</v>
      </c>
      <c r="G266" s="392">
        <v>13067.85</v>
      </c>
      <c r="H266" s="392">
        <v>1079.5999999999999</v>
      </c>
      <c r="I266" s="380">
        <v>1815.8612685515016</v>
      </c>
      <c r="J266" s="392">
        <v>312088.55</v>
      </c>
      <c r="K266" s="392">
        <v>-13723.39</v>
      </c>
      <c r="L266" s="392">
        <v>1024.6500000000001</v>
      </c>
      <c r="M266" s="392">
        <v>228461.95</v>
      </c>
      <c r="N266" s="331">
        <f t="shared" si="8"/>
        <v>2924806.5312685515</v>
      </c>
      <c r="O266" s="396">
        <v>2969.1</v>
      </c>
      <c r="P266" s="396">
        <v>0</v>
      </c>
      <c r="Q266" s="396">
        <v>18480</v>
      </c>
      <c r="R266" s="396">
        <v>0</v>
      </c>
      <c r="S266" s="373">
        <v>29659.25</v>
      </c>
      <c r="T266" s="332">
        <f t="shared" si="9"/>
        <v>2975914.8812685516</v>
      </c>
      <c r="U266" s="446">
        <v>60</v>
      </c>
      <c r="V266" s="10">
        <v>621</v>
      </c>
      <c r="W266" s="10">
        <v>-42838.27</v>
      </c>
      <c r="X266" s="10">
        <v>0</v>
      </c>
      <c r="Y266" s="10">
        <v>-4617.59</v>
      </c>
      <c r="Z266" s="373">
        <v>1.5</v>
      </c>
      <c r="AA266" s="400"/>
      <c r="AB266" s="400"/>
      <c r="AC266" s="400"/>
      <c r="AD266" s="400"/>
      <c r="AE266" s="400"/>
      <c r="AF266" s="400"/>
    </row>
    <row r="267" spans="1:32" x14ac:dyDescent="0.25">
      <c r="A267" s="338">
        <v>5859</v>
      </c>
      <c r="B267" s="330" t="s">
        <v>24</v>
      </c>
      <c r="C267" s="392">
        <v>6248084.79</v>
      </c>
      <c r="D267" s="392">
        <v>1583138.43</v>
      </c>
      <c r="E267" s="392">
        <v>0</v>
      </c>
      <c r="F267" s="392">
        <v>0</v>
      </c>
      <c r="G267" s="392">
        <v>52235.3</v>
      </c>
      <c r="H267" s="392">
        <v>11384.45</v>
      </c>
      <c r="I267" s="380">
        <v>8165.7570756517525</v>
      </c>
      <c r="J267" s="392">
        <v>400938.75</v>
      </c>
      <c r="K267" s="392">
        <v>34697.019999999997</v>
      </c>
      <c r="L267" s="392">
        <v>-3507.85</v>
      </c>
      <c r="M267" s="392">
        <v>642245.4</v>
      </c>
      <c r="N267" s="331">
        <f t="shared" si="8"/>
        <v>8977382.0470756516</v>
      </c>
      <c r="O267" s="396">
        <v>89553.8</v>
      </c>
      <c r="P267" s="396">
        <v>340692.4</v>
      </c>
      <c r="Q267" s="396">
        <v>528407.65</v>
      </c>
      <c r="R267" s="396">
        <v>14401.12</v>
      </c>
      <c r="S267" s="373">
        <v>433466.6</v>
      </c>
      <c r="T267" s="332">
        <f t="shared" si="9"/>
        <v>10383903.617075652</v>
      </c>
      <c r="U267" s="446">
        <v>65</v>
      </c>
      <c r="V267" s="10">
        <v>2677</v>
      </c>
      <c r="W267" s="10">
        <v>-112670.63</v>
      </c>
      <c r="X267" s="10">
        <v>0</v>
      </c>
      <c r="Y267" s="10">
        <v>-16120.36</v>
      </c>
      <c r="Z267" s="373">
        <v>1</v>
      </c>
      <c r="AA267" s="400"/>
      <c r="AB267" s="400"/>
      <c r="AC267" s="400"/>
      <c r="AD267" s="400"/>
      <c r="AE267" s="400"/>
      <c r="AF267" s="400"/>
    </row>
    <row r="268" spans="1:32" x14ac:dyDescent="0.25">
      <c r="A268" s="338">
        <v>5860</v>
      </c>
      <c r="B268" s="330" t="s">
        <v>25</v>
      </c>
      <c r="C268" s="392">
        <v>4165759.77</v>
      </c>
      <c r="D268" s="392">
        <v>960197.33</v>
      </c>
      <c r="E268" s="392">
        <v>0</v>
      </c>
      <c r="F268" s="392">
        <v>0</v>
      </c>
      <c r="G268" s="392">
        <v>78701.2</v>
      </c>
      <c r="H268" s="392">
        <v>10716.15</v>
      </c>
      <c r="I268" s="380">
        <v>11476.944792278016</v>
      </c>
      <c r="J268" s="392">
        <v>338946</v>
      </c>
      <c r="K268" s="392">
        <v>156201.74</v>
      </c>
      <c r="L268" s="392">
        <v>21132.799999999999</v>
      </c>
      <c r="M268" s="392">
        <v>655399.4</v>
      </c>
      <c r="N268" s="331">
        <f t="shared" si="8"/>
        <v>6398531.3347922787</v>
      </c>
      <c r="O268" s="396">
        <v>29086.45</v>
      </c>
      <c r="P268" s="396">
        <v>49472.3</v>
      </c>
      <c r="Q268" s="396">
        <v>364170.75</v>
      </c>
      <c r="R268" s="396">
        <v>640.59</v>
      </c>
      <c r="S268" s="373">
        <v>52651.75</v>
      </c>
      <c r="T268" s="332">
        <f t="shared" si="9"/>
        <v>6894553.1747922786</v>
      </c>
      <c r="U268" s="446">
        <v>60</v>
      </c>
      <c r="V268" s="10">
        <v>1497</v>
      </c>
      <c r="W268" s="10">
        <v>-73842.09</v>
      </c>
      <c r="X268" s="10">
        <v>0</v>
      </c>
      <c r="Y268" s="10">
        <v>-15722.58</v>
      </c>
      <c r="Z268" s="373">
        <v>1.3</v>
      </c>
      <c r="AA268" s="400"/>
      <c r="AB268" s="400"/>
      <c r="AC268" s="400"/>
      <c r="AD268" s="400"/>
      <c r="AE268" s="400"/>
      <c r="AF268" s="400"/>
    </row>
    <row r="269" spans="1:32" x14ac:dyDescent="0.25">
      <c r="A269" s="338">
        <v>5861</v>
      </c>
      <c r="B269" s="330" t="s">
        <v>26</v>
      </c>
      <c r="C269" s="392">
        <v>13309442.83</v>
      </c>
      <c r="D269" s="392">
        <v>2545024.19</v>
      </c>
      <c r="E269" s="392">
        <v>0</v>
      </c>
      <c r="F269" s="392">
        <v>0</v>
      </c>
      <c r="G269" s="392">
        <v>9200000</v>
      </c>
      <c r="H269" s="392">
        <v>300000</v>
      </c>
      <c r="I269" s="380">
        <v>2816505.1845632973</v>
      </c>
      <c r="J269" s="392">
        <v>814847.83</v>
      </c>
      <c r="K269" s="392">
        <v>1420528.04</v>
      </c>
      <c r="L269" s="392">
        <v>284336.55</v>
      </c>
      <c r="M269" s="392">
        <v>1789083.05</v>
      </c>
      <c r="N269" s="331">
        <f t="shared" si="8"/>
        <v>32479767.674563296</v>
      </c>
      <c r="O269" s="396">
        <v>598198.19999999995</v>
      </c>
      <c r="P269" s="396">
        <v>380747.1</v>
      </c>
      <c r="Q269" s="396">
        <v>1909515.8</v>
      </c>
      <c r="R269" s="396">
        <v>65459.81</v>
      </c>
      <c r="S269" s="373">
        <v>328718.3</v>
      </c>
      <c r="T269" s="332">
        <f t="shared" si="9"/>
        <v>35762406.884563297</v>
      </c>
      <c r="U269" s="446">
        <v>59.5</v>
      </c>
      <c r="V269" s="10">
        <v>6245</v>
      </c>
      <c r="W269" s="10">
        <v>-249778.26</v>
      </c>
      <c r="X269" s="10">
        <v>0</v>
      </c>
      <c r="Y269" s="10">
        <v>-29710.37</v>
      </c>
      <c r="Z269" s="373">
        <v>1</v>
      </c>
      <c r="AA269" s="400"/>
      <c r="AB269" s="400"/>
      <c r="AC269" s="400"/>
      <c r="AD269" s="400"/>
      <c r="AE269" s="400"/>
      <c r="AF269" s="400"/>
    </row>
    <row r="270" spans="1:32" x14ac:dyDescent="0.25">
      <c r="A270" s="338">
        <v>5862</v>
      </c>
      <c r="B270" s="330" t="s">
        <v>27</v>
      </c>
      <c r="C270" s="392">
        <v>740367.43</v>
      </c>
      <c r="D270" s="392">
        <v>87975.28</v>
      </c>
      <c r="E270" s="392">
        <v>0</v>
      </c>
      <c r="F270" s="392">
        <v>0</v>
      </c>
      <c r="G270" s="392">
        <v>5854.1</v>
      </c>
      <c r="H270" s="392">
        <v>128.94999999999999</v>
      </c>
      <c r="I270" s="380">
        <v>767.9397179567386</v>
      </c>
      <c r="J270" s="392">
        <v>0</v>
      </c>
      <c r="K270" s="392">
        <v>14597.16</v>
      </c>
      <c r="L270" s="392">
        <v>0</v>
      </c>
      <c r="M270" s="392">
        <v>49637.7</v>
      </c>
      <c r="N270" s="331">
        <f t="shared" si="8"/>
        <v>899328.5597179567</v>
      </c>
      <c r="O270" s="396">
        <v>4147.8</v>
      </c>
      <c r="P270" s="396">
        <v>0</v>
      </c>
      <c r="Q270" s="396">
        <v>0</v>
      </c>
      <c r="R270" s="396">
        <v>0</v>
      </c>
      <c r="S270" s="373">
        <v>3733.3</v>
      </c>
      <c r="T270" s="332">
        <f t="shared" si="9"/>
        <v>907209.65971795679</v>
      </c>
      <c r="U270" s="446">
        <v>81</v>
      </c>
      <c r="V270" s="10">
        <v>233</v>
      </c>
      <c r="W270" s="10">
        <v>-12090.29</v>
      </c>
      <c r="X270" s="10">
        <v>0</v>
      </c>
      <c r="Y270" s="10">
        <v>-56.96</v>
      </c>
      <c r="Z270" s="373">
        <v>1</v>
      </c>
      <c r="AA270" s="400"/>
      <c r="AB270" s="400"/>
      <c r="AC270" s="400"/>
      <c r="AD270" s="400"/>
      <c r="AE270" s="400"/>
      <c r="AF270" s="400"/>
    </row>
    <row r="271" spans="1:32" x14ac:dyDescent="0.25">
      <c r="A271" s="338">
        <v>5863</v>
      </c>
      <c r="B271" s="330" t="s">
        <v>28</v>
      </c>
      <c r="C271" s="392">
        <v>876150.37</v>
      </c>
      <c r="D271" s="392">
        <v>230138.82</v>
      </c>
      <c r="E271" s="392">
        <v>0</v>
      </c>
      <c r="F271" s="392">
        <v>0</v>
      </c>
      <c r="G271" s="392">
        <v>10493.1</v>
      </c>
      <c r="H271" s="392">
        <v>5331.9</v>
      </c>
      <c r="I271" s="380">
        <v>2031.1790870317625</v>
      </c>
      <c r="J271" s="392">
        <v>42873.3</v>
      </c>
      <c r="K271" s="392">
        <v>24348.21</v>
      </c>
      <c r="L271" s="392">
        <v>2004.9</v>
      </c>
      <c r="M271" s="392">
        <v>81667</v>
      </c>
      <c r="N271" s="331">
        <f t="shared" si="8"/>
        <v>1275038.7790870317</v>
      </c>
      <c r="O271" s="396">
        <v>16833.150000000001</v>
      </c>
      <c r="P271" s="396">
        <v>0</v>
      </c>
      <c r="Q271" s="396">
        <v>88043.7</v>
      </c>
      <c r="R271" s="396">
        <v>0</v>
      </c>
      <c r="S271" s="373">
        <v>0</v>
      </c>
      <c r="T271" s="332">
        <f t="shared" si="9"/>
        <v>1379915.6290870316</v>
      </c>
      <c r="U271" s="446">
        <v>67</v>
      </c>
      <c r="V271" s="10">
        <v>355</v>
      </c>
      <c r="W271" s="10">
        <v>-77110.460000000006</v>
      </c>
      <c r="X271" s="10">
        <v>0</v>
      </c>
      <c r="Y271" s="10">
        <v>-1754.25</v>
      </c>
      <c r="Z271" s="373">
        <v>1</v>
      </c>
      <c r="AA271" s="400"/>
      <c r="AB271" s="400"/>
      <c r="AC271" s="400"/>
      <c r="AD271" s="400"/>
      <c r="AE271" s="400"/>
      <c r="AF271" s="400"/>
    </row>
    <row r="272" spans="1:32" x14ac:dyDescent="0.25">
      <c r="A272" s="338">
        <v>5871</v>
      </c>
      <c r="B272" s="330" t="s">
        <v>29</v>
      </c>
      <c r="C272" s="392">
        <v>2698241.17</v>
      </c>
      <c r="D272" s="392">
        <v>468107.83999999997</v>
      </c>
      <c r="E272" s="392">
        <v>0</v>
      </c>
      <c r="F272" s="392">
        <v>0</v>
      </c>
      <c r="G272" s="392">
        <v>122037.55000000002</v>
      </c>
      <c r="H272" s="392">
        <v>8525.85</v>
      </c>
      <c r="I272" s="380">
        <v>16758.145188736988</v>
      </c>
      <c r="J272" s="392">
        <v>0</v>
      </c>
      <c r="K272" s="392">
        <v>40007.78</v>
      </c>
      <c r="L272" s="392">
        <v>3864.65</v>
      </c>
      <c r="M272" s="392">
        <v>259973.59999999998</v>
      </c>
      <c r="N272" s="331">
        <f t="shared" si="8"/>
        <v>3617516.5851887367</v>
      </c>
      <c r="O272" s="396">
        <v>654987.30000000005</v>
      </c>
      <c r="P272" s="396">
        <v>65504.1</v>
      </c>
      <c r="Q272" s="396">
        <v>124027.95</v>
      </c>
      <c r="R272" s="396">
        <v>445.17</v>
      </c>
      <c r="S272" s="373">
        <v>77452.399999999994</v>
      </c>
      <c r="T272" s="332">
        <f t="shared" si="9"/>
        <v>4539933.5051887371</v>
      </c>
      <c r="U272" s="446">
        <v>77.599999999999994</v>
      </c>
      <c r="V272" s="10">
        <v>1481</v>
      </c>
      <c r="W272" s="10">
        <v>-16403.990000000002</v>
      </c>
      <c r="X272" s="10">
        <v>0</v>
      </c>
      <c r="Y272" s="10">
        <v>-321.19</v>
      </c>
      <c r="Z272" s="373">
        <v>1</v>
      </c>
      <c r="AA272" s="400"/>
      <c r="AB272" s="400"/>
      <c r="AC272" s="400"/>
      <c r="AD272" s="400"/>
      <c r="AE272" s="400"/>
      <c r="AF272" s="400"/>
    </row>
    <row r="273" spans="1:32" x14ac:dyDescent="0.25">
      <c r="A273" s="338">
        <v>5872</v>
      </c>
      <c r="B273" s="330" t="s">
        <v>203</v>
      </c>
      <c r="C273" s="392">
        <v>7209821.0899999999</v>
      </c>
      <c r="D273" s="392">
        <v>1047644.68</v>
      </c>
      <c r="E273" s="392">
        <v>0</v>
      </c>
      <c r="F273" s="392">
        <v>0</v>
      </c>
      <c r="G273" s="392">
        <v>6835177.5</v>
      </c>
      <c r="H273" s="392">
        <v>395184.5</v>
      </c>
      <c r="I273" s="380">
        <v>928035.39248462231</v>
      </c>
      <c r="J273" s="392">
        <v>0</v>
      </c>
      <c r="K273" s="392">
        <v>351851.14</v>
      </c>
      <c r="L273" s="392">
        <v>38880.699999999997</v>
      </c>
      <c r="M273" s="392">
        <v>728194.4</v>
      </c>
      <c r="N273" s="331">
        <f t="shared" si="8"/>
        <v>17534789.402484622</v>
      </c>
      <c r="O273" s="396">
        <v>7378758.0999999996</v>
      </c>
      <c r="P273" s="396">
        <v>325830.40000000002</v>
      </c>
      <c r="Q273" s="396">
        <v>258409.65</v>
      </c>
      <c r="R273" s="396">
        <v>10048.540000000001</v>
      </c>
      <c r="S273" s="373">
        <v>324606.09999999998</v>
      </c>
      <c r="T273" s="332">
        <f t="shared" si="9"/>
        <v>25832442.192484617</v>
      </c>
      <c r="U273" s="446">
        <v>68.39</v>
      </c>
      <c r="V273" s="10">
        <v>4657</v>
      </c>
      <c r="W273" s="10">
        <v>-170148.98</v>
      </c>
      <c r="X273" s="10">
        <v>0</v>
      </c>
      <c r="Y273" s="10">
        <v>-5655.62</v>
      </c>
      <c r="Z273" s="373">
        <v>1</v>
      </c>
      <c r="AA273" s="400"/>
      <c r="AB273" s="400"/>
      <c r="AC273" s="400"/>
      <c r="AD273" s="400"/>
      <c r="AE273" s="400"/>
      <c r="AF273" s="400"/>
    </row>
    <row r="274" spans="1:32" x14ac:dyDescent="0.25">
      <c r="A274" s="338">
        <v>5873</v>
      </c>
      <c r="B274" s="330" t="s">
        <v>204</v>
      </c>
      <c r="C274" s="392">
        <v>1464482.71</v>
      </c>
      <c r="D274" s="392">
        <v>239025.07</v>
      </c>
      <c r="E274" s="392">
        <v>0</v>
      </c>
      <c r="F274" s="392">
        <v>0</v>
      </c>
      <c r="G274" s="392">
        <v>99111.2</v>
      </c>
      <c r="H274" s="392">
        <v>11043.9</v>
      </c>
      <c r="I274" s="380">
        <v>14138.687864132227</v>
      </c>
      <c r="J274" s="392">
        <v>0</v>
      </c>
      <c r="K274" s="392">
        <v>37307.85</v>
      </c>
      <c r="L274" s="392">
        <v>0</v>
      </c>
      <c r="M274" s="392">
        <v>84816.5</v>
      </c>
      <c r="N274" s="331">
        <f t="shared" si="8"/>
        <v>1949925.9178641322</v>
      </c>
      <c r="O274" s="396">
        <v>811975.45</v>
      </c>
      <c r="P274" s="396">
        <v>0</v>
      </c>
      <c r="Q274" s="396">
        <v>39988.65</v>
      </c>
      <c r="R274" s="396">
        <v>12230.35</v>
      </c>
      <c r="S274" s="373">
        <v>41358.9</v>
      </c>
      <c r="T274" s="332">
        <f t="shared" si="9"/>
        <v>2855479.2678641318</v>
      </c>
      <c r="U274" s="446">
        <v>70</v>
      </c>
      <c r="V274" s="10">
        <v>900</v>
      </c>
      <c r="W274" s="10">
        <v>-22500.99</v>
      </c>
      <c r="X274" s="10">
        <v>0</v>
      </c>
      <c r="Y274" s="10">
        <v>-111.33</v>
      </c>
      <c r="Z274" s="373">
        <v>0.6</v>
      </c>
      <c r="AA274" s="400"/>
      <c r="AB274" s="400"/>
      <c r="AC274" s="400"/>
      <c r="AD274" s="400"/>
      <c r="AE274" s="400"/>
      <c r="AF274" s="400"/>
    </row>
    <row r="275" spans="1:32" x14ac:dyDescent="0.25">
      <c r="A275" s="338">
        <v>5881</v>
      </c>
      <c r="B275" s="330" t="s">
        <v>205</v>
      </c>
      <c r="C275" s="392">
        <v>18749753.210000001</v>
      </c>
      <c r="D275" s="392">
        <v>3369295.39</v>
      </c>
      <c r="E275" s="392">
        <v>0</v>
      </c>
      <c r="F275" s="392">
        <v>0</v>
      </c>
      <c r="G275" s="392">
        <v>114418.65</v>
      </c>
      <c r="H275" s="392">
        <v>17478</v>
      </c>
      <c r="I275" s="380">
        <v>16929.271224615983</v>
      </c>
      <c r="J275" s="392">
        <v>924683.62</v>
      </c>
      <c r="K275" s="392">
        <v>56787.64</v>
      </c>
      <c r="L275" s="392">
        <v>48743.65</v>
      </c>
      <c r="M275" s="392">
        <v>1674622</v>
      </c>
      <c r="N275" s="331">
        <f t="shared" si="8"/>
        <v>24972711.431224614</v>
      </c>
      <c r="O275" s="396">
        <v>152382.95000000001</v>
      </c>
      <c r="P275" s="396">
        <v>498862.9</v>
      </c>
      <c r="Q275" s="396">
        <v>1103773.3</v>
      </c>
      <c r="R275" s="396">
        <v>64085.760000000002</v>
      </c>
      <c r="S275" s="373">
        <v>988588.4</v>
      </c>
      <c r="T275" s="332">
        <f t="shared" si="9"/>
        <v>27780404.741224613</v>
      </c>
      <c r="U275" s="446">
        <v>70</v>
      </c>
      <c r="V275" s="10">
        <v>6151</v>
      </c>
      <c r="W275" s="10">
        <v>-123266.91</v>
      </c>
      <c r="X275" s="10">
        <v>0</v>
      </c>
      <c r="Y275" s="10">
        <v>-56915.75</v>
      </c>
      <c r="Z275" s="373">
        <v>1</v>
      </c>
      <c r="AA275" s="400"/>
      <c r="AB275" s="400"/>
      <c r="AC275" s="400"/>
      <c r="AD275" s="400"/>
      <c r="AE275" s="400"/>
      <c r="AF275" s="400"/>
    </row>
    <row r="276" spans="1:32" x14ac:dyDescent="0.25">
      <c r="A276" s="338">
        <v>5882</v>
      </c>
      <c r="B276" s="330" t="s">
        <v>206</v>
      </c>
      <c r="C276" s="392">
        <v>8561970.7400000002</v>
      </c>
      <c r="D276" s="392">
        <v>1954754.95</v>
      </c>
      <c r="E276" s="392">
        <v>0</v>
      </c>
      <c r="F276" s="392">
        <v>0</v>
      </c>
      <c r="G276" s="392">
        <v>179101.6</v>
      </c>
      <c r="H276" s="392">
        <v>17062.75</v>
      </c>
      <c r="I276" s="380">
        <v>25178.19433435571</v>
      </c>
      <c r="J276" s="392">
        <v>614230.69999999995</v>
      </c>
      <c r="K276" s="392">
        <v>216635.78</v>
      </c>
      <c r="L276" s="392">
        <v>97377.85</v>
      </c>
      <c r="M276" s="392">
        <v>974587.82</v>
      </c>
      <c r="N276" s="331">
        <f t="shared" si="8"/>
        <v>12640900.384334354</v>
      </c>
      <c r="O276" s="396">
        <v>12885.05</v>
      </c>
      <c r="P276" s="396">
        <v>1376729.5</v>
      </c>
      <c r="Q276" s="396">
        <v>528615.75</v>
      </c>
      <c r="R276" s="396">
        <v>39342.26</v>
      </c>
      <c r="S276" s="373">
        <v>425357.8</v>
      </c>
      <c r="T276" s="332">
        <f t="shared" si="9"/>
        <v>15023830.744334355</v>
      </c>
      <c r="U276" s="446">
        <v>68</v>
      </c>
      <c r="V276" s="10">
        <v>3032</v>
      </c>
      <c r="W276" s="10">
        <v>-142700.22</v>
      </c>
      <c r="X276" s="10">
        <v>0</v>
      </c>
      <c r="Y276" s="10">
        <v>-21074.02</v>
      </c>
      <c r="Z276" s="373">
        <v>1</v>
      </c>
      <c r="AA276" s="400"/>
      <c r="AB276" s="400"/>
      <c r="AC276" s="400"/>
      <c r="AD276" s="400"/>
      <c r="AE276" s="400"/>
      <c r="AF276" s="400"/>
    </row>
    <row r="277" spans="1:32" x14ac:dyDescent="0.25">
      <c r="A277" s="338">
        <v>5883</v>
      </c>
      <c r="B277" s="330" t="s">
        <v>207</v>
      </c>
      <c r="C277" s="392">
        <v>8145592.4500000002</v>
      </c>
      <c r="D277" s="392">
        <v>1920029.59</v>
      </c>
      <c r="E277" s="392">
        <v>0</v>
      </c>
      <c r="F277" s="392">
        <v>0</v>
      </c>
      <c r="G277" s="392">
        <v>162239.45000000001</v>
      </c>
      <c r="H277" s="392">
        <v>25942.5</v>
      </c>
      <c r="I277" s="380">
        <v>24153.632947668677</v>
      </c>
      <c r="J277" s="392">
        <v>254076.2</v>
      </c>
      <c r="K277" s="392">
        <v>180520.74</v>
      </c>
      <c r="L277" s="392">
        <v>5591.05</v>
      </c>
      <c r="M277" s="392">
        <v>670114.35</v>
      </c>
      <c r="N277" s="331">
        <f t="shared" si="8"/>
        <v>11388259.962947669</v>
      </c>
      <c r="O277" s="396">
        <v>2957.75</v>
      </c>
      <c r="P277" s="396">
        <v>85276.800000000003</v>
      </c>
      <c r="Q277" s="396">
        <v>281920.05</v>
      </c>
      <c r="R277" s="396">
        <v>21638.560000000001</v>
      </c>
      <c r="S277" s="373">
        <v>313200.34999999998</v>
      </c>
      <c r="T277" s="332">
        <f t="shared" si="9"/>
        <v>12093253.47294767</v>
      </c>
      <c r="U277" s="446">
        <v>69</v>
      </c>
      <c r="V277" s="10">
        <v>2287</v>
      </c>
      <c r="W277" s="10">
        <v>-45401.71</v>
      </c>
      <c r="X277" s="10">
        <v>0</v>
      </c>
      <c r="Y277" s="10">
        <v>-17264.27</v>
      </c>
      <c r="Z277" s="373">
        <v>1</v>
      </c>
      <c r="AA277" s="400"/>
      <c r="AB277" s="400"/>
      <c r="AC277" s="400"/>
      <c r="AD277" s="400"/>
      <c r="AE277" s="400"/>
      <c r="AF277" s="400"/>
    </row>
    <row r="278" spans="1:32" x14ac:dyDescent="0.25">
      <c r="A278" s="338">
        <v>5884</v>
      </c>
      <c r="B278" s="330" t="s">
        <v>49</v>
      </c>
      <c r="C278" s="392">
        <v>5588982.1200000001</v>
      </c>
      <c r="D278" s="392">
        <v>859534.87</v>
      </c>
      <c r="E278" s="392">
        <v>0</v>
      </c>
      <c r="F278" s="392">
        <v>0</v>
      </c>
      <c r="G278" s="392">
        <v>522702.85</v>
      </c>
      <c r="H278" s="392">
        <v>75888</v>
      </c>
      <c r="I278" s="380">
        <v>76830.661371789363</v>
      </c>
      <c r="J278" s="392">
        <v>27182.15</v>
      </c>
      <c r="K278" s="392">
        <v>206700.69</v>
      </c>
      <c r="L278" s="392">
        <v>184493.7</v>
      </c>
      <c r="M278" s="392">
        <v>953079.7</v>
      </c>
      <c r="N278" s="331">
        <f t="shared" si="8"/>
        <v>8495394.7413717899</v>
      </c>
      <c r="O278" s="396">
        <v>468496.5</v>
      </c>
      <c r="P278" s="396">
        <v>0</v>
      </c>
      <c r="Q278" s="396">
        <v>327007.09999999998</v>
      </c>
      <c r="R278" s="396">
        <v>281071.89</v>
      </c>
      <c r="S278" s="373">
        <v>147434</v>
      </c>
      <c r="T278" s="332">
        <f t="shared" si="9"/>
        <v>9719404.2313717902</v>
      </c>
      <c r="U278" s="446">
        <v>66</v>
      </c>
      <c r="V278" s="10">
        <v>3363</v>
      </c>
      <c r="W278" s="10">
        <v>-357596.62</v>
      </c>
      <c r="X278" s="10">
        <v>0</v>
      </c>
      <c r="Y278" s="10">
        <v>-2345.4699999999998</v>
      </c>
      <c r="Z278" s="373">
        <v>1.2</v>
      </c>
      <c r="AA278" s="400"/>
      <c r="AB278" s="400"/>
      <c r="AC278" s="400"/>
      <c r="AD278" s="400"/>
      <c r="AE278" s="400"/>
      <c r="AF278" s="400"/>
    </row>
    <row r="279" spans="1:32" x14ac:dyDescent="0.25">
      <c r="A279" s="338">
        <v>5885</v>
      </c>
      <c r="B279" s="330" t="s">
        <v>50</v>
      </c>
      <c r="C279" s="392">
        <v>4545266.9400000004</v>
      </c>
      <c r="D279" s="392">
        <v>715738.85</v>
      </c>
      <c r="E279" s="392">
        <v>0</v>
      </c>
      <c r="F279" s="392">
        <v>0</v>
      </c>
      <c r="G279" s="392">
        <v>-159801.15</v>
      </c>
      <c r="H279" s="392">
        <v>5301.55</v>
      </c>
      <c r="I279" s="380">
        <v>0</v>
      </c>
      <c r="J279" s="392">
        <v>88300.65</v>
      </c>
      <c r="K279" s="392">
        <v>46573.95</v>
      </c>
      <c r="L279" s="392">
        <v>15374.25</v>
      </c>
      <c r="M279" s="392">
        <v>475431.45</v>
      </c>
      <c r="N279" s="331">
        <f t="shared" si="8"/>
        <v>5732186.4900000002</v>
      </c>
      <c r="O279" s="396">
        <v>1555.2</v>
      </c>
      <c r="P279" s="396">
        <v>65561.7</v>
      </c>
      <c r="Q279" s="396">
        <v>344329.9</v>
      </c>
      <c r="R279" s="396">
        <v>3858.2</v>
      </c>
      <c r="S279" s="373">
        <v>176221.3</v>
      </c>
      <c r="T279" s="332">
        <f t="shared" si="9"/>
        <v>6323712.790000001</v>
      </c>
      <c r="U279" s="446">
        <v>71</v>
      </c>
      <c r="V279" s="10">
        <v>1544</v>
      </c>
      <c r="W279" s="10">
        <v>-67105.17</v>
      </c>
      <c r="X279" s="10">
        <v>0</v>
      </c>
      <c r="Y279" s="10">
        <v>-5840.13</v>
      </c>
      <c r="Z279" s="373">
        <v>1.2</v>
      </c>
      <c r="AA279" s="400"/>
      <c r="AB279" s="400"/>
      <c r="AC279" s="400"/>
      <c r="AD279" s="400"/>
      <c r="AE279" s="400"/>
      <c r="AF279" s="400"/>
    </row>
    <row r="280" spans="1:32" x14ac:dyDescent="0.25">
      <c r="A280" s="338">
        <v>5886</v>
      </c>
      <c r="B280" s="330" t="s">
        <v>51</v>
      </c>
      <c r="C280" s="392">
        <v>44538354.869999997</v>
      </c>
      <c r="D280" s="392">
        <v>10802295.57</v>
      </c>
      <c r="E280" s="392">
        <v>0</v>
      </c>
      <c r="F280" s="392">
        <v>0</v>
      </c>
      <c r="G280" s="392">
        <v>3461722.55</v>
      </c>
      <c r="H280" s="392">
        <v>630249.44999999995</v>
      </c>
      <c r="I280" s="380">
        <v>525215.03640565788</v>
      </c>
      <c r="J280" s="392">
        <v>4543184.4800000004</v>
      </c>
      <c r="K280" s="392">
        <v>2745817.61</v>
      </c>
      <c r="L280" s="392">
        <v>364982.25</v>
      </c>
      <c r="M280" s="392">
        <v>10391782.52</v>
      </c>
      <c r="N280" s="331">
        <f t="shared" si="8"/>
        <v>78003604.33640565</v>
      </c>
      <c r="O280" s="396">
        <v>768045.85</v>
      </c>
      <c r="P280" s="396">
        <v>8483433.5500000007</v>
      </c>
      <c r="Q280" s="396">
        <v>4846537.45</v>
      </c>
      <c r="R280" s="396">
        <v>546343.71</v>
      </c>
      <c r="S280" s="373">
        <v>2431435.2000000002</v>
      </c>
      <c r="T280" s="332">
        <f t="shared" si="9"/>
        <v>95079400.09640564</v>
      </c>
      <c r="U280" s="446">
        <v>65</v>
      </c>
      <c r="V280" s="10">
        <v>26065</v>
      </c>
      <c r="W280" s="10">
        <v>-1300291.2</v>
      </c>
      <c r="X280" s="10">
        <v>0</v>
      </c>
      <c r="Y280" s="10">
        <v>-90908.160000000003</v>
      </c>
      <c r="Z280" s="373">
        <v>1.5</v>
      </c>
      <c r="AA280" s="400"/>
      <c r="AB280" s="400"/>
      <c r="AC280" s="400"/>
      <c r="AD280" s="400"/>
      <c r="AE280" s="400"/>
      <c r="AF280" s="400"/>
    </row>
    <row r="281" spans="1:32" x14ac:dyDescent="0.25">
      <c r="A281" s="338">
        <v>5888</v>
      </c>
      <c r="B281" s="330" t="s">
        <v>513</v>
      </c>
      <c r="C281" s="392">
        <v>17269001.18</v>
      </c>
      <c r="D281" s="392">
        <v>4213542.03</v>
      </c>
      <c r="E281" s="392">
        <v>0</v>
      </c>
      <c r="F281" s="392">
        <v>0</v>
      </c>
      <c r="G281" s="392">
        <v>380176.7</v>
      </c>
      <c r="H281" s="392">
        <v>46628.3</v>
      </c>
      <c r="I281" s="380">
        <v>54781.509651854118</v>
      </c>
      <c r="J281" s="392">
        <v>180433.96</v>
      </c>
      <c r="K281" s="392">
        <v>133260.03</v>
      </c>
      <c r="L281" s="392">
        <v>75574.45</v>
      </c>
      <c r="M281" s="392">
        <v>1825098.95</v>
      </c>
      <c r="N281" s="331">
        <f t="shared" si="8"/>
        <v>24178497.109651856</v>
      </c>
      <c r="O281" s="396">
        <v>157043.5</v>
      </c>
      <c r="P281" s="396">
        <v>190441.4</v>
      </c>
      <c r="Q281" s="396">
        <v>708311.1</v>
      </c>
      <c r="R281" s="396">
        <v>111273.52</v>
      </c>
      <c r="S281" s="373">
        <v>873024.15</v>
      </c>
      <c r="T281" s="332">
        <f t="shared" si="9"/>
        <v>26218590.779651854</v>
      </c>
      <c r="U281" s="446">
        <v>70</v>
      </c>
      <c r="V281" s="10">
        <v>5243</v>
      </c>
      <c r="W281" s="10">
        <v>-229086.71</v>
      </c>
      <c r="X281" s="10">
        <v>0</v>
      </c>
      <c r="Y281" s="10">
        <v>-144068.59</v>
      </c>
      <c r="Z281" s="373">
        <v>1.2</v>
      </c>
      <c r="AA281" s="400"/>
      <c r="AB281" s="400"/>
      <c r="AC281" s="400"/>
      <c r="AD281" s="400"/>
      <c r="AE281" s="400"/>
      <c r="AF281" s="400"/>
    </row>
    <row r="282" spans="1:32" x14ac:dyDescent="0.25">
      <c r="A282" s="338">
        <v>5889</v>
      </c>
      <c r="B282" s="330" t="s">
        <v>52</v>
      </c>
      <c r="C282" s="392">
        <v>26209647.27</v>
      </c>
      <c r="D282" s="392">
        <v>5206391.5</v>
      </c>
      <c r="E282" s="392">
        <v>0</v>
      </c>
      <c r="F282" s="392">
        <v>0</v>
      </c>
      <c r="G282" s="392">
        <v>3383045.65</v>
      </c>
      <c r="H282" s="392">
        <v>4639623.1500000004</v>
      </c>
      <c r="I282" s="380">
        <v>1029729.989809934</v>
      </c>
      <c r="J282" s="392">
        <v>723935.3</v>
      </c>
      <c r="K282" s="392">
        <v>812855.5</v>
      </c>
      <c r="L282" s="392">
        <v>248040.5</v>
      </c>
      <c r="M282" s="392">
        <v>2872816.5</v>
      </c>
      <c r="N282" s="331">
        <f t="shared" si="8"/>
        <v>45126085.359809935</v>
      </c>
      <c r="O282" s="396">
        <v>177282.6</v>
      </c>
      <c r="P282" s="396">
        <v>975365.3</v>
      </c>
      <c r="Q282" s="396">
        <v>2044132.4</v>
      </c>
      <c r="R282" s="396">
        <v>60625.55</v>
      </c>
      <c r="S282" s="373">
        <v>783600.4</v>
      </c>
      <c r="T282" s="332">
        <f t="shared" si="9"/>
        <v>49167091.609809928</v>
      </c>
      <c r="U282" s="446">
        <v>64</v>
      </c>
      <c r="V282" s="10">
        <v>11906</v>
      </c>
      <c r="W282" s="10">
        <v>-339170.18</v>
      </c>
      <c r="X282" s="10">
        <v>0</v>
      </c>
      <c r="Y282" s="10">
        <v>-137797.70000000001</v>
      </c>
      <c r="Z282" s="373">
        <v>1.2</v>
      </c>
      <c r="AA282" s="400"/>
      <c r="AB282" s="400"/>
      <c r="AC282" s="400"/>
      <c r="AD282" s="400"/>
      <c r="AE282" s="400"/>
      <c r="AF282" s="400"/>
    </row>
    <row r="283" spans="1:32" x14ac:dyDescent="0.25">
      <c r="A283" s="338">
        <v>5890</v>
      </c>
      <c r="B283" s="330" t="s">
        <v>53</v>
      </c>
      <c r="C283" s="392">
        <v>39083097.740000002</v>
      </c>
      <c r="D283" s="392">
        <v>4736924.51</v>
      </c>
      <c r="E283" s="392">
        <v>0</v>
      </c>
      <c r="F283" s="392">
        <v>0</v>
      </c>
      <c r="G283" s="392">
        <v>6903721.2999999998</v>
      </c>
      <c r="H283" s="392">
        <v>11832530.949999999</v>
      </c>
      <c r="I283" s="380">
        <v>2404845.7339369231</v>
      </c>
      <c r="J283" s="392">
        <v>631417.13</v>
      </c>
      <c r="K283" s="392">
        <v>4089687.33</v>
      </c>
      <c r="L283" s="392">
        <v>594642.5</v>
      </c>
      <c r="M283" s="392">
        <v>5530429.71</v>
      </c>
      <c r="N283" s="331">
        <f t="shared" si="8"/>
        <v>75807296.903936923</v>
      </c>
      <c r="O283" s="396">
        <v>907414.25</v>
      </c>
      <c r="P283" s="396">
        <v>958753.5</v>
      </c>
      <c r="Q283" s="396">
        <v>1296278.75</v>
      </c>
      <c r="R283" s="396">
        <v>282313.75</v>
      </c>
      <c r="S283" s="373">
        <v>643155.65</v>
      </c>
      <c r="T283" s="332">
        <f t="shared" si="9"/>
        <v>79895212.803936929</v>
      </c>
      <c r="U283" s="446">
        <v>76</v>
      </c>
      <c r="V283" s="10">
        <v>19871</v>
      </c>
      <c r="W283" s="10">
        <v>-732817.29</v>
      </c>
      <c r="X283" s="10">
        <v>0</v>
      </c>
      <c r="Y283" s="10">
        <v>-175330.18</v>
      </c>
      <c r="Z283" s="373">
        <v>1.5</v>
      </c>
      <c r="AA283" s="400"/>
      <c r="AB283" s="400"/>
      <c r="AC283" s="400"/>
      <c r="AD283" s="400"/>
      <c r="AE283" s="400"/>
      <c r="AF283" s="400"/>
    </row>
    <row r="284" spans="1:32" x14ac:dyDescent="0.25">
      <c r="A284" s="338">
        <v>5891</v>
      </c>
      <c r="B284" s="330" t="s">
        <v>54</v>
      </c>
      <c r="C284" s="392">
        <v>1836718.92</v>
      </c>
      <c r="D284" s="392">
        <v>432737.99</v>
      </c>
      <c r="E284" s="392">
        <v>0</v>
      </c>
      <c r="F284" s="392">
        <v>0</v>
      </c>
      <c r="G284" s="392">
        <v>14656.3</v>
      </c>
      <c r="H284" s="392">
        <v>8016.05</v>
      </c>
      <c r="I284" s="380">
        <v>2910.0539130404159</v>
      </c>
      <c r="J284" s="392">
        <v>13028.4</v>
      </c>
      <c r="K284" s="392">
        <v>86338.48</v>
      </c>
      <c r="L284" s="392">
        <v>11126.4</v>
      </c>
      <c r="M284" s="392">
        <v>437002.95</v>
      </c>
      <c r="N284" s="331">
        <f t="shared" si="8"/>
        <v>2842535.5439130403</v>
      </c>
      <c r="O284" s="396">
        <v>0</v>
      </c>
      <c r="P284" s="396">
        <v>1452</v>
      </c>
      <c r="Q284" s="396">
        <v>133424.54999999999</v>
      </c>
      <c r="R284" s="396">
        <v>11770.33</v>
      </c>
      <c r="S284" s="373">
        <v>86423.25</v>
      </c>
      <c r="T284" s="332">
        <f t="shared" si="9"/>
        <v>3075605.6739130402</v>
      </c>
      <c r="U284" s="446">
        <v>71</v>
      </c>
      <c r="V284" s="10">
        <v>922</v>
      </c>
      <c r="W284" s="10">
        <v>-77771.34</v>
      </c>
      <c r="X284" s="10">
        <v>0</v>
      </c>
      <c r="Y284" s="10">
        <v>-1345.07</v>
      </c>
      <c r="Z284" s="373">
        <v>1.5</v>
      </c>
      <c r="AA284" s="400"/>
      <c r="AB284" s="400"/>
      <c r="AC284" s="400"/>
      <c r="AD284" s="400"/>
      <c r="AE284" s="400"/>
      <c r="AF284" s="400"/>
    </row>
    <row r="285" spans="1:32" x14ac:dyDescent="0.25">
      <c r="A285" s="338">
        <v>5902</v>
      </c>
      <c r="B285" s="330" t="s">
        <v>55</v>
      </c>
      <c r="C285" s="392">
        <v>706908.29</v>
      </c>
      <c r="D285" s="392">
        <v>55170.3</v>
      </c>
      <c r="E285" s="392">
        <v>0</v>
      </c>
      <c r="F285" s="392">
        <v>0</v>
      </c>
      <c r="G285" s="392">
        <v>1514.95</v>
      </c>
      <c r="H285" s="392">
        <v>433.3</v>
      </c>
      <c r="I285" s="380">
        <v>250.06285347928164</v>
      </c>
      <c r="J285" s="392">
        <v>0</v>
      </c>
      <c r="K285" s="392">
        <v>-1452.45</v>
      </c>
      <c r="L285" s="392">
        <v>0</v>
      </c>
      <c r="M285" s="392">
        <v>56033.4</v>
      </c>
      <c r="N285" s="331">
        <f t="shared" si="8"/>
        <v>818857.85285347945</v>
      </c>
      <c r="O285" s="396">
        <v>0</v>
      </c>
      <c r="P285" s="396">
        <v>0</v>
      </c>
      <c r="Q285" s="396">
        <v>0</v>
      </c>
      <c r="R285" s="396">
        <v>0</v>
      </c>
      <c r="S285" s="373">
        <v>0</v>
      </c>
      <c r="T285" s="332">
        <f t="shared" si="9"/>
        <v>818857.85285347945</v>
      </c>
      <c r="U285" s="446">
        <v>76</v>
      </c>
      <c r="V285" s="10">
        <v>374</v>
      </c>
      <c r="W285" s="10">
        <v>0.36</v>
      </c>
      <c r="X285" s="10">
        <v>0</v>
      </c>
      <c r="Y285" s="10">
        <v>0</v>
      </c>
      <c r="Z285" s="373">
        <v>1</v>
      </c>
      <c r="AA285" s="400"/>
      <c r="AB285" s="400"/>
      <c r="AC285" s="400"/>
      <c r="AD285" s="400"/>
      <c r="AE285" s="400"/>
      <c r="AF285" s="400"/>
    </row>
    <row r="286" spans="1:32" x14ac:dyDescent="0.25">
      <c r="A286" s="338">
        <v>5903</v>
      </c>
      <c r="B286" s="330" t="s">
        <v>56</v>
      </c>
      <c r="C286" s="392">
        <v>389261.16</v>
      </c>
      <c r="D286" s="392">
        <v>47139.15</v>
      </c>
      <c r="E286" s="392">
        <v>0</v>
      </c>
      <c r="F286" s="392">
        <v>0</v>
      </c>
      <c r="G286" s="392">
        <v>2848.5</v>
      </c>
      <c r="H286" s="392">
        <v>262.85000000000002</v>
      </c>
      <c r="I286" s="380">
        <v>399.34970315553073</v>
      </c>
      <c r="J286" s="392">
        <v>0</v>
      </c>
      <c r="K286" s="392">
        <v>3829.25</v>
      </c>
      <c r="L286" s="392">
        <v>0</v>
      </c>
      <c r="M286" s="392">
        <v>25632.45</v>
      </c>
      <c r="N286" s="331">
        <f t="shared" si="8"/>
        <v>469372.7097031555</v>
      </c>
      <c r="O286" s="396">
        <v>22624.95</v>
      </c>
      <c r="P286" s="396">
        <v>0</v>
      </c>
      <c r="Q286" s="396">
        <v>1417</v>
      </c>
      <c r="R286" s="396">
        <v>0</v>
      </c>
      <c r="S286" s="373">
        <v>0</v>
      </c>
      <c r="T286" s="332">
        <f t="shared" si="9"/>
        <v>493414.65970315551</v>
      </c>
      <c r="U286" s="446">
        <v>74</v>
      </c>
      <c r="V286" s="10">
        <v>228</v>
      </c>
      <c r="W286" s="10">
        <v>-1382.45</v>
      </c>
      <c r="X286" s="10">
        <v>0</v>
      </c>
      <c r="Y286" s="10">
        <v>-0.85</v>
      </c>
      <c r="Z286" s="373">
        <v>0.7</v>
      </c>
      <c r="AA286" s="400"/>
      <c r="AB286" s="400"/>
      <c r="AC286" s="400"/>
      <c r="AD286" s="400"/>
      <c r="AE286" s="400"/>
      <c r="AF286" s="400"/>
    </row>
    <row r="287" spans="1:32" x14ac:dyDescent="0.25">
      <c r="A287" s="338">
        <v>5904</v>
      </c>
      <c r="B287" s="330" t="s">
        <v>57</v>
      </c>
      <c r="C287" s="392">
        <v>1256527.8</v>
      </c>
      <c r="D287" s="392">
        <v>84280.04</v>
      </c>
      <c r="E287" s="392">
        <v>0</v>
      </c>
      <c r="F287" s="392">
        <v>0</v>
      </c>
      <c r="G287" s="392">
        <v>11714.65</v>
      </c>
      <c r="H287" s="392">
        <v>553.25</v>
      </c>
      <c r="I287" s="380">
        <v>1574.6162351846419</v>
      </c>
      <c r="J287" s="392">
        <v>0</v>
      </c>
      <c r="K287" s="392">
        <v>24452.66</v>
      </c>
      <c r="L287" s="392">
        <v>3705.65</v>
      </c>
      <c r="M287" s="392">
        <v>95309.3</v>
      </c>
      <c r="N287" s="331">
        <f t="shared" si="8"/>
        <v>1478117.9662351846</v>
      </c>
      <c r="O287" s="396">
        <v>36905.599999999999</v>
      </c>
      <c r="P287" s="396">
        <v>0</v>
      </c>
      <c r="Q287" s="396">
        <v>24991.65</v>
      </c>
      <c r="R287" s="396">
        <v>5706.26</v>
      </c>
      <c r="S287" s="373">
        <v>5738.35</v>
      </c>
      <c r="T287" s="332">
        <f t="shared" si="9"/>
        <v>1551459.8262351847</v>
      </c>
      <c r="U287" s="446">
        <v>66</v>
      </c>
      <c r="V287" s="10">
        <v>540</v>
      </c>
      <c r="W287" s="10">
        <v>-33805.08</v>
      </c>
      <c r="X287" s="10">
        <v>0</v>
      </c>
      <c r="Y287" s="10">
        <v>-67.900000000000006</v>
      </c>
      <c r="Z287" s="373">
        <v>1</v>
      </c>
      <c r="AA287" s="400"/>
      <c r="AB287" s="400"/>
      <c r="AC287" s="400"/>
      <c r="AD287" s="400"/>
      <c r="AE287" s="400"/>
      <c r="AF287" s="400"/>
    </row>
    <row r="288" spans="1:32" x14ac:dyDescent="0.25">
      <c r="A288" s="338">
        <v>5905</v>
      </c>
      <c r="B288" s="330" t="s">
        <v>58</v>
      </c>
      <c r="C288" s="392">
        <v>1340040.9099999999</v>
      </c>
      <c r="D288" s="392">
        <v>149583.18</v>
      </c>
      <c r="E288" s="392">
        <v>0</v>
      </c>
      <c r="F288" s="392">
        <v>0</v>
      </c>
      <c r="G288" s="392">
        <v>51474.6</v>
      </c>
      <c r="H288" s="392">
        <v>7312.35</v>
      </c>
      <c r="I288" s="380">
        <v>7545.4548771173386</v>
      </c>
      <c r="J288" s="392">
        <v>0</v>
      </c>
      <c r="K288" s="392">
        <v>25249.86</v>
      </c>
      <c r="L288" s="392">
        <v>2037.45</v>
      </c>
      <c r="M288" s="392">
        <v>99805.85</v>
      </c>
      <c r="N288" s="331">
        <f t="shared" si="8"/>
        <v>1683049.6548771176</v>
      </c>
      <c r="O288" s="396">
        <v>109768.55</v>
      </c>
      <c r="P288" s="396">
        <v>182127</v>
      </c>
      <c r="Q288" s="396">
        <v>96580</v>
      </c>
      <c r="R288" s="396">
        <v>665.43</v>
      </c>
      <c r="S288" s="373">
        <v>8637.4</v>
      </c>
      <c r="T288" s="332">
        <f t="shared" si="9"/>
        <v>2080828.0348771175</v>
      </c>
      <c r="U288" s="446">
        <v>71</v>
      </c>
      <c r="V288" s="10">
        <v>689</v>
      </c>
      <c r="W288" s="10">
        <v>-27788.55</v>
      </c>
      <c r="X288" s="10">
        <v>0</v>
      </c>
      <c r="Y288" s="10">
        <v>-80.62</v>
      </c>
      <c r="Z288" s="373">
        <v>1</v>
      </c>
      <c r="AA288" s="400"/>
      <c r="AB288" s="400"/>
      <c r="AC288" s="400"/>
      <c r="AD288" s="400"/>
      <c r="AE288" s="400"/>
      <c r="AF288" s="400"/>
    </row>
    <row r="289" spans="1:32" x14ac:dyDescent="0.25">
      <c r="A289" s="338">
        <v>5907</v>
      </c>
      <c r="B289" s="330" t="s">
        <v>59</v>
      </c>
      <c r="C289" s="392">
        <v>613169.61</v>
      </c>
      <c r="D289" s="392">
        <v>69689.06</v>
      </c>
      <c r="E289" s="392">
        <v>0</v>
      </c>
      <c r="F289" s="392">
        <v>1840</v>
      </c>
      <c r="G289" s="392">
        <v>827.85</v>
      </c>
      <c r="H289" s="392">
        <v>1074.2</v>
      </c>
      <c r="I289" s="380">
        <v>244.13296571808937</v>
      </c>
      <c r="J289" s="392">
        <v>0</v>
      </c>
      <c r="K289" s="392">
        <v>6828.82</v>
      </c>
      <c r="L289" s="392">
        <v>520.70000000000005</v>
      </c>
      <c r="M289" s="392">
        <v>47320.5</v>
      </c>
      <c r="N289" s="331">
        <f t="shared" si="8"/>
        <v>741514.8729657178</v>
      </c>
      <c r="O289" s="396">
        <v>9367.6</v>
      </c>
      <c r="P289" s="396">
        <v>0</v>
      </c>
      <c r="Q289" s="396">
        <v>2113.0500000000002</v>
      </c>
      <c r="R289" s="396">
        <v>0</v>
      </c>
      <c r="S289" s="373">
        <v>3283.2</v>
      </c>
      <c r="T289" s="332">
        <f t="shared" si="9"/>
        <v>756278.72296571778</v>
      </c>
      <c r="U289" s="446">
        <v>78</v>
      </c>
      <c r="V289" s="10">
        <v>311</v>
      </c>
      <c r="W289" s="10">
        <v>-2103.9</v>
      </c>
      <c r="X289" s="10">
        <v>0</v>
      </c>
      <c r="Y289" s="10">
        <v>0</v>
      </c>
      <c r="Z289" s="373">
        <v>1</v>
      </c>
      <c r="AA289" s="400"/>
      <c r="AB289" s="400"/>
      <c r="AC289" s="400"/>
      <c r="AD289" s="400"/>
      <c r="AE289" s="400"/>
      <c r="AF289" s="400"/>
    </row>
    <row r="290" spans="1:32" x14ac:dyDescent="0.25">
      <c r="A290" s="338">
        <v>5908</v>
      </c>
      <c r="B290" s="330" t="s">
        <v>60</v>
      </c>
      <c r="C290" s="392">
        <v>206020.6</v>
      </c>
      <c r="D290" s="392">
        <v>39837.11</v>
      </c>
      <c r="E290" s="392">
        <v>0</v>
      </c>
      <c r="F290" s="392">
        <v>0</v>
      </c>
      <c r="G290" s="392">
        <v>2482.75</v>
      </c>
      <c r="H290" s="392">
        <v>-10.9</v>
      </c>
      <c r="I290" s="380">
        <v>317.26824810612715</v>
      </c>
      <c r="J290" s="392">
        <v>0</v>
      </c>
      <c r="K290" s="392">
        <v>11423.69</v>
      </c>
      <c r="L290" s="392">
        <v>49.5</v>
      </c>
      <c r="M290" s="392">
        <v>18145.099999999999</v>
      </c>
      <c r="N290" s="331">
        <f t="shared" si="8"/>
        <v>278265.11824810616</v>
      </c>
      <c r="O290" s="396">
        <v>0</v>
      </c>
      <c r="P290" s="396">
        <v>0</v>
      </c>
      <c r="Q290" s="396">
        <v>148.85</v>
      </c>
      <c r="R290" s="396">
        <v>0</v>
      </c>
      <c r="S290" s="373">
        <v>4523.2</v>
      </c>
      <c r="T290" s="332">
        <f t="shared" si="9"/>
        <v>282937.16824810614</v>
      </c>
      <c r="U290" s="446">
        <v>79</v>
      </c>
      <c r="V290" s="10">
        <v>153</v>
      </c>
      <c r="W290" s="10">
        <v>-11572.59</v>
      </c>
      <c r="X290" s="10">
        <v>0</v>
      </c>
      <c r="Y290" s="10">
        <v>-26.31</v>
      </c>
      <c r="Z290" s="373">
        <v>1</v>
      </c>
      <c r="AA290" s="400"/>
      <c r="AB290" s="400"/>
      <c r="AC290" s="400"/>
      <c r="AD290" s="400"/>
      <c r="AE290" s="400"/>
      <c r="AF290" s="400"/>
    </row>
    <row r="291" spans="1:32" x14ac:dyDescent="0.25">
      <c r="A291" s="338">
        <v>5909</v>
      </c>
      <c r="B291" s="330" t="s">
        <v>61</v>
      </c>
      <c r="C291" s="392">
        <v>1743465.48</v>
      </c>
      <c r="D291" s="392">
        <v>307317.15999999997</v>
      </c>
      <c r="E291" s="392">
        <v>0</v>
      </c>
      <c r="F291" s="392">
        <v>0</v>
      </c>
      <c r="G291" s="392">
        <v>20876.900000000001</v>
      </c>
      <c r="H291" s="392">
        <v>11543.3</v>
      </c>
      <c r="I291" s="380">
        <v>4161.2153072598521</v>
      </c>
      <c r="J291" s="392">
        <v>0</v>
      </c>
      <c r="K291" s="392">
        <v>20206.29</v>
      </c>
      <c r="L291" s="392">
        <v>405.95</v>
      </c>
      <c r="M291" s="392">
        <v>161649</v>
      </c>
      <c r="N291" s="331">
        <f t="shared" si="8"/>
        <v>2269625.29530726</v>
      </c>
      <c r="O291" s="396">
        <v>7425.25</v>
      </c>
      <c r="P291" s="396">
        <v>118143.8</v>
      </c>
      <c r="Q291" s="396">
        <v>68158.2</v>
      </c>
      <c r="R291" s="396">
        <v>0</v>
      </c>
      <c r="S291" s="373">
        <v>32391.15</v>
      </c>
      <c r="T291" s="332">
        <f t="shared" si="9"/>
        <v>2495743.6953072599</v>
      </c>
      <c r="U291" s="446">
        <v>70</v>
      </c>
      <c r="V291" s="10">
        <v>725</v>
      </c>
      <c r="W291" s="10">
        <v>-607.57000000000005</v>
      </c>
      <c r="X291" s="10">
        <v>-5080.1499999999996</v>
      </c>
      <c r="Y291" s="10">
        <v>-42.92</v>
      </c>
      <c r="Z291" s="373">
        <v>1</v>
      </c>
      <c r="AA291" s="400"/>
      <c r="AB291" s="400"/>
      <c r="AC291" s="400"/>
      <c r="AD291" s="400"/>
      <c r="AE291" s="400"/>
      <c r="AF291" s="400"/>
    </row>
    <row r="292" spans="1:32" x14ac:dyDescent="0.25">
      <c r="A292" s="338">
        <v>5910</v>
      </c>
      <c r="B292" s="330" t="s">
        <v>62</v>
      </c>
      <c r="C292" s="392">
        <v>695083.48</v>
      </c>
      <c r="D292" s="392">
        <v>68155.42</v>
      </c>
      <c r="E292" s="392">
        <v>0</v>
      </c>
      <c r="F292" s="392">
        <v>2250</v>
      </c>
      <c r="G292" s="392">
        <v>7842.1</v>
      </c>
      <c r="H292" s="392">
        <v>141.75</v>
      </c>
      <c r="I292" s="380">
        <v>1024.7474978830041</v>
      </c>
      <c r="J292" s="392">
        <v>0</v>
      </c>
      <c r="K292" s="392">
        <v>9430.1200000000008</v>
      </c>
      <c r="L292" s="392">
        <v>0</v>
      </c>
      <c r="M292" s="392">
        <v>51399.6</v>
      </c>
      <c r="N292" s="331">
        <f t="shared" si="8"/>
        <v>835327.21749788302</v>
      </c>
      <c r="O292" s="396">
        <v>0</v>
      </c>
      <c r="P292" s="396">
        <v>0</v>
      </c>
      <c r="Q292" s="396">
        <v>37754.75</v>
      </c>
      <c r="R292" s="396">
        <v>407.23</v>
      </c>
      <c r="S292" s="373">
        <v>115901.2</v>
      </c>
      <c r="T292" s="332">
        <f t="shared" si="9"/>
        <v>989390.39749788295</v>
      </c>
      <c r="U292" s="446">
        <v>79</v>
      </c>
      <c r="V292" s="10">
        <v>394</v>
      </c>
      <c r="W292" s="10">
        <v>-30093.55</v>
      </c>
      <c r="X292" s="10">
        <v>0</v>
      </c>
      <c r="Y292" s="10">
        <v>0</v>
      </c>
      <c r="Z292" s="373">
        <v>1</v>
      </c>
      <c r="AA292" s="400"/>
      <c r="AB292" s="400"/>
      <c r="AC292" s="400"/>
      <c r="AD292" s="400"/>
      <c r="AE292" s="400"/>
      <c r="AF292" s="400"/>
    </row>
    <row r="293" spans="1:32" x14ac:dyDescent="0.25">
      <c r="A293" s="338">
        <v>5911</v>
      </c>
      <c r="B293" s="330" t="s">
        <v>63</v>
      </c>
      <c r="C293" s="392">
        <v>521367.49</v>
      </c>
      <c r="D293" s="392">
        <v>64080.66</v>
      </c>
      <c r="E293" s="392">
        <v>0</v>
      </c>
      <c r="F293" s="392">
        <v>1430</v>
      </c>
      <c r="G293" s="392">
        <v>1411.9</v>
      </c>
      <c r="H293" s="392">
        <v>787.55</v>
      </c>
      <c r="I293" s="380">
        <v>282.30501377390266</v>
      </c>
      <c r="J293" s="392">
        <v>0</v>
      </c>
      <c r="K293" s="392">
        <v>-2142.9299999999998</v>
      </c>
      <c r="L293" s="392">
        <v>828.65</v>
      </c>
      <c r="M293" s="392">
        <v>32115.5</v>
      </c>
      <c r="N293" s="331">
        <f t="shared" si="8"/>
        <v>620161.12501377391</v>
      </c>
      <c r="O293" s="396">
        <v>1459.15</v>
      </c>
      <c r="P293" s="396">
        <v>156.1</v>
      </c>
      <c r="Q293" s="396">
        <v>0</v>
      </c>
      <c r="R293" s="396">
        <v>1.1599999999999999</v>
      </c>
      <c r="S293" s="373">
        <v>-16334.75</v>
      </c>
      <c r="T293" s="332">
        <f t="shared" si="9"/>
        <v>605442.78501377394</v>
      </c>
      <c r="U293" s="446">
        <v>79</v>
      </c>
      <c r="V293" s="10">
        <v>239</v>
      </c>
      <c r="W293" s="10">
        <v>-375.86</v>
      </c>
      <c r="X293" s="10">
        <v>0</v>
      </c>
      <c r="Y293" s="10">
        <v>-804.23</v>
      </c>
      <c r="Z293" s="373">
        <v>1</v>
      </c>
      <c r="AA293" s="400"/>
      <c r="AB293" s="400"/>
      <c r="AC293" s="400"/>
      <c r="AD293" s="400"/>
      <c r="AE293" s="400"/>
      <c r="AF293" s="400"/>
    </row>
    <row r="294" spans="1:32" x14ac:dyDescent="0.25">
      <c r="A294" s="338">
        <v>5912</v>
      </c>
      <c r="B294" s="330" t="s">
        <v>64</v>
      </c>
      <c r="C294" s="392">
        <v>255439.51</v>
      </c>
      <c r="D294" s="392">
        <v>42268.08</v>
      </c>
      <c r="E294" s="392">
        <v>0</v>
      </c>
      <c r="F294" s="392">
        <v>0</v>
      </c>
      <c r="G294" s="392">
        <v>55.25</v>
      </c>
      <c r="H294" s="392">
        <v>217.2</v>
      </c>
      <c r="I294" s="380">
        <v>34.969651959671637</v>
      </c>
      <c r="J294" s="392">
        <v>0</v>
      </c>
      <c r="K294" s="392">
        <v>4037.7</v>
      </c>
      <c r="L294" s="392">
        <v>0</v>
      </c>
      <c r="M294" s="392">
        <v>20443.5</v>
      </c>
      <c r="N294" s="331">
        <f t="shared" si="8"/>
        <v>322496.20965195971</v>
      </c>
      <c r="O294" s="396">
        <v>0</v>
      </c>
      <c r="P294" s="396">
        <v>0</v>
      </c>
      <c r="Q294" s="396">
        <v>0</v>
      </c>
      <c r="R294" s="396">
        <v>0</v>
      </c>
      <c r="S294" s="373">
        <v>0</v>
      </c>
      <c r="T294" s="332">
        <f t="shared" si="9"/>
        <v>322496.20965195971</v>
      </c>
      <c r="U294" s="446">
        <v>81</v>
      </c>
      <c r="V294" s="10">
        <v>156</v>
      </c>
      <c r="W294" s="10">
        <v>-1465.79</v>
      </c>
      <c r="X294" s="10">
        <v>0</v>
      </c>
      <c r="Y294" s="10">
        <v>0</v>
      </c>
      <c r="Z294" s="373">
        <v>1</v>
      </c>
      <c r="AA294" s="400"/>
      <c r="AB294" s="400"/>
      <c r="AC294" s="400"/>
      <c r="AD294" s="400"/>
      <c r="AE294" s="400"/>
      <c r="AF294" s="400"/>
    </row>
    <row r="295" spans="1:32" x14ac:dyDescent="0.25">
      <c r="A295" s="338">
        <v>5913</v>
      </c>
      <c r="B295" s="330" t="s">
        <v>65</v>
      </c>
      <c r="C295" s="392">
        <v>1320885.8799999999</v>
      </c>
      <c r="D295" s="392">
        <v>117645.07</v>
      </c>
      <c r="E295" s="392">
        <v>0</v>
      </c>
      <c r="F295" s="392">
        <v>0</v>
      </c>
      <c r="G295" s="392">
        <v>8974.65</v>
      </c>
      <c r="H295" s="392">
        <v>416.55</v>
      </c>
      <c r="I295" s="380">
        <v>1205.3844576387166</v>
      </c>
      <c r="J295" s="392">
        <v>0</v>
      </c>
      <c r="K295" s="392">
        <v>16839.669999999998</v>
      </c>
      <c r="L295" s="392">
        <v>-192.35</v>
      </c>
      <c r="M295" s="392">
        <v>116046.95</v>
      </c>
      <c r="N295" s="331">
        <f t="shared" si="8"/>
        <v>1581821.8044576384</v>
      </c>
      <c r="O295" s="396">
        <v>24516.1</v>
      </c>
      <c r="P295" s="396">
        <v>3118.5</v>
      </c>
      <c r="Q295" s="396">
        <v>63673.45</v>
      </c>
      <c r="R295" s="396">
        <v>733.13</v>
      </c>
      <c r="S295" s="373">
        <v>84557.1</v>
      </c>
      <c r="T295" s="332">
        <f t="shared" si="9"/>
        <v>1758420.0844576384</v>
      </c>
      <c r="U295" s="446">
        <v>73</v>
      </c>
      <c r="V295" s="10">
        <v>823</v>
      </c>
      <c r="W295" s="10">
        <v>-8026.96</v>
      </c>
      <c r="X295" s="10">
        <v>0</v>
      </c>
      <c r="Y295" s="10">
        <v>-644.23</v>
      </c>
      <c r="Z295" s="373">
        <v>1</v>
      </c>
      <c r="AA295" s="400"/>
      <c r="AB295" s="400"/>
      <c r="AC295" s="400"/>
      <c r="AD295" s="400"/>
      <c r="AE295" s="400"/>
      <c r="AF295" s="400"/>
    </row>
    <row r="296" spans="1:32" x14ac:dyDescent="0.25">
      <c r="A296" s="338">
        <v>5914</v>
      </c>
      <c r="B296" s="330" t="s">
        <v>66</v>
      </c>
      <c r="C296" s="392">
        <v>634100.51</v>
      </c>
      <c r="D296" s="392">
        <v>48491.19</v>
      </c>
      <c r="E296" s="392">
        <v>0</v>
      </c>
      <c r="F296" s="392">
        <v>2120</v>
      </c>
      <c r="G296" s="392">
        <v>10746.25</v>
      </c>
      <c r="H296" s="392">
        <v>7640.35</v>
      </c>
      <c r="I296" s="380">
        <v>2359.9669764055734</v>
      </c>
      <c r="J296" s="392">
        <v>0</v>
      </c>
      <c r="K296" s="392">
        <v>10620.09</v>
      </c>
      <c r="L296" s="392">
        <v>2894.6</v>
      </c>
      <c r="M296" s="392">
        <v>53812.65</v>
      </c>
      <c r="N296" s="331">
        <f t="shared" si="8"/>
        <v>772785.60697640548</v>
      </c>
      <c r="O296" s="396">
        <v>561.9</v>
      </c>
      <c r="P296" s="396">
        <v>0</v>
      </c>
      <c r="Q296" s="396">
        <v>17616.8</v>
      </c>
      <c r="R296" s="396">
        <v>0</v>
      </c>
      <c r="S296" s="373">
        <v>4520.8500000000004</v>
      </c>
      <c r="T296" s="332">
        <f t="shared" si="9"/>
        <v>795485.15697640553</v>
      </c>
      <c r="U296" s="446">
        <v>75</v>
      </c>
      <c r="V296" s="10">
        <v>357</v>
      </c>
      <c r="W296" s="10">
        <v>-13781.15</v>
      </c>
      <c r="X296" s="10">
        <v>0</v>
      </c>
      <c r="Y296" s="10">
        <v>0</v>
      </c>
      <c r="Z296" s="373">
        <v>1</v>
      </c>
      <c r="AA296" s="400"/>
      <c r="AB296" s="400"/>
      <c r="AC296" s="400"/>
      <c r="AD296" s="400"/>
      <c r="AE296" s="400"/>
      <c r="AF296" s="400"/>
    </row>
    <row r="297" spans="1:32" x14ac:dyDescent="0.25">
      <c r="A297" s="338">
        <v>5919</v>
      </c>
      <c r="B297" s="330" t="s">
        <v>392</v>
      </c>
      <c r="C297" s="392">
        <v>946428.04</v>
      </c>
      <c r="D297" s="392">
        <v>148988.65</v>
      </c>
      <c r="E297" s="392">
        <v>0</v>
      </c>
      <c r="F297" s="392">
        <v>3620</v>
      </c>
      <c r="G297" s="392">
        <v>23470.5</v>
      </c>
      <c r="H297" s="392">
        <v>1398.2</v>
      </c>
      <c r="I297" s="380">
        <v>3191.9610339125938</v>
      </c>
      <c r="J297" s="392">
        <v>0</v>
      </c>
      <c r="K297" s="392">
        <v>14666.37</v>
      </c>
      <c r="L297" s="392">
        <v>9935.2000000000007</v>
      </c>
      <c r="M297" s="392">
        <v>134589.1</v>
      </c>
      <c r="N297" s="331">
        <f t="shared" si="8"/>
        <v>1286288.0210339127</v>
      </c>
      <c r="O297" s="396">
        <v>4963.05</v>
      </c>
      <c r="P297" s="396">
        <v>0</v>
      </c>
      <c r="Q297" s="396">
        <v>49362.7</v>
      </c>
      <c r="R297" s="396">
        <v>11563.69</v>
      </c>
      <c r="S297" s="373">
        <v>8979.65</v>
      </c>
      <c r="T297" s="332">
        <f t="shared" si="9"/>
        <v>1361157.1110339125</v>
      </c>
      <c r="U297" s="446">
        <v>72</v>
      </c>
      <c r="V297" s="10">
        <v>601</v>
      </c>
      <c r="W297" s="10">
        <v>-20763.830000000002</v>
      </c>
      <c r="X297" s="10">
        <v>0</v>
      </c>
      <c r="Y297" s="10">
        <v>-102.96</v>
      </c>
      <c r="Z297" s="373">
        <v>1.2</v>
      </c>
      <c r="AA297" s="400"/>
      <c r="AB297" s="400"/>
      <c r="AC297" s="400"/>
      <c r="AD297" s="400"/>
      <c r="AE297" s="400"/>
      <c r="AF297" s="400"/>
    </row>
    <row r="298" spans="1:32" x14ac:dyDescent="0.25">
      <c r="A298" s="338">
        <v>5921</v>
      </c>
      <c r="B298" s="330" t="s">
        <v>393</v>
      </c>
      <c r="C298" s="392">
        <v>334596.24</v>
      </c>
      <c r="D298" s="392">
        <v>43075.89</v>
      </c>
      <c r="E298" s="392">
        <v>0</v>
      </c>
      <c r="F298" s="392">
        <v>0</v>
      </c>
      <c r="G298" s="392">
        <v>20777.55</v>
      </c>
      <c r="H298" s="392">
        <v>1454.7</v>
      </c>
      <c r="I298" s="380">
        <v>2853.5659562503574</v>
      </c>
      <c r="J298" s="392">
        <v>0</v>
      </c>
      <c r="K298" s="392">
        <v>20897.88</v>
      </c>
      <c r="L298" s="392">
        <v>0</v>
      </c>
      <c r="M298" s="392">
        <v>31965.25</v>
      </c>
      <c r="N298" s="331">
        <f t="shared" si="8"/>
        <v>455621.07595625037</v>
      </c>
      <c r="O298" s="396">
        <v>0</v>
      </c>
      <c r="P298" s="396">
        <v>74.7</v>
      </c>
      <c r="Q298" s="396">
        <v>15563.9</v>
      </c>
      <c r="R298" s="396">
        <v>2228.85</v>
      </c>
      <c r="S298" s="373">
        <v>27571.7</v>
      </c>
      <c r="T298" s="332">
        <f t="shared" si="9"/>
        <v>501060.22595625039</v>
      </c>
      <c r="U298" s="446">
        <v>81</v>
      </c>
      <c r="V298" s="10">
        <v>240</v>
      </c>
      <c r="W298" s="10">
        <v>-366.93</v>
      </c>
      <c r="X298" s="10">
        <v>0</v>
      </c>
      <c r="Y298" s="10">
        <v>-0.19</v>
      </c>
      <c r="Z298" s="373">
        <v>1</v>
      </c>
      <c r="AA298" s="400"/>
      <c r="AB298" s="400"/>
      <c r="AC298" s="400"/>
      <c r="AD298" s="400"/>
      <c r="AE298" s="400"/>
      <c r="AF298" s="400"/>
    </row>
    <row r="299" spans="1:32" x14ac:dyDescent="0.25">
      <c r="A299" s="338">
        <v>5922</v>
      </c>
      <c r="B299" s="330" t="s">
        <v>272</v>
      </c>
      <c r="C299" s="392">
        <v>1397660.45</v>
      </c>
      <c r="D299" s="392">
        <v>215667.86</v>
      </c>
      <c r="E299" s="392">
        <v>0</v>
      </c>
      <c r="F299" s="392">
        <v>0</v>
      </c>
      <c r="G299" s="392">
        <v>252635.45</v>
      </c>
      <c r="H299" s="392">
        <v>17219.849999999999</v>
      </c>
      <c r="I299" s="380">
        <v>34636.615600927791</v>
      </c>
      <c r="J299" s="392">
        <v>0</v>
      </c>
      <c r="K299" s="392">
        <v>53659.53</v>
      </c>
      <c r="L299" s="392">
        <v>65060.55</v>
      </c>
      <c r="M299" s="392">
        <v>259902.45</v>
      </c>
      <c r="N299" s="331">
        <f t="shared" si="8"/>
        <v>2296442.7556009279</v>
      </c>
      <c r="O299" s="396">
        <v>195665</v>
      </c>
      <c r="P299" s="396">
        <v>11035.2</v>
      </c>
      <c r="Q299" s="396">
        <v>151526.65</v>
      </c>
      <c r="R299" s="396">
        <v>0</v>
      </c>
      <c r="S299" s="373">
        <v>45928.65</v>
      </c>
      <c r="T299" s="332">
        <f t="shared" si="9"/>
        <v>2700598.2556009279</v>
      </c>
      <c r="U299" s="446">
        <v>65</v>
      </c>
      <c r="V299" s="10">
        <v>747</v>
      </c>
      <c r="W299" s="10">
        <v>-22200.68</v>
      </c>
      <c r="X299" s="10">
        <v>0</v>
      </c>
      <c r="Y299" s="10">
        <v>-227.57</v>
      </c>
      <c r="Z299" s="373">
        <v>0.8</v>
      </c>
      <c r="AA299" s="400"/>
      <c r="AB299" s="400"/>
      <c r="AC299" s="400"/>
      <c r="AD299" s="400"/>
      <c r="AE299" s="400"/>
      <c r="AF299" s="400"/>
    </row>
    <row r="300" spans="1:32" x14ac:dyDescent="0.25">
      <c r="A300" s="338">
        <v>5923</v>
      </c>
      <c r="B300" s="330" t="s">
        <v>273</v>
      </c>
      <c r="C300" s="392">
        <v>351769.88</v>
      </c>
      <c r="D300" s="392">
        <v>36391.94</v>
      </c>
      <c r="E300" s="392">
        <v>0</v>
      </c>
      <c r="F300" s="392">
        <v>0</v>
      </c>
      <c r="G300" s="392">
        <v>2712.25</v>
      </c>
      <c r="H300" s="392">
        <v>1100.75</v>
      </c>
      <c r="I300" s="380">
        <v>489.40826912177636</v>
      </c>
      <c r="J300" s="392">
        <v>0</v>
      </c>
      <c r="K300" s="392">
        <v>24338.29</v>
      </c>
      <c r="L300" s="392">
        <v>0</v>
      </c>
      <c r="M300" s="392">
        <v>25830</v>
      </c>
      <c r="N300" s="331">
        <f t="shared" si="8"/>
        <v>442632.51826912176</v>
      </c>
      <c r="O300" s="396">
        <v>19625.8</v>
      </c>
      <c r="P300" s="396">
        <v>0</v>
      </c>
      <c r="Q300" s="396">
        <v>7774.8</v>
      </c>
      <c r="R300" s="396">
        <v>0</v>
      </c>
      <c r="S300" s="373">
        <v>9012</v>
      </c>
      <c r="T300" s="332">
        <f t="shared" si="9"/>
        <v>479045.11826912174</v>
      </c>
      <c r="U300" s="446">
        <v>81</v>
      </c>
      <c r="V300" s="10">
        <v>202</v>
      </c>
      <c r="W300" s="10">
        <v>-6064.4</v>
      </c>
      <c r="X300" s="10">
        <v>0</v>
      </c>
      <c r="Y300" s="10">
        <v>0</v>
      </c>
      <c r="Z300" s="373">
        <v>1</v>
      </c>
      <c r="AA300" s="400"/>
      <c r="AB300" s="400"/>
      <c r="AC300" s="400"/>
      <c r="AD300" s="400"/>
      <c r="AE300" s="400"/>
      <c r="AF300" s="400"/>
    </row>
    <row r="301" spans="1:32" x14ac:dyDescent="0.25">
      <c r="A301" s="338">
        <v>5924</v>
      </c>
      <c r="B301" s="330" t="s">
        <v>274</v>
      </c>
      <c r="C301" s="392">
        <v>708148.35</v>
      </c>
      <c r="D301" s="392">
        <v>84202.4</v>
      </c>
      <c r="E301" s="392">
        <v>0</v>
      </c>
      <c r="F301" s="392">
        <v>0</v>
      </c>
      <c r="G301" s="392">
        <v>19338.25</v>
      </c>
      <c r="H301" s="392">
        <v>731.3</v>
      </c>
      <c r="I301" s="380">
        <v>2575.9778986501306</v>
      </c>
      <c r="J301" s="392">
        <v>0</v>
      </c>
      <c r="K301" s="392">
        <v>10428.48</v>
      </c>
      <c r="L301" s="392">
        <v>0</v>
      </c>
      <c r="M301" s="392">
        <v>53155.75</v>
      </c>
      <c r="N301" s="331">
        <f t="shared" si="8"/>
        <v>878580.50789865013</v>
      </c>
      <c r="O301" s="396">
        <v>10554.8</v>
      </c>
      <c r="P301" s="396">
        <v>46797.9</v>
      </c>
      <c r="Q301" s="396">
        <v>24429.15</v>
      </c>
      <c r="R301" s="396">
        <v>35.67</v>
      </c>
      <c r="S301" s="373">
        <v>18006.400000000001</v>
      </c>
      <c r="T301" s="332">
        <f t="shared" si="9"/>
        <v>978404.42789865029</v>
      </c>
      <c r="U301" s="446">
        <v>74</v>
      </c>
      <c r="V301" s="10">
        <v>332</v>
      </c>
      <c r="W301" s="10">
        <v>-509.78</v>
      </c>
      <c r="X301" s="10">
        <v>0</v>
      </c>
      <c r="Y301" s="10">
        <v>-36.28</v>
      </c>
      <c r="Z301" s="373">
        <v>1</v>
      </c>
      <c r="AA301" s="400"/>
      <c r="AB301" s="400"/>
      <c r="AC301" s="400"/>
      <c r="AD301" s="400"/>
      <c r="AE301" s="400"/>
      <c r="AF301" s="400"/>
    </row>
    <row r="302" spans="1:32" x14ac:dyDescent="0.25">
      <c r="A302" s="338">
        <v>5925</v>
      </c>
      <c r="B302" s="330" t="s">
        <v>397</v>
      </c>
      <c r="C302" s="392">
        <v>344400.15</v>
      </c>
      <c r="D302" s="392">
        <v>45712.13</v>
      </c>
      <c r="E302" s="392">
        <v>0</v>
      </c>
      <c r="F302" s="392">
        <v>1190</v>
      </c>
      <c r="G302" s="392">
        <v>1851.7</v>
      </c>
      <c r="H302" s="392">
        <v>256.55</v>
      </c>
      <c r="I302" s="380">
        <v>270.59926131025048</v>
      </c>
      <c r="J302" s="392">
        <v>0</v>
      </c>
      <c r="K302" s="392">
        <v>7626.19</v>
      </c>
      <c r="L302" s="392">
        <v>0</v>
      </c>
      <c r="M302" s="392">
        <v>30671.1</v>
      </c>
      <c r="N302" s="331">
        <f t="shared" si="8"/>
        <v>431978.41926131025</v>
      </c>
      <c r="O302" s="396">
        <v>9065.0499999999993</v>
      </c>
      <c r="P302" s="396">
        <v>20179.5</v>
      </c>
      <c r="Q302" s="396">
        <v>52571.75</v>
      </c>
      <c r="R302" s="396">
        <v>0</v>
      </c>
      <c r="S302" s="373">
        <v>112526.85</v>
      </c>
      <c r="T302" s="332">
        <f t="shared" si="9"/>
        <v>626321.56926131027</v>
      </c>
      <c r="U302" s="446">
        <v>79</v>
      </c>
      <c r="V302" s="10">
        <v>208</v>
      </c>
      <c r="W302" s="10">
        <v>-9901.7900000000009</v>
      </c>
      <c r="X302" s="10">
        <v>0</v>
      </c>
      <c r="Y302" s="10">
        <v>0</v>
      </c>
      <c r="Z302" s="373">
        <v>1</v>
      </c>
      <c r="AA302" s="400"/>
      <c r="AB302" s="400"/>
      <c r="AC302" s="400"/>
      <c r="AD302" s="400"/>
      <c r="AE302" s="400"/>
      <c r="AF302" s="400"/>
    </row>
    <row r="303" spans="1:32" x14ac:dyDescent="0.25">
      <c r="A303" s="338">
        <v>5926</v>
      </c>
      <c r="B303" s="330" t="s">
        <v>398</v>
      </c>
      <c r="C303" s="392">
        <v>1446200.52</v>
      </c>
      <c r="D303" s="392">
        <v>342475.98</v>
      </c>
      <c r="E303" s="392">
        <v>0</v>
      </c>
      <c r="F303" s="392">
        <v>0</v>
      </c>
      <c r="G303" s="392">
        <v>23941.200000000001</v>
      </c>
      <c r="H303" s="392">
        <v>1531.25</v>
      </c>
      <c r="I303" s="380">
        <v>3269.4538853372651</v>
      </c>
      <c r="J303" s="392">
        <v>0</v>
      </c>
      <c r="K303" s="392">
        <v>15937.63</v>
      </c>
      <c r="L303" s="392">
        <v>0</v>
      </c>
      <c r="M303" s="392">
        <v>121418</v>
      </c>
      <c r="N303" s="331">
        <f t="shared" si="8"/>
        <v>1954774.0338853372</v>
      </c>
      <c r="O303" s="396">
        <v>2452.3000000000002</v>
      </c>
      <c r="P303" s="396">
        <v>58866.1</v>
      </c>
      <c r="Q303" s="396">
        <v>15070</v>
      </c>
      <c r="R303" s="396">
        <v>1953.87</v>
      </c>
      <c r="S303" s="373">
        <v>19061.400000000001</v>
      </c>
      <c r="T303" s="332">
        <f t="shared" si="9"/>
        <v>2052177.7038853373</v>
      </c>
      <c r="U303" s="446">
        <v>71</v>
      </c>
      <c r="V303" s="10">
        <v>793</v>
      </c>
      <c r="W303" s="10">
        <v>-5221.0200000000004</v>
      </c>
      <c r="X303" s="10">
        <v>0</v>
      </c>
      <c r="Y303" s="10">
        <v>-269.63</v>
      </c>
      <c r="Z303" s="373">
        <v>1</v>
      </c>
      <c r="AA303" s="400"/>
      <c r="AB303" s="400"/>
      <c r="AC303" s="400"/>
      <c r="AD303" s="400"/>
      <c r="AE303" s="400"/>
      <c r="AF303" s="400"/>
    </row>
    <row r="304" spans="1:32" x14ac:dyDescent="0.25">
      <c r="A304" s="338">
        <v>5928</v>
      </c>
      <c r="B304" s="330" t="s">
        <v>399</v>
      </c>
      <c r="C304" s="392">
        <v>358889.18</v>
      </c>
      <c r="D304" s="392">
        <v>49978.23</v>
      </c>
      <c r="E304" s="392">
        <v>0</v>
      </c>
      <c r="F304" s="392">
        <v>0</v>
      </c>
      <c r="G304" s="392">
        <v>2846.7</v>
      </c>
      <c r="H304" s="392">
        <v>67.05</v>
      </c>
      <c r="I304" s="380">
        <v>373.98723948428426</v>
      </c>
      <c r="J304" s="392">
        <v>0</v>
      </c>
      <c r="K304" s="392">
        <v>8610.8799999999992</v>
      </c>
      <c r="L304" s="392">
        <v>0</v>
      </c>
      <c r="M304" s="392">
        <v>22963</v>
      </c>
      <c r="N304" s="331">
        <f t="shared" si="8"/>
        <v>443729.02723948425</v>
      </c>
      <c r="O304" s="396">
        <v>3733</v>
      </c>
      <c r="P304" s="396">
        <v>23831.3</v>
      </c>
      <c r="Q304" s="396">
        <v>10735.2</v>
      </c>
      <c r="R304" s="396">
        <v>3860.41</v>
      </c>
      <c r="S304" s="373">
        <v>20592.400000000001</v>
      </c>
      <c r="T304" s="332">
        <f t="shared" si="9"/>
        <v>506481.33723948424</v>
      </c>
      <c r="U304" s="446">
        <v>73</v>
      </c>
      <c r="V304" s="10">
        <v>185</v>
      </c>
      <c r="W304" s="10">
        <v>-9350.0400000000009</v>
      </c>
      <c r="X304" s="10">
        <v>0</v>
      </c>
      <c r="Y304" s="10">
        <v>-13.5</v>
      </c>
      <c r="Z304" s="373">
        <v>1</v>
      </c>
      <c r="AA304" s="400"/>
      <c r="AB304" s="400"/>
      <c r="AC304" s="400"/>
      <c r="AD304" s="400"/>
      <c r="AE304" s="400"/>
      <c r="AF304" s="400"/>
    </row>
    <row r="305" spans="1:32" x14ac:dyDescent="0.25">
      <c r="A305" s="338">
        <v>5929</v>
      </c>
      <c r="B305" s="330" t="s">
        <v>400</v>
      </c>
      <c r="C305" s="392">
        <v>900971.15</v>
      </c>
      <c r="D305" s="392">
        <v>137965.65</v>
      </c>
      <c r="E305" s="392">
        <v>0</v>
      </c>
      <c r="F305" s="392">
        <v>0</v>
      </c>
      <c r="G305" s="392">
        <v>7776.55</v>
      </c>
      <c r="H305" s="392">
        <v>731.95</v>
      </c>
      <c r="I305" s="380">
        <v>1092.0876626862403</v>
      </c>
      <c r="J305" s="392">
        <v>41100.15</v>
      </c>
      <c r="K305" s="392">
        <v>25049.05</v>
      </c>
      <c r="L305" s="392">
        <v>0</v>
      </c>
      <c r="M305" s="392">
        <v>86211.1</v>
      </c>
      <c r="N305" s="331">
        <f t="shared" si="8"/>
        <v>1200897.6876626865</v>
      </c>
      <c r="O305" s="396">
        <v>7224.65</v>
      </c>
      <c r="P305" s="396">
        <v>98806.2</v>
      </c>
      <c r="Q305" s="396">
        <v>53798.15</v>
      </c>
      <c r="R305" s="396">
        <v>0</v>
      </c>
      <c r="S305" s="373">
        <v>54952.3</v>
      </c>
      <c r="T305" s="332">
        <f t="shared" si="9"/>
        <v>1415678.9876626863</v>
      </c>
      <c r="U305" s="446">
        <v>70</v>
      </c>
      <c r="V305" s="10">
        <v>645</v>
      </c>
      <c r="W305" s="10">
        <v>-17335.900000000001</v>
      </c>
      <c r="X305" s="10">
        <v>0</v>
      </c>
      <c r="Y305" s="10">
        <v>-29.46</v>
      </c>
      <c r="Z305" s="373">
        <v>0.8</v>
      </c>
      <c r="AA305" s="400"/>
      <c r="AB305" s="400"/>
      <c r="AC305" s="400"/>
      <c r="AD305" s="400"/>
      <c r="AE305" s="400"/>
      <c r="AF305" s="400"/>
    </row>
    <row r="306" spans="1:32" x14ac:dyDescent="0.25">
      <c r="A306" s="338">
        <v>5930</v>
      </c>
      <c r="B306" s="330" t="s">
        <v>401</v>
      </c>
      <c r="C306" s="392">
        <v>349866.29</v>
      </c>
      <c r="D306" s="392">
        <v>35655.919999999998</v>
      </c>
      <c r="E306" s="392">
        <v>0</v>
      </c>
      <c r="F306" s="392">
        <v>1230</v>
      </c>
      <c r="G306" s="392">
        <v>4137</v>
      </c>
      <c r="H306" s="392">
        <v>-11.85</v>
      </c>
      <c r="I306" s="380">
        <v>529.47351727450723</v>
      </c>
      <c r="J306" s="392">
        <v>0</v>
      </c>
      <c r="K306" s="392">
        <v>4284.0600000000004</v>
      </c>
      <c r="L306" s="392">
        <v>228.6</v>
      </c>
      <c r="M306" s="392">
        <v>29584.55</v>
      </c>
      <c r="N306" s="331">
        <f t="shared" si="8"/>
        <v>425504.04351727443</v>
      </c>
      <c r="O306" s="396">
        <v>0</v>
      </c>
      <c r="P306" s="396">
        <v>0</v>
      </c>
      <c r="Q306" s="396">
        <v>150.05000000000001</v>
      </c>
      <c r="R306" s="396">
        <v>63.01</v>
      </c>
      <c r="S306" s="373">
        <v>2551.35</v>
      </c>
      <c r="T306" s="332">
        <f t="shared" si="9"/>
        <v>428268.45351727441</v>
      </c>
      <c r="U306" s="446">
        <v>72</v>
      </c>
      <c r="V306" s="10">
        <v>215</v>
      </c>
      <c r="W306" s="10">
        <v>-3719.27</v>
      </c>
      <c r="X306" s="10">
        <v>0</v>
      </c>
      <c r="Y306" s="10">
        <v>0</v>
      </c>
      <c r="Z306" s="373">
        <v>1</v>
      </c>
      <c r="AA306" s="400"/>
      <c r="AB306" s="400"/>
      <c r="AC306" s="400"/>
      <c r="AD306" s="400"/>
      <c r="AE306" s="400"/>
      <c r="AF306" s="400"/>
    </row>
    <row r="307" spans="1:32" x14ac:dyDescent="0.25">
      <c r="A307" s="338">
        <v>5931</v>
      </c>
      <c r="B307" s="330" t="s">
        <v>402</v>
      </c>
      <c r="C307" s="392">
        <v>778666.45</v>
      </c>
      <c r="D307" s="392">
        <v>71152.81</v>
      </c>
      <c r="E307" s="392">
        <v>0</v>
      </c>
      <c r="F307" s="392">
        <v>0</v>
      </c>
      <c r="G307" s="392">
        <v>-860.95</v>
      </c>
      <c r="H307" s="392">
        <v>937.4</v>
      </c>
      <c r="I307" s="380">
        <v>9.8125523667348915</v>
      </c>
      <c r="J307" s="392">
        <v>0</v>
      </c>
      <c r="K307" s="392">
        <v>11985.32</v>
      </c>
      <c r="L307" s="392">
        <v>660</v>
      </c>
      <c r="M307" s="392">
        <v>75306.600000000006</v>
      </c>
      <c r="N307" s="331">
        <f t="shared" si="8"/>
        <v>937857.44255236676</v>
      </c>
      <c r="O307" s="396">
        <v>5790.35</v>
      </c>
      <c r="P307" s="396">
        <v>3913.4</v>
      </c>
      <c r="Q307" s="396">
        <v>19893.75</v>
      </c>
      <c r="R307" s="396">
        <v>0</v>
      </c>
      <c r="S307" s="373">
        <v>18531.150000000001</v>
      </c>
      <c r="T307" s="332">
        <f t="shared" si="9"/>
        <v>985986.09255236678</v>
      </c>
      <c r="U307" s="446">
        <v>75</v>
      </c>
      <c r="V307" s="10">
        <v>492</v>
      </c>
      <c r="W307" s="10">
        <v>-24884.48</v>
      </c>
      <c r="X307" s="10">
        <v>0</v>
      </c>
      <c r="Y307" s="10">
        <v>-12.12</v>
      </c>
      <c r="Z307" s="373">
        <v>1</v>
      </c>
      <c r="AA307" s="400"/>
      <c r="AB307" s="400"/>
      <c r="AC307" s="400"/>
      <c r="AD307" s="400"/>
      <c r="AE307" s="400"/>
      <c r="AF307" s="400"/>
    </row>
    <row r="308" spans="1:32" x14ac:dyDescent="0.25">
      <c r="A308" s="338">
        <v>5932</v>
      </c>
      <c r="B308" s="330" t="s">
        <v>275</v>
      </c>
      <c r="C308" s="392">
        <v>546872.31000000006</v>
      </c>
      <c r="D308" s="392">
        <v>75002.25</v>
      </c>
      <c r="E308" s="392">
        <v>0</v>
      </c>
      <c r="F308" s="392">
        <v>1340</v>
      </c>
      <c r="G308" s="392">
        <v>-51.95</v>
      </c>
      <c r="H308" s="392">
        <v>732.3</v>
      </c>
      <c r="I308" s="380">
        <v>87.324656673747839</v>
      </c>
      <c r="J308" s="392">
        <v>36203.449999999997</v>
      </c>
      <c r="K308" s="392">
        <v>-4053.08</v>
      </c>
      <c r="L308" s="392">
        <v>148</v>
      </c>
      <c r="M308" s="392">
        <v>31084.5</v>
      </c>
      <c r="N308" s="331">
        <f t="shared" si="8"/>
        <v>687365.10465667385</v>
      </c>
      <c r="O308" s="396">
        <v>0</v>
      </c>
      <c r="P308" s="396">
        <v>1616.3</v>
      </c>
      <c r="Q308" s="396">
        <v>12771</v>
      </c>
      <c r="R308" s="396">
        <v>0</v>
      </c>
      <c r="S308" s="373">
        <v>32136.45</v>
      </c>
      <c r="T308" s="332">
        <f t="shared" si="9"/>
        <v>733888.85465667385</v>
      </c>
      <c r="U308" s="446">
        <v>77</v>
      </c>
      <c r="V308" s="10">
        <v>225</v>
      </c>
      <c r="W308" s="10">
        <v>-20820.79</v>
      </c>
      <c r="X308" s="10">
        <v>-29232.15</v>
      </c>
      <c r="Y308" s="10">
        <v>-0.45</v>
      </c>
      <c r="Z308" s="373">
        <v>1</v>
      </c>
      <c r="AA308" s="400"/>
      <c r="AB308" s="400"/>
      <c r="AC308" s="400"/>
      <c r="AD308" s="400"/>
      <c r="AE308" s="400"/>
      <c r="AF308" s="400"/>
    </row>
    <row r="309" spans="1:32" x14ac:dyDescent="0.25">
      <c r="A309" s="338">
        <v>5933</v>
      </c>
      <c r="B309" s="330" t="s">
        <v>395</v>
      </c>
      <c r="C309" s="392">
        <v>1293331.82</v>
      </c>
      <c r="D309" s="392">
        <v>165986.84</v>
      </c>
      <c r="E309" s="392">
        <v>0</v>
      </c>
      <c r="F309" s="392">
        <v>0</v>
      </c>
      <c r="G309" s="392">
        <v>26942</v>
      </c>
      <c r="H309" s="392">
        <v>386.7</v>
      </c>
      <c r="I309" s="380">
        <v>3507.70830431374</v>
      </c>
      <c r="J309" s="392">
        <v>0</v>
      </c>
      <c r="K309" s="392">
        <v>13084.2</v>
      </c>
      <c r="L309" s="392">
        <v>2972.55</v>
      </c>
      <c r="M309" s="392">
        <v>118335.45</v>
      </c>
      <c r="N309" s="331">
        <f t="shared" si="8"/>
        <v>1624547.2683043138</v>
      </c>
      <c r="O309" s="396">
        <v>18184.05</v>
      </c>
      <c r="P309" s="396">
        <v>4212.7</v>
      </c>
      <c r="Q309" s="396">
        <v>60777.7</v>
      </c>
      <c r="R309" s="396">
        <v>380.35</v>
      </c>
      <c r="S309" s="373">
        <v>61084.9</v>
      </c>
      <c r="T309" s="332">
        <f t="shared" si="9"/>
        <v>1769186.9683043137</v>
      </c>
      <c r="U309" s="446">
        <v>72</v>
      </c>
      <c r="V309" s="10">
        <v>709</v>
      </c>
      <c r="W309" s="10">
        <v>-18365.48</v>
      </c>
      <c r="X309" s="10">
        <v>-16150.65</v>
      </c>
      <c r="Y309" s="10">
        <v>-8.56</v>
      </c>
      <c r="Z309" s="373">
        <v>1</v>
      </c>
      <c r="AA309" s="400"/>
      <c r="AB309" s="400"/>
      <c r="AC309" s="400"/>
      <c r="AD309" s="400"/>
      <c r="AE309" s="400"/>
      <c r="AF309" s="400"/>
    </row>
    <row r="310" spans="1:32" x14ac:dyDescent="0.25">
      <c r="A310" s="338">
        <v>5934</v>
      </c>
      <c r="B310" s="330" t="s">
        <v>396</v>
      </c>
      <c r="C310" s="392">
        <v>508047.86</v>
      </c>
      <c r="D310" s="392">
        <v>54542.29</v>
      </c>
      <c r="E310" s="392">
        <v>0</v>
      </c>
      <c r="F310" s="392">
        <v>1380</v>
      </c>
      <c r="G310" s="392">
        <v>-333.95</v>
      </c>
      <c r="H310" s="392">
        <v>83.15</v>
      </c>
      <c r="I310" s="380">
        <v>0</v>
      </c>
      <c r="J310" s="392">
        <v>0</v>
      </c>
      <c r="K310" s="392">
        <v>5881.24</v>
      </c>
      <c r="L310" s="392">
        <v>27.75</v>
      </c>
      <c r="M310" s="392">
        <v>27937.5</v>
      </c>
      <c r="N310" s="331">
        <f t="shared" si="8"/>
        <v>597565.84000000008</v>
      </c>
      <c r="O310" s="396">
        <v>0</v>
      </c>
      <c r="P310" s="396">
        <v>0</v>
      </c>
      <c r="Q310" s="396">
        <v>17318.400000000001</v>
      </c>
      <c r="R310" s="396">
        <v>0</v>
      </c>
      <c r="S310" s="373">
        <v>20199.95</v>
      </c>
      <c r="T310" s="332">
        <f t="shared" si="9"/>
        <v>635084.19000000006</v>
      </c>
      <c r="U310" s="446">
        <v>79</v>
      </c>
      <c r="V310" s="10">
        <v>227</v>
      </c>
      <c r="W310" s="10">
        <v>-1327.83</v>
      </c>
      <c r="X310" s="10">
        <v>0</v>
      </c>
      <c r="Y310" s="10">
        <v>0</v>
      </c>
      <c r="Z310" s="373">
        <v>1</v>
      </c>
      <c r="AA310" s="400"/>
      <c r="AB310" s="400"/>
      <c r="AC310" s="400"/>
      <c r="AD310" s="400"/>
      <c r="AE310" s="400"/>
      <c r="AF310" s="400"/>
    </row>
    <row r="311" spans="1:32" x14ac:dyDescent="0.25">
      <c r="A311" s="338">
        <v>5935</v>
      </c>
      <c r="B311" s="330" t="s">
        <v>298</v>
      </c>
      <c r="C311" s="392">
        <v>244965.89</v>
      </c>
      <c r="D311" s="392">
        <v>28559.8</v>
      </c>
      <c r="E311" s="392">
        <v>0</v>
      </c>
      <c r="F311" s="392">
        <v>0</v>
      </c>
      <c r="G311" s="392">
        <v>-1469.7</v>
      </c>
      <c r="H311" s="392">
        <v>924</v>
      </c>
      <c r="I311" s="380">
        <v>0</v>
      </c>
      <c r="J311" s="392">
        <v>0</v>
      </c>
      <c r="K311" s="392">
        <v>0</v>
      </c>
      <c r="L311" s="392">
        <v>0</v>
      </c>
      <c r="M311" s="392">
        <v>18717.95</v>
      </c>
      <c r="N311" s="331">
        <f t="shared" si="8"/>
        <v>291697.94</v>
      </c>
      <c r="O311" s="396">
        <v>0</v>
      </c>
      <c r="P311" s="396">
        <v>0</v>
      </c>
      <c r="Q311" s="396">
        <v>1100</v>
      </c>
      <c r="R311" s="396">
        <v>0</v>
      </c>
      <c r="S311" s="373">
        <v>0</v>
      </c>
      <c r="T311" s="332">
        <f t="shared" si="9"/>
        <v>292797.94</v>
      </c>
      <c r="U311" s="446">
        <v>60</v>
      </c>
      <c r="V311" s="10">
        <v>102</v>
      </c>
      <c r="W311" s="10">
        <v>-24.33</v>
      </c>
      <c r="X311" s="10">
        <v>0</v>
      </c>
      <c r="Y311" s="10">
        <v>-503.4</v>
      </c>
      <c r="Z311" s="373">
        <v>1</v>
      </c>
      <c r="AA311" s="400"/>
      <c r="AB311" s="400"/>
      <c r="AC311" s="400"/>
      <c r="AD311" s="400"/>
      <c r="AE311" s="400"/>
      <c r="AF311" s="400"/>
    </row>
    <row r="312" spans="1:32" x14ac:dyDescent="0.25">
      <c r="A312" s="338">
        <v>5937</v>
      </c>
      <c r="B312" s="330" t="s">
        <v>276</v>
      </c>
      <c r="C312" s="392">
        <v>164815.76999999999</v>
      </c>
      <c r="D312" s="392">
        <v>22282.41</v>
      </c>
      <c r="E312" s="392">
        <v>0</v>
      </c>
      <c r="F312" s="392">
        <v>0</v>
      </c>
      <c r="G312" s="392">
        <v>18319.05</v>
      </c>
      <c r="H312" s="392">
        <v>110.5</v>
      </c>
      <c r="I312" s="380">
        <v>2365.4797183826995</v>
      </c>
      <c r="J312" s="392">
        <v>0</v>
      </c>
      <c r="K312" s="392">
        <v>-679.96</v>
      </c>
      <c r="L312" s="392">
        <v>0</v>
      </c>
      <c r="M312" s="392">
        <v>11419.95</v>
      </c>
      <c r="N312" s="331">
        <f t="shared" si="8"/>
        <v>218633.1997183827</v>
      </c>
      <c r="O312" s="396">
        <v>2191.85</v>
      </c>
      <c r="P312" s="396">
        <v>9.4</v>
      </c>
      <c r="Q312" s="396">
        <v>9625</v>
      </c>
      <c r="R312" s="396">
        <v>0</v>
      </c>
      <c r="S312" s="373">
        <v>23502.6</v>
      </c>
      <c r="T312" s="332">
        <f t="shared" si="9"/>
        <v>253962.04971838271</v>
      </c>
      <c r="U312" s="446">
        <v>70</v>
      </c>
      <c r="V312" s="10">
        <v>135</v>
      </c>
      <c r="W312" s="10">
        <v>-12474.27</v>
      </c>
      <c r="X312" s="10">
        <v>0</v>
      </c>
      <c r="Y312" s="10">
        <v>-101.94</v>
      </c>
      <c r="Z312" s="373">
        <v>0.7</v>
      </c>
      <c r="AA312" s="400"/>
      <c r="AB312" s="400"/>
      <c r="AC312" s="400"/>
      <c r="AD312" s="400"/>
      <c r="AE312" s="400"/>
      <c r="AF312" s="400"/>
    </row>
    <row r="313" spans="1:32" x14ac:dyDescent="0.25">
      <c r="A313" s="338">
        <v>5938</v>
      </c>
      <c r="B313" s="330" t="s">
        <v>149</v>
      </c>
      <c r="C313" s="392">
        <v>44847730.049999997</v>
      </c>
      <c r="D313" s="392">
        <v>4727550.68</v>
      </c>
      <c r="E313" s="392">
        <v>0</v>
      </c>
      <c r="F313" s="392">
        <v>0</v>
      </c>
      <c r="G313" s="392">
        <v>3642832.5</v>
      </c>
      <c r="H313" s="392">
        <v>629124.85</v>
      </c>
      <c r="I313" s="380">
        <v>548316.61485065578</v>
      </c>
      <c r="J313" s="392">
        <v>-6800.46000000001</v>
      </c>
      <c r="K313" s="392">
        <v>1833664.44</v>
      </c>
      <c r="L313" s="392">
        <v>703447.75</v>
      </c>
      <c r="M313" s="392">
        <v>4191995.7</v>
      </c>
      <c r="N313" s="331">
        <f t="shared" si="8"/>
        <v>61117862.124850653</v>
      </c>
      <c r="O313" s="396">
        <v>4210979.75</v>
      </c>
      <c r="P313" s="396">
        <v>844988.1</v>
      </c>
      <c r="Q313" s="396">
        <v>2004716.3</v>
      </c>
      <c r="R313" s="396">
        <v>323949.44</v>
      </c>
      <c r="S313" s="373">
        <v>1001332.95</v>
      </c>
      <c r="T313" s="332">
        <f t="shared" si="9"/>
        <v>69503828.664850652</v>
      </c>
      <c r="U313" s="446">
        <v>76.5</v>
      </c>
      <c r="V313" s="10">
        <v>30189</v>
      </c>
      <c r="W313" s="10">
        <v>-1607195.06</v>
      </c>
      <c r="X313" s="10">
        <v>0</v>
      </c>
      <c r="Y313" s="10">
        <v>-37674.81</v>
      </c>
      <c r="Z313" s="373">
        <v>1</v>
      </c>
      <c r="AA313" s="400"/>
      <c r="AB313" s="400"/>
      <c r="AC313" s="400"/>
      <c r="AD313" s="400"/>
      <c r="AE313" s="400"/>
      <c r="AF313" s="400"/>
    </row>
    <row r="314" spans="1:32" x14ac:dyDescent="0.25">
      <c r="A314" s="338">
        <v>5939</v>
      </c>
      <c r="B314" s="330" t="s">
        <v>148</v>
      </c>
      <c r="C314" s="392">
        <v>5398735.0899999999</v>
      </c>
      <c r="D314" s="392">
        <v>633321.89</v>
      </c>
      <c r="E314" s="392">
        <v>0</v>
      </c>
      <c r="F314" s="392">
        <v>0</v>
      </c>
      <c r="G314" s="392">
        <v>257830.85</v>
      </c>
      <c r="H314" s="392">
        <v>6993.95</v>
      </c>
      <c r="I314" s="380">
        <v>33990.938103467241</v>
      </c>
      <c r="J314" s="392">
        <v>0</v>
      </c>
      <c r="K314" s="392">
        <v>100315.72</v>
      </c>
      <c r="L314" s="392">
        <v>42149.599999999999</v>
      </c>
      <c r="M314" s="392">
        <v>558972</v>
      </c>
      <c r="N314" s="331">
        <f t="shared" si="8"/>
        <v>7032310.0381034659</v>
      </c>
      <c r="O314" s="396">
        <v>140392.6</v>
      </c>
      <c r="P314" s="396">
        <v>377824.8</v>
      </c>
      <c r="Q314" s="396">
        <v>709824.7</v>
      </c>
      <c r="R314" s="396">
        <v>27503.32</v>
      </c>
      <c r="S314" s="379">
        <v>136903.95000000001</v>
      </c>
      <c r="T314" s="332">
        <f t="shared" si="9"/>
        <v>8424759.408103466</v>
      </c>
      <c r="U314" s="446">
        <v>73</v>
      </c>
      <c r="V314" s="10">
        <v>3434</v>
      </c>
      <c r="W314" s="10">
        <v>-123010.34</v>
      </c>
      <c r="X314" s="10">
        <v>0</v>
      </c>
      <c r="Y314" s="10">
        <v>-373.19</v>
      </c>
      <c r="Z314" s="373">
        <v>1</v>
      </c>
      <c r="AA314" s="400"/>
      <c r="AB314" s="400"/>
      <c r="AC314" s="400"/>
      <c r="AD314" s="400"/>
      <c r="AE314" s="400"/>
      <c r="AF314" s="400"/>
    </row>
    <row r="315" spans="1:32" x14ac:dyDescent="0.25">
      <c r="A315" s="340"/>
      <c r="B315" s="360">
        <f>COUNTA(B7:B314)</f>
        <v>308</v>
      </c>
      <c r="C315" s="388">
        <f t="shared" ref="C315:T315" si="10">SUM(C7:C314)</f>
        <v>1699699220.52</v>
      </c>
      <c r="D315" s="388">
        <f t="shared" si="10"/>
        <v>308301112.05999988</v>
      </c>
      <c r="E315" s="388">
        <f t="shared" si="10"/>
        <v>0</v>
      </c>
      <c r="F315" s="388">
        <f t="shared" si="10"/>
        <v>114038.2</v>
      </c>
      <c r="G315" s="391">
        <f t="shared" si="10"/>
        <v>176678590.3199999</v>
      </c>
      <c r="H315" s="391">
        <f t="shared" si="10"/>
        <v>45749331.750000007</v>
      </c>
      <c r="I315" s="452">
        <f>SUM(I7:I314)</f>
        <v>31614505.529420104</v>
      </c>
      <c r="J315" s="391">
        <f t="shared" si="10"/>
        <v>44263557.479999997</v>
      </c>
      <c r="K315" s="391">
        <f t="shared" si="10"/>
        <v>74423976.749999985</v>
      </c>
      <c r="L315" s="391">
        <f t="shared" si="10"/>
        <v>17911764.599999994</v>
      </c>
      <c r="M315" s="391">
        <f t="shared" si="10"/>
        <v>202920919.8000001</v>
      </c>
      <c r="N315" s="393">
        <f t="shared" si="10"/>
        <v>2601677017.0094204</v>
      </c>
      <c r="O315" s="19">
        <f t="shared" si="10"/>
        <v>71803023.849999994</v>
      </c>
      <c r="P315" s="19">
        <f t="shared" si="10"/>
        <v>74037216.790000021</v>
      </c>
      <c r="Q315" s="19">
        <f t="shared" si="10"/>
        <v>90588799.749999985</v>
      </c>
      <c r="R315" s="19">
        <f t="shared" si="10"/>
        <v>9327675.4499999881</v>
      </c>
      <c r="S315" s="19">
        <f t="shared" si="10"/>
        <v>62617329.830000006</v>
      </c>
      <c r="T315" s="343">
        <f t="shared" si="10"/>
        <v>2910051062.6794224</v>
      </c>
      <c r="U315" s="391"/>
      <c r="V315" s="11">
        <f>SUM(V7:V314)</f>
        <v>806088</v>
      </c>
      <c r="W315" s="19">
        <f t="shared" ref="W315:Y315" si="11">SUM(W7:W314)</f>
        <v>-38167616.669999994</v>
      </c>
      <c r="X315" s="19">
        <f t="shared" si="11"/>
        <v>-53718.3</v>
      </c>
      <c r="Y315" s="19">
        <f t="shared" si="11"/>
        <v>-5688037.7500000037</v>
      </c>
      <c r="Z315" s="19"/>
      <c r="AB315" s="400"/>
      <c r="AC315" s="400"/>
      <c r="AD315" s="400"/>
      <c r="AE315" s="400"/>
      <c r="AF315" s="400"/>
    </row>
    <row r="316" spans="1:32" x14ac:dyDescent="0.25">
      <c r="A316" s="337"/>
      <c r="B316" s="400"/>
      <c r="D316" s="400"/>
      <c r="E316" s="400"/>
      <c r="F316" s="400"/>
      <c r="G316" s="400"/>
      <c r="H316" s="400"/>
      <c r="I316" s="445"/>
      <c r="J316" s="400"/>
      <c r="K316" s="400"/>
      <c r="L316" s="400"/>
      <c r="M316" s="400"/>
      <c r="N316" s="400"/>
      <c r="O316" s="400"/>
      <c r="P316" s="371"/>
      <c r="Q316" s="371"/>
      <c r="R316" s="371"/>
      <c r="S316" s="371"/>
      <c r="AD316" s="400"/>
      <c r="AE316" s="400"/>
      <c r="AF316" s="400"/>
    </row>
    <row r="317" spans="1:32" s="334" customFormat="1" x14ac:dyDescent="0.25">
      <c r="A317" s="337"/>
      <c r="B317" s="400"/>
      <c r="C317" s="335"/>
      <c r="D317" s="335"/>
      <c r="E317" s="335"/>
      <c r="F317" s="335"/>
      <c r="G317" s="335"/>
      <c r="H317" s="335"/>
      <c r="I317" s="444"/>
      <c r="J317" s="335"/>
      <c r="K317" s="335"/>
      <c r="L317" s="335"/>
      <c r="M317" s="400"/>
      <c r="N317" s="400"/>
      <c r="O317" s="400"/>
      <c r="P317" s="400"/>
      <c r="Q317" s="400"/>
      <c r="R317" s="400"/>
      <c r="S317" s="400"/>
      <c r="T317" s="400"/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</row>
    <row r="318" spans="1:32" x14ac:dyDescent="0.25">
      <c r="B318" s="400"/>
      <c r="C318" s="449"/>
      <c r="D318" s="400"/>
      <c r="E318" s="400"/>
      <c r="F318" s="400"/>
      <c r="G318" s="400"/>
      <c r="H318" s="400"/>
      <c r="I318" s="400"/>
      <c r="J318" s="400"/>
      <c r="K318" s="400"/>
      <c r="L318" s="400"/>
      <c r="M318" s="400"/>
      <c r="N318" s="400"/>
      <c r="O318" s="400"/>
    </row>
    <row r="319" spans="1:32" x14ac:dyDescent="0.25">
      <c r="B319" s="400"/>
      <c r="D319" s="400"/>
      <c r="E319" s="400"/>
      <c r="F319" s="400"/>
      <c r="G319" s="400"/>
      <c r="H319" s="400"/>
      <c r="I319" s="400"/>
      <c r="J319" s="400"/>
      <c r="K319" s="400"/>
      <c r="L319" s="400"/>
      <c r="M319" s="400"/>
      <c r="N319" s="400"/>
      <c r="O319" s="400"/>
    </row>
    <row r="320" spans="1:32" x14ac:dyDescent="0.25">
      <c r="B320" s="400"/>
      <c r="D320" s="400"/>
      <c r="E320" s="400"/>
      <c r="F320" s="400"/>
      <c r="G320" s="400"/>
      <c r="H320" s="400"/>
      <c r="I320" s="400"/>
      <c r="J320" s="400"/>
      <c r="K320" s="400"/>
      <c r="L320" s="400"/>
      <c r="M320" s="400"/>
      <c r="N320" s="400"/>
      <c r="O320" s="400"/>
    </row>
    <row r="321" spans="2:15" x14ac:dyDescent="0.25">
      <c r="B321" s="400"/>
      <c r="D321" s="400"/>
      <c r="E321" s="400"/>
      <c r="F321" s="400"/>
      <c r="G321" s="400"/>
      <c r="H321" s="400"/>
      <c r="I321" s="400"/>
      <c r="J321" s="400"/>
      <c r="K321" s="400"/>
      <c r="L321" s="400"/>
      <c r="M321" s="400"/>
      <c r="N321" s="400"/>
      <c r="O321" s="400"/>
    </row>
    <row r="326" spans="2:15" x14ac:dyDescent="0.25">
      <c r="J326" s="451"/>
    </row>
  </sheetData>
  <protectedRanges>
    <protectedRange sqref="C315:H315 J315:N315 U7:Z314 O7:S314 A7:B314" name="Plage1"/>
    <protectedRange sqref="E7:M7 J8:M314 E8:H314 C7:D314 I8:I317" name="Plage1_1"/>
  </protectedRanges>
  <mergeCells count="26">
    <mergeCell ref="Z4:Z6"/>
    <mergeCell ref="V4:V5"/>
    <mergeCell ref="W4:W6"/>
    <mergeCell ref="Y4:Y6"/>
    <mergeCell ref="X4:X6"/>
    <mergeCell ref="U4:U5"/>
    <mergeCell ref="A4:A6"/>
    <mergeCell ref="B4:B6"/>
    <mergeCell ref="R4:R6"/>
    <mergeCell ref="M4:M5"/>
    <mergeCell ref="G4:G5"/>
    <mergeCell ref="H4:H5"/>
    <mergeCell ref="J4:J5"/>
    <mergeCell ref="K4:K5"/>
    <mergeCell ref="C4:C5"/>
    <mergeCell ref="D4:D5"/>
    <mergeCell ref="E4:E5"/>
    <mergeCell ref="O4:O5"/>
    <mergeCell ref="T4:T5"/>
    <mergeCell ref="P4:P5"/>
    <mergeCell ref="F4:F5"/>
    <mergeCell ref="L4:L5"/>
    <mergeCell ref="N4:N5"/>
    <mergeCell ref="Q4:Q5"/>
    <mergeCell ref="S4:S5"/>
    <mergeCell ref="I4:I5"/>
  </mergeCells>
  <phoneticPr fontId="24" type="noConversion"/>
  <pageMargins left="0.19685039370078741" right="0.39370078740157483" top="0.98425196850393704" bottom="0.98425196850393704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>
    <tabColor rgb="FF00B050"/>
  </sheetPr>
  <dimension ref="A1:AA324"/>
  <sheetViews>
    <sheetView zoomScaleNormal="100" workbookViewId="0">
      <pane ySplit="6" topLeftCell="A7" activePane="bottomLeft" state="frozen"/>
      <selection pane="bottomLeft"/>
    </sheetView>
  </sheetViews>
  <sheetFormatPr baseColWidth="10" defaultColWidth="8.625" defaultRowHeight="15" x14ac:dyDescent="0.25"/>
  <cols>
    <col min="1" max="1" width="7.625" style="4" customWidth="1"/>
    <col min="2" max="2" width="20.375" style="13" bestFit="1" customWidth="1"/>
    <col min="3" max="3" width="15.875" style="13" bestFit="1" customWidth="1"/>
    <col min="4" max="4" width="12.125" style="6" bestFit="1" customWidth="1"/>
    <col min="5" max="5" width="9.125" style="13" bestFit="1" customWidth="1"/>
    <col min="6" max="6" width="13.375" style="6" bestFit="1" customWidth="1"/>
    <col min="7" max="7" width="18.375" style="13" bestFit="1" customWidth="1"/>
    <col min="8" max="8" width="10" style="6" bestFit="1" customWidth="1"/>
    <col min="9" max="9" width="10.125" style="13" bestFit="1" customWidth="1"/>
    <col min="10" max="10" width="16" style="13" bestFit="1" customWidth="1"/>
    <col min="11" max="12" width="12.25" style="13" bestFit="1" customWidth="1"/>
    <col min="13" max="13" width="13.375" style="13" bestFit="1" customWidth="1"/>
    <col min="14" max="14" width="15.875" style="13" bestFit="1" customWidth="1"/>
    <col min="15" max="15" width="13" style="13" bestFit="1" customWidth="1"/>
    <col min="16" max="16" width="13.125" style="13" bestFit="1" customWidth="1"/>
    <col min="17" max="17" width="8.625" style="13" customWidth="1"/>
    <col min="18" max="18" width="14.375" style="13" bestFit="1" customWidth="1"/>
    <col min="19" max="19" width="12.125" style="15" bestFit="1" customWidth="1"/>
    <col min="20" max="20" width="14.375" style="15" bestFit="1" customWidth="1"/>
    <col min="21" max="21" width="12.125" style="13" customWidth="1"/>
    <col min="22" max="22" width="13.5" style="13" bestFit="1" customWidth="1"/>
    <col min="23" max="24" width="12.25" style="13" bestFit="1" customWidth="1"/>
    <col min="25" max="25" width="15.5" style="13" customWidth="1"/>
    <col min="26" max="26" width="12.5" style="13" bestFit="1" customWidth="1"/>
    <col min="27" max="27" width="8.625" style="13" customWidth="1"/>
    <col min="28" max="16384" width="8.625" style="13"/>
  </cols>
  <sheetData>
    <row r="1" spans="1:27" ht="21" x14ac:dyDescent="0.35">
      <c r="A1" s="25" t="s">
        <v>447</v>
      </c>
      <c r="B1" s="26"/>
      <c r="C1" s="26"/>
      <c r="E1" s="28"/>
      <c r="G1" s="4"/>
      <c r="H1" s="5"/>
      <c r="I1" s="4"/>
      <c r="J1" s="4"/>
      <c r="K1" s="4"/>
      <c r="L1" s="4"/>
    </row>
    <row r="2" spans="1:27" ht="21" x14ac:dyDescent="0.35">
      <c r="A2" s="25" t="str">
        <f>Paramètres!B5</f>
        <v>Acomptes 2021</v>
      </c>
      <c r="C2" s="25"/>
      <c r="E2" s="28"/>
      <c r="G2" s="29"/>
      <c r="H2" s="5"/>
      <c r="I2" s="4"/>
      <c r="J2" s="4"/>
      <c r="K2" s="4"/>
      <c r="L2" s="4"/>
    </row>
    <row r="3" spans="1:27" x14ac:dyDescent="0.25">
      <c r="A3" s="3"/>
      <c r="B3" s="4"/>
      <c r="C3" s="4"/>
      <c r="E3" s="28"/>
      <c r="G3" s="4"/>
      <c r="H3" s="5"/>
      <c r="I3" s="4"/>
      <c r="J3" s="4"/>
      <c r="K3" s="4"/>
      <c r="L3" s="4"/>
      <c r="O3" s="27"/>
    </row>
    <row r="4" spans="1:27" s="16" customFormat="1" ht="38.1" customHeight="1" x14ac:dyDescent="0.2">
      <c r="A4" s="475" t="s">
        <v>46</v>
      </c>
      <c r="B4" s="478" t="s">
        <v>95</v>
      </c>
      <c r="C4" s="484" t="s">
        <v>250</v>
      </c>
      <c r="D4" s="481" t="s">
        <v>245</v>
      </c>
      <c r="E4" s="486" t="s">
        <v>246</v>
      </c>
      <c r="F4" s="481" t="s">
        <v>247</v>
      </c>
      <c r="G4" s="484" t="s">
        <v>248</v>
      </c>
      <c r="H4" s="481" t="s">
        <v>257</v>
      </c>
      <c r="I4" s="484" t="s">
        <v>258</v>
      </c>
      <c r="J4" s="484" t="s">
        <v>259</v>
      </c>
      <c r="K4" s="484" t="s">
        <v>380</v>
      </c>
      <c r="L4" s="484" t="s">
        <v>381</v>
      </c>
      <c r="M4" s="484" t="s">
        <v>382</v>
      </c>
      <c r="N4" s="481" t="s">
        <v>414</v>
      </c>
      <c r="O4" s="484" t="s">
        <v>48</v>
      </c>
      <c r="P4" s="484" t="s">
        <v>383</v>
      </c>
      <c r="Q4" s="486" t="s">
        <v>497</v>
      </c>
      <c r="R4" s="492" t="s">
        <v>469</v>
      </c>
      <c r="S4" s="458" t="s">
        <v>78</v>
      </c>
      <c r="T4" s="492" t="s">
        <v>340</v>
      </c>
      <c r="U4" s="492" t="s">
        <v>449</v>
      </c>
      <c r="V4" s="484" t="s">
        <v>194</v>
      </c>
      <c r="W4" s="484" t="s">
        <v>195</v>
      </c>
      <c r="X4" s="484" t="s">
        <v>196</v>
      </c>
      <c r="Y4" s="489" t="s">
        <v>423</v>
      </c>
      <c r="Z4" s="484" t="s">
        <v>193</v>
      </c>
      <c r="AA4" s="484" t="s">
        <v>303</v>
      </c>
    </row>
    <row r="5" spans="1:27" s="16" customFormat="1" ht="43.5" customHeight="1" x14ac:dyDescent="0.2">
      <c r="A5" s="476"/>
      <c r="B5" s="479"/>
      <c r="C5" s="485"/>
      <c r="D5" s="482"/>
      <c r="E5" s="487"/>
      <c r="F5" s="482"/>
      <c r="G5" s="485"/>
      <c r="H5" s="483"/>
      <c r="I5" s="485"/>
      <c r="J5" s="485"/>
      <c r="K5" s="485"/>
      <c r="L5" s="485"/>
      <c r="M5" s="485"/>
      <c r="N5" s="482"/>
      <c r="O5" s="495"/>
      <c r="P5" s="485"/>
      <c r="Q5" s="487"/>
      <c r="R5" s="493"/>
      <c r="S5" s="459"/>
      <c r="T5" s="493"/>
      <c r="U5" s="494"/>
      <c r="V5" s="485"/>
      <c r="W5" s="485"/>
      <c r="X5" s="485"/>
      <c r="Y5" s="490"/>
      <c r="Z5" s="485"/>
      <c r="AA5" s="485"/>
    </row>
    <row r="6" spans="1:27" ht="14.25" customHeight="1" x14ac:dyDescent="0.25">
      <c r="A6" s="477"/>
      <c r="B6" s="480"/>
      <c r="C6" s="39" t="s">
        <v>251</v>
      </c>
      <c r="D6" s="483"/>
      <c r="E6" s="488"/>
      <c r="F6" s="483"/>
      <c r="G6" s="39" t="s">
        <v>249</v>
      </c>
      <c r="H6" s="20" t="s">
        <v>79</v>
      </c>
      <c r="I6" s="21" t="s">
        <v>80</v>
      </c>
      <c r="J6" s="21" t="s">
        <v>81</v>
      </c>
      <c r="K6" s="39" t="s">
        <v>82</v>
      </c>
      <c r="L6" s="21" t="s">
        <v>83</v>
      </c>
      <c r="M6" s="21" t="s">
        <v>84</v>
      </c>
      <c r="N6" s="483"/>
      <c r="O6" s="485"/>
      <c r="P6" s="21" t="s">
        <v>85</v>
      </c>
      <c r="Q6" s="488"/>
      <c r="R6" s="494"/>
      <c r="S6" s="40">
        <f>Paramètres!B8</f>
        <v>2019</v>
      </c>
      <c r="T6" s="494"/>
      <c r="U6" s="200" t="str">
        <f>Paramètres!B5</f>
        <v>Acomptes 2021</v>
      </c>
      <c r="V6" s="21" t="s">
        <v>88</v>
      </c>
      <c r="W6" s="21" t="s">
        <v>89</v>
      </c>
      <c r="X6" s="21" t="s">
        <v>90</v>
      </c>
      <c r="Y6" s="491"/>
      <c r="Z6" s="39" t="s">
        <v>87</v>
      </c>
      <c r="AA6" s="23">
        <f>Paramètres!B7</f>
        <v>42368</v>
      </c>
    </row>
    <row r="7" spans="1:27" x14ac:dyDescent="0.25">
      <c r="A7" s="8">
        <f>'A) Base RI'!A7</f>
        <v>5401</v>
      </c>
      <c r="B7" s="32" t="str">
        <f>'A) Base RI'!B7</f>
        <v>Aigle</v>
      </c>
      <c r="C7" s="10">
        <f>'A) Base RI'!C7+'A) Base RI'!D7</f>
        <v>14434440.140000001</v>
      </c>
      <c r="D7" s="10">
        <f>'A) Base RI'!W7</f>
        <v>-425703.69</v>
      </c>
      <c r="E7" s="31">
        <f>'A) Base RI'!X7</f>
        <v>0</v>
      </c>
      <c r="F7" s="31">
        <f>'A) Base RI'!Y7</f>
        <v>-6444.66</v>
      </c>
      <c r="G7" s="2">
        <f>SUM(C7:F7)</f>
        <v>14002291.790000001</v>
      </c>
      <c r="H7" s="10">
        <f>+'A) Base RI'!E7</f>
        <v>0</v>
      </c>
      <c r="I7" s="10">
        <f>+'A) Base RI'!F7</f>
        <v>0</v>
      </c>
      <c r="J7" s="10">
        <f>+'A) Base RI'!G7+'A) Base RI'!H7+'A) Base RI'!I7</f>
        <v>1726711.0226977742</v>
      </c>
      <c r="K7" s="10">
        <f>+'A) Base RI'!J7</f>
        <v>9391.4</v>
      </c>
      <c r="L7" s="10">
        <f>+'A) Base RI'!K7</f>
        <v>632707.23</v>
      </c>
      <c r="M7" s="10">
        <f>+'A) Base RI'!L7</f>
        <v>223102.75</v>
      </c>
      <c r="N7" s="10">
        <f>+'A) Base RI'!R7</f>
        <v>106179.46</v>
      </c>
      <c r="O7" s="10">
        <f>(P7/Q7)*1</f>
        <v>1778217.4166666667</v>
      </c>
      <c r="P7" s="10">
        <f>+'A) Base RI'!M7</f>
        <v>2133860.9</v>
      </c>
      <c r="Q7" s="34">
        <f>'A) Base RI'!Z7</f>
        <v>1.2</v>
      </c>
      <c r="R7" s="2">
        <f>SUM(G7:O7)</f>
        <v>18478601.069364443</v>
      </c>
      <c r="S7" s="33">
        <f>+'A) Base RI'!U7</f>
        <v>67.5</v>
      </c>
      <c r="T7" s="2">
        <f>(G7+H7+J7+K7+L7+N7)</f>
        <v>16477280.902697777</v>
      </c>
      <c r="U7" s="2">
        <f>R7/S7</f>
        <v>273757.05287947325</v>
      </c>
      <c r="V7" s="10">
        <f>+'A) Base RI'!P7</f>
        <v>494018.2</v>
      </c>
      <c r="W7" s="10">
        <f>+'A) Base RI'!Q7</f>
        <v>945379.5</v>
      </c>
      <c r="X7" s="10">
        <f>+'A) Base RI'!S7</f>
        <v>187505.3</v>
      </c>
      <c r="Y7" s="2">
        <f>SUM(V7:X7)</f>
        <v>1626903</v>
      </c>
      <c r="Z7" s="10">
        <f>+'A) Base RI'!O7</f>
        <v>1052253.75</v>
      </c>
      <c r="AA7" s="10">
        <f>'A) Base RI'!V7</f>
        <v>10217</v>
      </c>
    </row>
    <row r="8" spans="1:27" x14ac:dyDescent="0.25">
      <c r="A8" s="8">
        <f>'A) Base RI'!A8</f>
        <v>5402</v>
      </c>
      <c r="B8" s="32" t="str">
        <f>'A) Base RI'!B8</f>
        <v>Bex</v>
      </c>
      <c r="C8" s="10">
        <f>'A) Base RI'!C8+'A) Base RI'!D8</f>
        <v>10317635.379999999</v>
      </c>
      <c r="D8" s="10">
        <f>'A) Base RI'!W8</f>
        <v>-330040.64</v>
      </c>
      <c r="E8" s="397">
        <f>'A) Base RI'!X8</f>
        <v>0</v>
      </c>
      <c r="F8" s="397">
        <f>'A) Base RI'!Y8</f>
        <v>-1880.06</v>
      </c>
      <c r="G8" s="405">
        <f t="shared" ref="G8:G70" si="0">SUM(C8:F8)</f>
        <v>9985714.6799999978</v>
      </c>
      <c r="H8" s="10">
        <f>+'A) Base RI'!E8</f>
        <v>0</v>
      </c>
      <c r="I8" s="10">
        <f>+'A) Base RI'!F8</f>
        <v>0</v>
      </c>
      <c r="J8" s="10">
        <f>+'A) Base RI'!G8+'A) Base RI'!H8+'A) Base RI'!I8</f>
        <v>1233255.0904954453</v>
      </c>
      <c r="K8" s="10">
        <f>+'A) Base RI'!J8</f>
        <v>56182.55</v>
      </c>
      <c r="L8" s="10">
        <f>+'A) Base RI'!K8</f>
        <v>409910.15</v>
      </c>
      <c r="M8" s="10">
        <f>+'A) Base RI'!L8</f>
        <v>96070.3</v>
      </c>
      <c r="N8" s="10">
        <f>+'A) Base RI'!R8</f>
        <v>86510.04</v>
      </c>
      <c r="O8" s="10">
        <f t="shared" ref="O8:O70" si="1">(P8/Q8)*1</f>
        <v>1281658.72</v>
      </c>
      <c r="P8" s="10">
        <f>+'A) Base RI'!M8</f>
        <v>1602073.4</v>
      </c>
      <c r="Q8" s="413">
        <f>'A) Base RI'!Z8</f>
        <v>1.25</v>
      </c>
      <c r="R8" s="405">
        <f t="shared" ref="R8:R70" si="2">SUM(G8:O8)</f>
        <v>13149301.530495444</v>
      </c>
      <c r="S8" s="401">
        <f>+'A) Base RI'!U8</f>
        <v>71</v>
      </c>
      <c r="T8" s="405">
        <f t="shared" ref="T8:T70" si="3">(G8+H8+J8+K8+L8+N8)</f>
        <v>11771572.510495443</v>
      </c>
      <c r="U8" s="405">
        <f t="shared" ref="U8:U70" si="4">R8/S8</f>
        <v>185201.4300069781</v>
      </c>
      <c r="V8" s="10">
        <f>+'A) Base RI'!P8</f>
        <v>134600.79999999999</v>
      </c>
      <c r="W8" s="10">
        <f>+'A) Base RI'!Q8</f>
        <v>656655.69999999995</v>
      </c>
      <c r="X8" s="10">
        <f>+'A) Base RI'!S8</f>
        <v>347693.35</v>
      </c>
      <c r="Y8" s="405">
        <f t="shared" ref="Y8:Y70" si="5">SUM(V8:X8)</f>
        <v>1138949.8500000001</v>
      </c>
      <c r="Z8" s="10">
        <f>+'A) Base RI'!O8</f>
        <v>217296.4</v>
      </c>
      <c r="AA8" s="10">
        <f>'A) Base RI'!V8</f>
        <v>7869</v>
      </c>
    </row>
    <row r="9" spans="1:27" x14ac:dyDescent="0.25">
      <c r="A9" s="8">
        <f>'A) Base RI'!A9</f>
        <v>5403</v>
      </c>
      <c r="B9" s="32" t="str">
        <f>'A) Base RI'!B9</f>
        <v>Chessel</v>
      </c>
      <c r="C9" s="10">
        <f>'A) Base RI'!C9+'A) Base RI'!D9</f>
        <v>696127.09</v>
      </c>
      <c r="D9" s="10">
        <f>'A) Base RI'!W9</f>
        <v>-6825.71</v>
      </c>
      <c r="E9" s="397">
        <f>'A) Base RI'!X9</f>
        <v>0</v>
      </c>
      <c r="F9" s="397">
        <f>'A) Base RI'!Y9</f>
        <v>-25.25</v>
      </c>
      <c r="G9" s="405">
        <f t="shared" si="0"/>
        <v>689276.13</v>
      </c>
      <c r="H9" s="10">
        <f>+'A) Base RI'!E9</f>
        <v>0</v>
      </c>
      <c r="I9" s="10">
        <f>+'A) Base RI'!F9</f>
        <v>0</v>
      </c>
      <c r="J9" s="10">
        <f>+'A) Base RI'!G9+'A) Base RI'!H9+'A) Base RI'!I9</f>
        <v>37838.569299665316</v>
      </c>
      <c r="K9" s="10">
        <f>+'A) Base RI'!J9</f>
        <v>0</v>
      </c>
      <c r="L9" s="10">
        <f>+'A) Base RI'!K9</f>
        <v>22271.16</v>
      </c>
      <c r="M9" s="10">
        <f>+'A) Base RI'!L9</f>
        <v>4138</v>
      </c>
      <c r="N9" s="10">
        <f>+'A) Base RI'!R9</f>
        <v>-29643.49</v>
      </c>
      <c r="O9" s="10">
        <f t="shared" si="1"/>
        <v>67163.399999999994</v>
      </c>
      <c r="P9" s="10">
        <f>+'A) Base RI'!M9</f>
        <v>67163.399999999994</v>
      </c>
      <c r="Q9" s="413">
        <f>'A) Base RI'!Z9</f>
        <v>1</v>
      </c>
      <c r="R9" s="405">
        <f t="shared" si="2"/>
        <v>791043.76929966535</v>
      </c>
      <c r="S9" s="401">
        <f>+'A) Base RI'!U9</f>
        <v>74</v>
      </c>
      <c r="T9" s="405">
        <f t="shared" si="3"/>
        <v>719742.36929966533</v>
      </c>
      <c r="U9" s="405">
        <f t="shared" si="4"/>
        <v>10689.780666211695</v>
      </c>
      <c r="V9" s="10">
        <f>+'A) Base RI'!P9</f>
        <v>13753</v>
      </c>
      <c r="W9" s="10">
        <f>+'A) Base RI'!Q9</f>
        <v>55000</v>
      </c>
      <c r="X9" s="10">
        <f>+'A) Base RI'!S9</f>
        <v>26076.75</v>
      </c>
      <c r="Y9" s="405">
        <f t="shared" si="5"/>
        <v>94829.75</v>
      </c>
      <c r="Z9" s="10">
        <f>+'A) Base RI'!O9</f>
        <v>8065.6</v>
      </c>
      <c r="AA9" s="10">
        <f>'A) Base RI'!V9</f>
        <v>429</v>
      </c>
    </row>
    <row r="10" spans="1:27" x14ac:dyDescent="0.25">
      <c r="A10" s="8">
        <f>'A) Base RI'!A10</f>
        <v>5404</v>
      </c>
      <c r="B10" s="32" t="str">
        <f>'A) Base RI'!B10</f>
        <v>Corbeyrier</v>
      </c>
      <c r="C10" s="10">
        <f>'A) Base RI'!C10+'A) Base RI'!D10</f>
        <v>993316.94</v>
      </c>
      <c r="D10" s="10">
        <f>'A) Base RI'!W10</f>
        <v>-4705.55</v>
      </c>
      <c r="E10" s="397">
        <f>'A) Base RI'!X10</f>
        <v>0</v>
      </c>
      <c r="F10" s="397">
        <f>'A) Base RI'!Y10</f>
        <v>-56.43</v>
      </c>
      <c r="G10" s="405">
        <f t="shared" si="0"/>
        <v>988554.95999999985</v>
      </c>
      <c r="H10" s="10">
        <f>+'A) Base RI'!E10</f>
        <v>0</v>
      </c>
      <c r="I10" s="10">
        <f>+'A) Base RI'!F10</f>
        <v>0</v>
      </c>
      <c r="J10" s="10">
        <f>+'A) Base RI'!G10+'A) Base RI'!H10+'A) Base RI'!I10</f>
        <v>5676.6288384801319</v>
      </c>
      <c r="K10" s="10">
        <f>+'A) Base RI'!J10</f>
        <v>0</v>
      </c>
      <c r="L10" s="10">
        <f>+'A) Base RI'!K10</f>
        <v>2333.6799999999998</v>
      </c>
      <c r="M10" s="10">
        <f>+'A) Base RI'!L10</f>
        <v>568.04999999999995</v>
      </c>
      <c r="N10" s="10">
        <f>+'A) Base RI'!R10</f>
        <v>-602.63</v>
      </c>
      <c r="O10" s="10">
        <f t="shared" si="1"/>
        <v>83258.133333333331</v>
      </c>
      <c r="P10" s="10">
        <f>+'A) Base RI'!M10</f>
        <v>124887.2</v>
      </c>
      <c r="Q10" s="413">
        <f>'A) Base RI'!Z10</f>
        <v>1.5</v>
      </c>
      <c r="R10" s="405">
        <f t="shared" si="2"/>
        <v>1079788.8221718133</v>
      </c>
      <c r="S10" s="401">
        <f>+'A) Base RI'!U10</f>
        <v>74</v>
      </c>
      <c r="T10" s="405">
        <f t="shared" si="3"/>
        <v>995962.63883847999</v>
      </c>
      <c r="U10" s="405">
        <f t="shared" si="4"/>
        <v>14591.74084015964</v>
      </c>
      <c r="V10" s="10">
        <f>+'A) Base RI'!P10</f>
        <v>111727.8</v>
      </c>
      <c r="W10" s="10">
        <f>+'A) Base RI'!Q10</f>
        <v>37406.050000000003</v>
      </c>
      <c r="X10" s="10">
        <f>+'A) Base RI'!S10</f>
        <v>25298.9</v>
      </c>
      <c r="Y10" s="405">
        <f t="shared" si="5"/>
        <v>174432.75</v>
      </c>
      <c r="Z10" s="10">
        <f>+'A) Base RI'!O10</f>
        <v>27352.35</v>
      </c>
      <c r="AA10" s="10">
        <f>'A) Base RI'!V10</f>
        <v>437</v>
      </c>
    </row>
    <row r="11" spans="1:27" x14ac:dyDescent="0.25">
      <c r="A11" s="8">
        <f>'A) Base RI'!A11</f>
        <v>5405</v>
      </c>
      <c r="B11" s="32" t="str">
        <f>'A) Base RI'!B11</f>
        <v>Gryon</v>
      </c>
      <c r="C11" s="10">
        <f>'A) Base RI'!C11+'A) Base RI'!D11</f>
        <v>4113585.94</v>
      </c>
      <c r="D11" s="10">
        <f>'A) Base RI'!W11</f>
        <v>-57881.18</v>
      </c>
      <c r="E11" s="397">
        <f>'A) Base RI'!X11</f>
        <v>0</v>
      </c>
      <c r="F11" s="397">
        <f>'A) Base RI'!Y11</f>
        <v>-4179.3500000000004</v>
      </c>
      <c r="G11" s="405">
        <f t="shared" si="0"/>
        <v>4051525.4099999997</v>
      </c>
      <c r="H11" s="10">
        <f>+'A) Base RI'!E11</f>
        <v>0</v>
      </c>
      <c r="I11" s="10">
        <f>+'A) Base RI'!F11</f>
        <v>0</v>
      </c>
      <c r="J11" s="10">
        <f>+'A) Base RI'!G11+'A) Base RI'!H11+'A) Base RI'!I11</f>
        <v>30731.358682007092</v>
      </c>
      <c r="K11" s="10">
        <f>+'A) Base RI'!J11</f>
        <v>202872.74</v>
      </c>
      <c r="L11" s="10">
        <f>+'A) Base RI'!K11</f>
        <v>97661.81</v>
      </c>
      <c r="M11" s="10">
        <f>+'A) Base RI'!L11</f>
        <v>12936.4</v>
      </c>
      <c r="N11" s="10">
        <f>+'A) Base RI'!R11</f>
        <v>8220.81</v>
      </c>
      <c r="O11" s="10">
        <f t="shared" si="1"/>
        <v>518235.8666666667</v>
      </c>
      <c r="P11" s="10">
        <f>+'A) Base RI'!M11</f>
        <v>777353.8</v>
      </c>
      <c r="Q11" s="413">
        <f>'A) Base RI'!Z11</f>
        <v>1.5</v>
      </c>
      <c r="R11" s="405">
        <f t="shared" si="2"/>
        <v>4922184.3953486737</v>
      </c>
      <c r="S11" s="401">
        <f>+'A) Base RI'!U11</f>
        <v>75</v>
      </c>
      <c r="T11" s="405">
        <f t="shared" si="3"/>
        <v>4391012.1286820062</v>
      </c>
      <c r="U11" s="405">
        <f t="shared" si="4"/>
        <v>65629.125271315643</v>
      </c>
      <c r="V11" s="10">
        <f>+'A) Base RI'!P11</f>
        <v>77324.3</v>
      </c>
      <c r="W11" s="10">
        <f>+'A) Base RI'!Q11</f>
        <v>359859.6</v>
      </c>
      <c r="X11" s="10">
        <f>+'A) Base RI'!S11</f>
        <v>189588</v>
      </c>
      <c r="Y11" s="405">
        <f t="shared" si="5"/>
        <v>626771.89999999991</v>
      </c>
      <c r="Z11" s="10">
        <f>+'A) Base RI'!O11</f>
        <v>0</v>
      </c>
      <c r="AA11" s="10">
        <f>'A) Base RI'!V11</f>
        <v>1347</v>
      </c>
    </row>
    <row r="12" spans="1:27" x14ac:dyDescent="0.25">
      <c r="A12" s="8">
        <f>'A) Base RI'!A12</f>
        <v>5406</v>
      </c>
      <c r="B12" s="32" t="str">
        <f>'A) Base RI'!B12</f>
        <v>Lavey-Morcles</v>
      </c>
      <c r="C12" s="10">
        <f>'A) Base RI'!C12+'A) Base RI'!D12</f>
        <v>1432849.86</v>
      </c>
      <c r="D12" s="10">
        <f>'A) Base RI'!W12</f>
        <v>-14890.62</v>
      </c>
      <c r="E12" s="397">
        <f>'A) Base RI'!X12</f>
        <v>0</v>
      </c>
      <c r="F12" s="397">
        <f>'A) Base RI'!Y12</f>
        <v>-3.11</v>
      </c>
      <c r="G12" s="405">
        <f t="shared" si="0"/>
        <v>1417956.13</v>
      </c>
      <c r="H12" s="10">
        <f>+'A) Base RI'!E12</f>
        <v>0</v>
      </c>
      <c r="I12" s="10">
        <f>+'A) Base RI'!F12</f>
        <v>0</v>
      </c>
      <c r="J12" s="10">
        <f>+'A) Base RI'!G12+'A) Base RI'!H12+'A) Base RI'!I12</f>
        <v>62271.689723979274</v>
      </c>
      <c r="K12" s="10">
        <f>+'A) Base RI'!J12</f>
        <v>0</v>
      </c>
      <c r="L12" s="10">
        <f>+'A) Base RI'!K12</f>
        <v>104498.74</v>
      </c>
      <c r="M12" s="10">
        <f>+'A) Base RI'!L12</f>
        <v>8692.9500000000007</v>
      </c>
      <c r="N12" s="10">
        <f>+'A) Base RI'!R12</f>
        <v>4681.1899999999996</v>
      </c>
      <c r="O12" s="10">
        <f t="shared" si="1"/>
        <v>150560.19230769231</v>
      </c>
      <c r="P12" s="10">
        <f>+'A) Base RI'!M12</f>
        <v>195728.25</v>
      </c>
      <c r="Q12" s="413">
        <f>'A) Base RI'!Z12</f>
        <v>1.3</v>
      </c>
      <c r="R12" s="405">
        <f t="shared" si="2"/>
        <v>1748660.8920316712</v>
      </c>
      <c r="S12" s="401">
        <f>+'A) Base RI'!U12</f>
        <v>71</v>
      </c>
      <c r="T12" s="405">
        <f t="shared" si="3"/>
        <v>1589407.749723979</v>
      </c>
      <c r="U12" s="405">
        <f t="shared" si="4"/>
        <v>24629.026648333398</v>
      </c>
      <c r="V12" s="10">
        <f>+'A) Base RI'!P12</f>
        <v>2128.5</v>
      </c>
      <c r="W12" s="10">
        <f>+'A) Base RI'!Q12</f>
        <v>29459.65</v>
      </c>
      <c r="X12" s="10">
        <f>+'A) Base RI'!S12</f>
        <v>8837.35</v>
      </c>
      <c r="Y12" s="405">
        <f t="shared" si="5"/>
        <v>40425.5</v>
      </c>
      <c r="Z12" s="10">
        <f>+'A) Base RI'!O12</f>
        <v>3939</v>
      </c>
      <c r="AA12" s="10">
        <f>'A) Base RI'!V12</f>
        <v>931</v>
      </c>
    </row>
    <row r="13" spans="1:27" x14ac:dyDescent="0.25">
      <c r="A13" s="8">
        <f>'A) Base RI'!A13</f>
        <v>5407</v>
      </c>
      <c r="B13" s="32" t="str">
        <f>'A) Base RI'!B13</f>
        <v>Leysin</v>
      </c>
      <c r="C13" s="10">
        <f>'A) Base RI'!C13+'A) Base RI'!D13</f>
        <v>5352229.6099999994</v>
      </c>
      <c r="D13" s="10">
        <f>'A) Base RI'!W13</f>
        <v>-157047.9</v>
      </c>
      <c r="E13" s="397">
        <f>'A) Base RI'!X13</f>
        <v>0</v>
      </c>
      <c r="F13" s="397">
        <f>'A) Base RI'!Y13</f>
        <v>-8732.0300000000007</v>
      </c>
      <c r="G13" s="405">
        <f t="shared" si="0"/>
        <v>5186449.6799999988</v>
      </c>
      <c r="H13" s="10">
        <f>+'A) Base RI'!E13</f>
        <v>0</v>
      </c>
      <c r="I13" s="10">
        <f>+'A) Base RI'!F13</f>
        <v>0</v>
      </c>
      <c r="J13" s="10">
        <f>+'A) Base RI'!G13+'A) Base RI'!H13+'A) Base RI'!I13</f>
        <v>353887.12812450045</v>
      </c>
      <c r="K13" s="10">
        <f>+'A) Base RI'!J13</f>
        <v>74117.2</v>
      </c>
      <c r="L13" s="10">
        <f>+'A) Base RI'!K13</f>
        <v>446764.89</v>
      </c>
      <c r="M13" s="10">
        <f>+'A) Base RI'!L13</f>
        <v>52266</v>
      </c>
      <c r="N13" s="10">
        <f>+'A) Base RI'!R13</f>
        <v>15946.56</v>
      </c>
      <c r="O13" s="10">
        <f t="shared" si="1"/>
        <v>811745.53333333333</v>
      </c>
      <c r="P13" s="10">
        <f>+'A) Base RI'!M13</f>
        <v>1217618.3</v>
      </c>
      <c r="Q13" s="413">
        <f>'A) Base RI'!Z13</f>
        <v>1.5</v>
      </c>
      <c r="R13" s="405">
        <f t="shared" si="2"/>
        <v>6941176.991457832</v>
      </c>
      <c r="S13" s="401">
        <f>+'A) Base RI'!U13</f>
        <v>78</v>
      </c>
      <c r="T13" s="405">
        <f t="shared" si="3"/>
        <v>6077165.4581244988</v>
      </c>
      <c r="U13" s="405">
        <f t="shared" si="4"/>
        <v>88989.44860843374</v>
      </c>
      <c r="V13" s="10">
        <f>+'A) Base RI'!P13</f>
        <v>83889.3</v>
      </c>
      <c r="W13" s="10">
        <f>+'A) Base RI'!Q13</f>
        <v>396072.7</v>
      </c>
      <c r="X13" s="10">
        <f>+'A) Base RI'!S13</f>
        <v>288269.90000000002</v>
      </c>
      <c r="Y13" s="405">
        <f t="shared" si="5"/>
        <v>768231.9</v>
      </c>
      <c r="Z13" s="10">
        <f>+'A) Base RI'!O13</f>
        <v>51426.35</v>
      </c>
      <c r="AA13" s="10">
        <f>'A) Base RI'!V13</f>
        <v>3776</v>
      </c>
    </row>
    <row r="14" spans="1:27" x14ac:dyDescent="0.25">
      <c r="A14" s="8">
        <f>'A) Base RI'!A14</f>
        <v>5408</v>
      </c>
      <c r="B14" s="32" t="str">
        <f>'A) Base RI'!B14</f>
        <v>Noville</v>
      </c>
      <c r="C14" s="10">
        <f>'A) Base RI'!C14+'A) Base RI'!D14</f>
        <v>2225336.3199999998</v>
      </c>
      <c r="D14" s="10">
        <f>'A) Base RI'!W14</f>
        <v>-114163.6</v>
      </c>
      <c r="E14" s="397">
        <f>'A) Base RI'!X14</f>
        <v>0</v>
      </c>
      <c r="F14" s="397">
        <f>'A) Base RI'!Y14</f>
        <v>-1067.8599999999999</v>
      </c>
      <c r="G14" s="405">
        <f t="shared" si="0"/>
        <v>2110104.86</v>
      </c>
      <c r="H14" s="10">
        <f>+'A) Base RI'!E14</f>
        <v>0</v>
      </c>
      <c r="I14" s="10">
        <f>+'A) Base RI'!F14</f>
        <v>0</v>
      </c>
      <c r="J14" s="10">
        <f>+'A) Base RI'!G14+'A) Base RI'!H14+'A) Base RI'!I14</f>
        <v>-274436.64999999997</v>
      </c>
      <c r="K14" s="10">
        <f>+'A) Base RI'!J14</f>
        <v>0</v>
      </c>
      <c r="L14" s="10">
        <f>+'A) Base RI'!K14</f>
        <v>83964.23</v>
      </c>
      <c r="M14" s="10">
        <f>+'A) Base RI'!L14</f>
        <v>9604.5499999999993</v>
      </c>
      <c r="N14" s="10">
        <f>+'A) Base RI'!R14</f>
        <v>6220.45</v>
      </c>
      <c r="O14" s="10">
        <f t="shared" si="1"/>
        <v>283779.93333333335</v>
      </c>
      <c r="P14" s="10">
        <f>+'A) Base RI'!M14</f>
        <v>425669.9</v>
      </c>
      <c r="Q14" s="413">
        <f>'A) Base RI'!Z14</f>
        <v>1.5</v>
      </c>
      <c r="R14" s="405">
        <f t="shared" si="2"/>
        <v>2219237.3733333331</v>
      </c>
      <c r="S14" s="401">
        <f>+'A) Base RI'!U14</f>
        <v>78.5</v>
      </c>
      <c r="T14" s="405">
        <f t="shared" si="3"/>
        <v>1925852.89</v>
      </c>
      <c r="U14" s="405">
        <f t="shared" si="4"/>
        <v>28270.539787685771</v>
      </c>
      <c r="V14" s="10">
        <f>+'A) Base RI'!P14</f>
        <v>491492.5</v>
      </c>
      <c r="W14" s="10">
        <f>+'A) Base RI'!Q14</f>
        <v>117584.1</v>
      </c>
      <c r="X14" s="10">
        <f>+'A) Base RI'!S14</f>
        <v>35558.35</v>
      </c>
      <c r="Y14" s="405">
        <f t="shared" si="5"/>
        <v>644634.94999999995</v>
      </c>
      <c r="Z14" s="10">
        <f>+'A) Base RI'!O14</f>
        <v>100718.3</v>
      </c>
      <c r="AA14" s="10">
        <f>'A) Base RI'!V14</f>
        <v>1167</v>
      </c>
    </row>
    <row r="15" spans="1:27" x14ac:dyDescent="0.25">
      <c r="A15" s="8">
        <f>'A) Base RI'!A15</f>
        <v>5409</v>
      </c>
      <c r="B15" s="32" t="str">
        <f>'A) Base RI'!B15</f>
        <v>Ollon</v>
      </c>
      <c r="C15" s="10">
        <f>'A) Base RI'!C15+'A) Base RI'!D15</f>
        <v>20363791.27</v>
      </c>
      <c r="D15" s="10">
        <f>'A) Base RI'!W15</f>
        <v>-397634.58</v>
      </c>
      <c r="E15" s="397">
        <f>'A) Base RI'!X15</f>
        <v>0</v>
      </c>
      <c r="F15" s="397">
        <f>'A) Base RI'!Y15</f>
        <v>-36101.870000000003</v>
      </c>
      <c r="G15" s="405">
        <f t="shared" si="0"/>
        <v>19930054.82</v>
      </c>
      <c r="H15" s="10">
        <f>+'A) Base RI'!E15</f>
        <v>0</v>
      </c>
      <c r="I15" s="10">
        <f>+'A) Base RI'!F15</f>
        <v>0</v>
      </c>
      <c r="J15" s="10">
        <f>+'A) Base RI'!G15+'A) Base RI'!H15+'A) Base RI'!I15</f>
        <v>765194.14284777781</v>
      </c>
      <c r="K15" s="10">
        <f>+'A) Base RI'!J15</f>
        <v>2522061.44</v>
      </c>
      <c r="L15" s="10">
        <f>+'A) Base RI'!K15</f>
        <v>512556.78</v>
      </c>
      <c r="M15" s="10">
        <f>+'A) Base RI'!L15</f>
        <v>136276.20000000001</v>
      </c>
      <c r="N15" s="10">
        <f>+'A) Base RI'!R15</f>
        <v>135135.74</v>
      </c>
      <c r="O15" s="10">
        <f t="shared" si="1"/>
        <v>3068086.6153846155</v>
      </c>
      <c r="P15" s="10">
        <f>+'A) Base RI'!M15</f>
        <v>3988512.6</v>
      </c>
      <c r="Q15" s="413">
        <f>'A) Base RI'!Z15</f>
        <v>1.3</v>
      </c>
      <c r="R15" s="405">
        <f t="shared" si="2"/>
        <v>27069365.738232393</v>
      </c>
      <c r="S15" s="401">
        <f>+'A) Base RI'!U15</f>
        <v>68</v>
      </c>
      <c r="T15" s="405">
        <f t="shared" si="3"/>
        <v>23865002.922847778</v>
      </c>
      <c r="U15" s="405">
        <f t="shared" si="4"/>
        <v>398078.90791518224</v>
      </c>
      <c r="V15" s="10">
        <f>+'A) Base RI'!P15</f>
        <v>1443070.5</v>
      </c>
      <c r="W15" s="10">
        <f>+'A) Base RI'!Q15</f>
        <v>1025804.9</v>
      </c>
      <c r="X15" s="10">
        <f>+'A) Base RI'!S15</f>
        <v>628395</v>
      </c>
      <c r="Y15" s="405">
        <f t="shared" si="5"/>
        <v>3097270.4</v>
      </c>
      <c r="Z15" s="10">
        <f>+'A) Base RI'!O15</f>
        <v>57026.45</v>
      </c>
      <c r="AA15" s="10">
        <f>'A) Base RI'!V15</f>
        <v>7560</v>
      </c>
    </row>
    <row r="16" spans="1:27" x14ac:dyDescent="0.25">
      <c r="A16" s="8">
        <f>'A) Base RI'!A16</f>
        <v>5410</v>
      </c>
      <c r="B16" s="32" t="str">
        <f>'A) Base RI'!B16</f>
        <v>Ormont-Dessous</v>
      </c>
      <c r="C16" s="10">
        <f>'A) Base RI'!C16+'A) Base RI'!D16</f>
        <v>2632966.9900000002</v>
      </c>
      <c r="D16" s="10">
        <f>'A) Base RI'!W16</f>
        <v>-31281.96</v>
      </c>
      <c r="E16" s="397">
        <f>'A) Base RI'!X16</f>
        <v>0</v>
      </c>
      <c r="F16" s="397">
        <f>'A) Base RI'!Y16</f>
        <v>-589</v>
      </c>
      <c r="G16" s="405">
        <f t="shared" si="0"/>
        <v>2601096.0300000003</v>
      </c>
      <c r="H16" s="10">
        <f>+'A) Base RI'!E16</f>
        <v>0</v>
      </c>
      <c r="I16" s="10">
        <f>+'A) Base RI'!F16</f>
        <v>0</v>
      </c>
      <c r="J16" s="10">
        <f>+'A) Base RI'!G16+'A) Base RI'!H16+'A) Base RI'!I16</f>
        <v>-15526.3</v>
      </c>
      <c r="K16" s="10">
        <f>+'A) Base RI'!J16</f>
        <v>0</v>
      </c>
      <c r="L16" s="10">
        <f>+'A) Base RI'!K16</f>
        <v>13714.41</v>
      </c>
      <c r="M16" s="10">
        <f>+'A) Base RI'!L16</f>
        <v>17073.8</v>
      </c>
      <c r="N16" s="10">
        <f>+'A) Base RI'!R16</f>
        <v>5526.52</v>
      </c>
      <c r="O16" s="10">
        <f t="shared" si="1"/>
        <v>377539.19333333336</v>
      </c>
      <c r="P16" s="10">
        <f>+'A) Base RI'!M16</f>
        <v>566308.79</v>
      </c>
      <c r="Q16" s="413">
        <f>'A) Base RI'!Z16</f>
        <v>1.5</v>
      </c>
      <c r="R16" s="405">
        <f t="shared" si="2"/>
        <v>2999423.6533333338</v>
      </c>
      <c r="S16" s="401">
        <f>+'A) Base RI'!U16</f>
        <v>78.5</v>
      </c>
      <c r="T16" s="405">
        <f t="shared" si="3"/>
        <v>2604810.6600000006</v>
      </c>
      <c r="U16" s="405">
        <f t="shared" si="4"/>
        <v>38209.218513800428</v>
      </c>
      <c r="V16" s="10">
        <f>+'A) Base RI'!P16</f>
        <v>124222.1</v>
      </c>
      <c r="W16" s="10">
        <f>+'A) Base RI'!Q16</f>
        <v>140967.4</v>
      </c>
      <c r="X16" s="10">
        <f>+'A) Base RI'!S16</f>
        <v>102284.6</v>
      </c>
      <c r="Y16" s="405">
        <f t="shared" si="5"/>
        <v>367474.1</v>
      </c>
      <c r="Z16" s="10">
        <f>+'A) Base RI'!O16</f>
        <v>3078.55</v>
      </c>
      <c r="AA16" s="10">
        <f>'A) Base RI'!V16</f>
        <v>1141</v>
      </c>
    </row>
    <row r="17" spans="1:27" x14ac:dyDescent="0.25">
      <c r="A17" s="8">
        <f>'A) Base RI'!A17</f>
        <v>5411</v>
      </c>
      <c r="B17" s="32" t="str">
        <f>'A) Base RI'!B17</f>
        <v>Ormont-Dessus</v>
      </c>
      <c r="C17" s="10">
        <f>'A) Base RI'!C17+'A) Base RI'!D17</f>
        <v>4401413.97</v>
      </c>
      <c r="D17" s="10">
        <f>'A) Base RI'!W17</f>
        <v>-35936.19</v>
      </c>
      <c r="E17" s="397">
        <f>'A) Base RI'!X17</f>
        <v>0</v>
      </c>
      <c r="F17" s="397">
        <f>'A) Base RI'!Y17</f>
        <v>-6734.3</v>
      </c>
      <c r="G17" s="405">
        <f t="shared" si="0"/>
        <v>4358743.4799999995</v>
      </c>
      <c r="H17" s="10">
        <f>+'A) Base RI'!E17</f>
        <v>0</v>
      </c>
      <c r="I17" s="10">
        <f>+'A) Base RI'!F17</f>
        <v>0</v>
      </c>
      <c r="J17" s="10">
        <f>+'A) Base RI'!G17+'A) Base RI'!H17+'A) Base RI'!I17</f>
        <v>87907.57754783961</v>
      </c>
      <c r="K17" s="10">
        <f>+'A) Base RI'!J17</f>
        <v>90560.95</v>
      </c>
      <c r="L17" s="10">
        <f>+'A) Base RI'!K17</f>
        <v>154822.20000000001</v>
      </c>
      <c r="M17" s="10">
        <f>+'A) Base RI'!L17</f>
        <v>38585.800000000003</v>
      </c>
      <c r="N17" s="10">
        <f>+'A) Base RI'!R17</f>
        <v>4312.03</v>
      </c>
      <c r="O17" s="10">
        <f t="shared" si="1"/>
        <v>818711.1</v>
      </c>
      <c r="P17" s="10">
        <f>+'A) Base RI'!M17</f>
        <v>1228066.6499999999</v>
      </c>
      <c r="Q17" s="413">
        <f>'A) Base RI'!Z17</f>
        <v>1.5</v>
      </c>
      <c r="R17" s="405">
        <f t="shared" si="2"/>
        <v>5553643.1375478394</v>
      </c>
      <c r="S17" s="401">
        <f>+'A) Base RI'!U17</f>
        <v>76</v>
      </c>
      <c r="T17" s="405">
        <f t="shared" si="3"/>
        <v>4696346.23754784</v>
      </c>
      <c r="U17" s="405">
        <f t="shared" si="4"/>
        <v>73074.251809839989</v>
      </c>
      <c r="V17" s="10">
        <f>+'A) Base RI'!P17</f>
        <v>10374.799999999999</v>
      </c>
      <c r="W17" s="10">
        <f>+'A) Base RI'!Q17</f>
        <v>394884.65</v>
      </c>
      <c r="X17" s="10">
        <f>+'A) Base RI'!S17</f>
        <v>301258.34999999998</v>
      </c>
      <c r="Y17" s="405">
        <f t="shared" si="5"/>
        <v>706517.8</v>
      </c>
      <c r="Z17" s="10">
        <f>+'A) Base RI'!O17</f>
        <v>10235.85</v>
      </c>
      <c r="AA17" s="10">
        <f>'A) Base RI'!V17</f>
        <v>1434</v>
      </c>
    </row>
    <row r="18" spans="1:27" x14ac:dyDescent="0.25">
      <c r="A18" s="8">
        <f>'A) Base RI'!A18</f>
        <v>5412</v>
      </c>
      <c r="B18" s="32" t="str">
        <f>'A) Base RI'!B18</f>
        <v>Rennaz</v>
      </c>
      <c r="C18" s="10">
        <f>'A) Base RI'!C18+'A) Base RI'!D18</f>
        <v>1334522.27</v>
      </c>
      <c r="D18" s="10">
        <f>'A) Base RI'!W18</f>
        <v>-33724.94</v>
      </c>
      <c r="E18" s="397">
        <f>'A) Base RI'!X18</f>
        <v>0</v>
      </c>
      <c r="F18" s="397">
        <f>'A) Base RI'!Y18</f>
        <v>-266.41000000000003</v>
      </c>
      <c r="G18" s="405">
        <f t="shared" si="0"/>
        <v>1300530.9200000002</v>
      </c>
      <c r="H18" s="10">
        <f>+'A) Base RI'!E18</f>
        <v>0</v>
      </c>
      <c r="I18" s="10">
        <f>+'A) Base RI'!F18</f>
        <v>0</v>
      </c>
      <c r="J18" s="10">
        <f>+'A) Base RI'!G18+'A) Base RI'!H18+'A) Base RI'!I18</f>
        <v>73411.970857326436</v>
      </c>
      <c r="K18" s="10">
        <f>+'A) Base RI'!J18</f>
        <v>28426.65</v>
      </c>
      <c r="L18" s="10">
        <f>+'A) Base RI'!K18</f>
        <v>73851.81</v>
      </c>
      <c r="M18" s="10">
        <f>+'A) Base RI'!L18</f>
        <v>-91257</v>
      </c>
      <c r="N18" s="10">
        <f>+'A) Base RI'!R18</f>
        <v>836.08</v>
      </c>
      <c r="O18" s="10">
        <f t="shared" si="1"/>
        <v>221638.1</v>
      </c>
      <c r="P18" s="10">
        <f>+'A) Base RI'!M18</f>
        <v>221638.1</v>
      </c>
      <c r="Q18" s="413">
        <f>'A) Base RI'!Z18</f>
        <v>1</v>
      </c>
      <c r="R18" s="405">
        <f t="shared" si="2"/>
        <v>1607438.5308573267</v>
      </c>
      <c r="S18" s="401">
        <f>+'A) Base RI'!U18</f>
        <v>67.5</v>
      </c>
      <c r="T18" s="405">
        <f t="shared" si="3"/>
        <v>1477057.4308573266</v>
      </c>
      <c r="U18" s="405">
        <f t="shared" si="4"/>
        <v>23813.904160849284</v>
      </c>
      <c r="V18" s="10">
        <f>+'A) Base RI'!P18</f>
        <v>26.6</v>
      </c>
      <c r="W18" s="10">
        <f>+'A) Base RI'!Q18</f>
        <v>50428.7</v>
      </c>
      <c r="X18" s="10">
        <f>+'A) Base RI'!S18</f>
        <v>14677.25</v>
      </c>
      <c r="Y18" s="405">
        <f t="shared" si="5"/>
        <v>65132.549999999996</v>
      </c>
      <c r="Z18" s="10">
        <f>+'A) Base RI'!O18</f>
        <v>87891.6</v>
      </c>
      <c r="AA18" s="10">
        <f>'A) Base RI'!V18</f>
        <v>871</v>
      </c>
    </row>
    <row r="19" spans="1:27" x14ac:dyDescent="0.25">
      <c r="A19" s="8">
        <f>'A) Base RI'!A19</f>
        <v>5413</v>
      </c>
      <c r="B19" s="32" t="str">
        <f>'A) Base RI'!B19</f>
        <v>Roche</v>
      </c>
      <c r="C19" s="10">
        <f>'A) Base RI'!C19+'A) Base RI'!D19</f>
        <v>2520687.1399999997</v>
      </c>
      <c r="D19" s="10">
        <f>'A) Base RI'!W19</f>
        <v>-68390.070000000007</v>
      </c>
      <c r="E19" s="397">
        <f>'A) Base RI'!X19</f>
        <v>0</v>
      </c>
      <c r="F19" s="397">
        <f>'A) Base RI'!Y19</f>
        <v>-371.17</v>
      </c>
      <c r="G19" s="405">
        <f t="shared" si="0"/>
        <v>2451925.9</v>
      </c>
      <c r="H19" s="10">
        <f>+'A) Base RI'!E19</f>
        <v>0</v>
      </c>
      <c r="I19" s="10">
        <f>+'A) Base RI'!F19</f>
        <v>0</v>
      </c>
      <c r="J19" s="10">
        <f>+'A) Base RI'!G19+'A) Base RI'!H19+'A) Base RI'!I19</f>
        <v>207853.42811750018</v>
      </c>
      <c r="K19" s="10">
        <f>+'A) Base RI'!J19</f>
        <v>0</v>
      </c>
      <c r="L19" s="10">
        <f>+'A) Base RI'!K19</f>
        <v>68862.320000000007</v>
      </c>
      <c r="M19" s="10">
        <f>+'A) Base RI'!L19</f>
        <v>23441.45</v>
      </c>
      <c r="N19" s="10">
        <f>+'A) Base RI'!R19</f>
        <v>33572.480000000003</v>
      </c>
      <c r="O19" s="10">
        <f t="shared" si="1"/>
        <v>249824.54166666669</v>
      </c>
      <c r="P19" s="10">
        <f>+'A) Base RI'!M19</f>
        <v>299789.45</v>
      </c>
      <c r="Q19" s="413">
        <f>'A) Base RI'!Z19</f>
        <v>1.2</v>
      </c>
      <c r="R19" s="405">
        <f t="shared" si="2"/>
        <v>3035480.1197841666</v>
      </c>
      <c r="S19" s="401">
        <f>+'A) Base RI'!U19</f>
        <v>68</v>
      </c>
      <c r="T19" s="405">
        <f t="shared" si="3"/>
        <v>2762214.1281174999</v>
      </c>
      <c r="U19" s="405">
        <f t="shared" si="4"/>
        <v>44639.413526237746</v>
      </c>
      <c r="V19" s="10">
        <f>+'A) Base RI'!P19</f>
        <v>231</v>
      </c>
      <c r="W19" s="10">
        <f>+'A) Base RI'!Q19</f>
        <v>327453.7</v>
      </c>
      <c r="X19" s="10">
        <f>+'A) Base RI'!S19</f>
        <v>66952.850000000006</v>
      </c>
      <c r="Y19" s="405">
        <f t="shared" si="5"/>
        <v>394637.55000000005</v>
      </c>
      <c r="Z19" s="10">
        <f>+'A) Base RI'!O19</f>
        <v>244007.9</v>
      </c>
      <c r="AA19" s="10">
        <f>'A) Base RI'!V19</f>
        <v>1826</v>
      </c>
    </row>
    <row r="20" spans="1:27" x14ac:dyDescent="0.25">
      <c r="A20" s="8">
        <f>'A) Base RI'!A20</f>
        <v>5414</v>
      </c>
      <c r="B20" s="32" t="str">
        <f>'A) Base RI'!B20</f>
        <v>Villeneuve</v>
      </c>
      <c r="C20" s="10">
        <f>'A) Base RI'!C20+'A) Base RI'!D20</f>
        <v>8947355.870000001</v>
      </c>
      <c r="D20" s="10">
        <f>'A) Base RI'!W20</f>
        <v>-328345.98</v>
      </c>
      <c r="E20" s="397">
        <f>'A) Base RI'!X20</f>
        <v>0</v>
      </c>
      <c r="F20" s="397">
        <f>'A) Base RI'!Y20</f>
        <v>-14003.67</v>
      </c>
      <c r="G20" s="405">
        <f t="shared" si="0"/>
        <v>8605006.2200000007</v>
      </c>
      <c r="H20" s="10">
        <f>+'A) Base RI'!E20</f>
        <v>0</v>
      </c>
      <c r="I20" s="10">
        <f>+'A) Base RI'!F20</f>
        <v>0</v>
      </c>
      <c r="J20" s="10">
        <f>+'A) Base RI'!G20+'A) Base RI'!H20+'A) Base RI'!I20</f>
        <v>883452.20367472863</v>
      </c>
      <c r="K20" s="10">
        <f>+'A) Base RI'!J20</f>
        <v>164001.5</v>
      </c>
      <c r="L20" s="10">
        <f>+'A) Base RI'!K20</f>
        <v>437088.12</v>
      </c>
      <c r="M20" s="10">
        <f>+'A) Base RI'!L20</f>
        <v>138327.25</v>
      </c>
      <c r="N20" s="10">
        <f>+'A) Base RI'!R20</f>
        <v>34945.19</v>
      </c>
      <c r="O20" s="10">
        <f t="shared" si="1"/>
        <v>1193497.25</v>
      </c>
      <c r="P20" s="10">
        <f>+'A) Base RI'!M20</f>
        <v>1193497.25</v>
      </c>
      <c r="Q20" s="413">
        <f>'A) Base RI'!Z20</f>
        <v>1</v>
      </c>
      <c r="R20" s="405">
        <f t="shared" si="2"/>
        <v>11456317.733674727</v>
      </c>
      <c r="S20" s="401">
        <f>+'A) Base RI'!U20</f>
        <v>69</v>
      </c>
      <c r="T20" s="405">
        <f t="shared" si="3"/>
        <v>10124493.233674727</v>
      </c>
      <c r="U20" s="405">
        <f t="shared" si="4"/>
        <v>166033.59034311198</v>
      </c>
      <c r="V20" s="10">
        <f>+'A) Base RI'!P20</f>
        <v>271325.8</v>
      </c>
      <c r="W20" s="10">
        <f>+'A) Base RI'!Q20</f>
        <v>664996.65</v>
      </c>
      <c r="X20" s="10">
        <f>+'A) Base RI'!S20</f>
        <v>866142.95</v>
      </c>
      <c r="Y20" s="405">
        <f t="shared" si="5"/>
        <v>1802465.4</v>
      </c>
      <c r="Z20" s="10">
        <f>+'A) Base RI'!O20</f>
        <v>1426833.65</v>
      </c>
      <c r="AA20" s="10">
        <f>'A) Base RI'!V20</f>
        <v>5772</v>
      </c>
    </row>
    <row r="21" spans="1:27" x14ac:dyDescent="0.25">
      <c r="A21" s="8">
        <f>'A) Base RI'!A21</f>
        <v>5415</v>
      </c>
      <c r="B21" s="32" t="str">
        <f>'A) Base RI'!B21</f>
        <v>Yvorne</v>
      </c>
      <c r="C21" s="10">
        <f>'A) Base RI'!C21+'A) Base RI'!D21</f>
        <v>2368778.21</v>
      </c>
      <c r="D21" s="10">
        <f>'A) Base RI'!W21</f>
        <v>-32960.74</v>
      </c>
      <c r="E21" s="397">
        <f>'A) Base RI'!X21</f>
        <v>0</v>
      </c>
      <c r="F21" s="397">
        <f>'A) Base RI'!Y21</f>
        <v>-2373.23</v>
      </c>
      <c r="G21" s="405">
        <f t="shared" si="0"/>
        <v>2333444.2399999998</v>
      </c>
      <c r="H21" s="10">
        <f>+'A) Base RI'!E21</f>
        <v>0</v>
      </c>
      <c r="I21" s="10">
        <f>+'A) Base RI'!F21</f>
        <v>0</v>
      </c>
      <c r="J21" s="10">
        <f>+'A) Base RI'!G21+'A) Base RI'!H21+'A) Base RI'!I21</f>
        <v>170246.22750799576</v>
      </c>
      <c r="K21" s="10">
        <f>+'A) Base RI'!J21</f>
        <v>1121.4000000000001</v>
      </c>
      <c r="L21" s="10">
        <f>+'A) Base RI'!K21</f>
        <v>51598.99</v>
      </c>
      <c r="M21" s="10">
        <f>+'A) Base RI'!L21</f>
        <v>10326.35</v>
      </c>
      <c r="N21" s="10">
        <f>+'A) Base RI'!R21</f>
        <v>12441.37</v>
      </c>
      <c r="O21" s="10">
        <f t="shared" si="1"/>
        <v>218128.13333333333</v>
      </c>
      <c r="P21" s="10">
        <f>+'A) Base RI'!M21</f>
        <v>327192.2</v>
      </c>
      <c r="Q21" s="413">
        <f>'A) Base RI'!Z21</f>
        <v>1.5</v>
      </c>
      <c r="R21" s="405">
        <f t="shared" si="2"/>
        <v>2797306.7108413293</v>
      </c>
      <c r="S21" s="401">
        <f>+'A) Base RI'!U21</f>
        <v>71.5</v>
      </c>
      <c r="T21" s="405">
        <f t="shared" si="3"/>
        <v>2568852.2275079959</v>
      </c>
      <c r="U21" s="405">
        <f t="shared" si="4"/>
        <v>39123.170780997614</v>
      </c>
      <c r="V21" s="10">
        <f>+'A) Base RI'!P21</f>
        <v>397.5</v>
      </c>
      <c r="W21" s="10">
        <f>+'A) Base RI'!Q21</f>
        <v>106142.2</v>
      </c>
      <c r="X21" s="10">
        <f>+'A) Base RI'!S21</f>
        <v>258291.5</v>
      </c>
      <c r="Y21" s="405">
        <f t="shared" si="5"/>
        <v>364831.2</v>
      </c>
      <c r="Z21" s="10">
        <f>+'A) Base RI'!O21</f>
        <v>18151.900000000001</v>
      </c>
      <c r="AA21" s="10">
        <f>'A) Base RI'!V21</f>
        <v>1071</v>
      </c>
    </row>
    <row r="22" spans="1:27" x14ac:dyDescent="0.25">
      <c r="A22" s="8">
        <f>'A) Base RI'!A22</f>
        <v>5421</v>
      </c>
      <c r="B22" s="32" t="str">
        <f>'A) Base RI'!B22</f>
        <v>Apples</v>
      </c>
      <c r="C22" s="10">
        <f>'A) Base RI'!C22+'A) Base RI'!D22</f>
        <v>4456434.49</v>
      </c>
      <c r="D22" s="10">
        <f>'A) Base RI'!W22</f>
        <v>-80921.87</v>
      </c>
      <c r="E22" s="397">
        <f>'A) Base RI'!X22</f>
        <v>0</v>
      </c>
      <c r="F22" s="397">
        <f>'A) Base RI'!Y22</f>
        <v>-3935.15</v>
      </c>
      <c r="G22" s="405">
        <f t="shared" si="0"/>
        <v>4371577.47</v>
      </c>
      <c r="H22" s="10">
        <f>+'A) Base RI'!E22</f>
        <v>0</v>
      </c>
      <c r="I22" s="10">
        <f>+'A) Base RI'!F22</f>
        <v>0</v>
      </c>
      <c r="J22" s="10">
        <f>+'A) Base RI'!G22+'A) Base RI'!H22+'A) Base RI'!I22</f>
        <v>258986.24714881848</v>
      </c>
      <c r="K22" s="10">
        <f>+'A) Base RI'!J22</f>
        <v>207722.4</v>
      </c>
      <c r="L22" s="10">
        <f>+'A) Base RI'!K22</f>
        <v>210910.43</v>
      </c>
      <c r="M22" s="10">
        <f>+'A) Base RI'!L22</f>
        <v>13150.65</v>
      </c>
      <c r="N22" s="10">
        <f>+'A) Base RI'!R22</f>
        <v>1193.06</v>
      </c>
      <c r="O22" s="10">
        <f t="shared" si="1"/>
        <v>293890.75</v>
      </c>
      <c r="P22" s="10">
        <f>+'A) Base RI'!M22</f>
        <v>293890.75</v>
      </c>
      <c r="Q22" s="413">
        <f>'A) Base RI'!Z22</f>
        <v>1</v>
      </c>
      <c r="R22" s="405">
        <f t="shared" si="2"/>
        <v>5357431.0071488181</v>
      </c>
      <c r="S22" s="401">
        <f>+'A) Base RI'!U22</f>
        <v>76</v>
      </c>
      <c r="T22" s="405">
        <f t="shared" si="3"/>
        <v>5050389.6071488177</v>
      </c>
      <c r="U22" s="405">
        <f t="shared" si="4"/>
        <v>70492.513251958138</v>
      </c>
      <c r="V22" s="10">
        <f>+'A) Base RI'!P22</f>
        <v>69311.8</v>
      </c>
      <c r="W22" s="10">
        <f>+'A) Base RI'!Q22</f>
        <v>149504.20000000001</v>
      </c>
      <c r="X22" s="10">
        <f>+'A) Base RI'!S22</f>
        <v>158133.5</v>
      </c>
      <c r="Y22" s="405">
        <f t="shared" si="5"/>
        <v>376949.5</v>
      </c>
      <c r="Z22" s="10">
        <f>+'A) Base RI'!O22</f>
        <v>26298.5</v>
      </c>
      <c r="AA22" s="10">
        <f>'A) Base RI'!V22</f>
        <v>1460</v>
      </c>
    </row>
    <row r="23" spans="1:27" x14ac:dyDescent="0.25">
      <c r="A23" s="8">
        <f>'A) Base RI'!A23</f>
        <v>5422</v>
      </c>
      <c r="B23" s="32" t="str">
        <f>'A) Base RI'!B23</f>
        <v>Aubonne</v>
      </c>
      <c r="C23" s="10">
        <f>'A) Base RI'!C23+'A) Base RI'!D23</f>
        <v>12039381.409999991</v>
      </c>
      <c r="D23" s="10">
        <f>'A) Base RI'!W23</f>
        <v>-175532.24</v>
      </c>
      <c r="E23" s="397">
        <f>'A) Base RI'!X23</f>
        <v>0</v>
      </c>
      <c r="F23" s="397">
        <f>'A) Base RI'!Y23</f>
        <v>-9432.64</v>
      </c>
      <c r="G23" s="405">
        <f t="shared" si="0"/>
        <v>11854416.52999999</v>
      </c>
      <c r="H23" s="10">
        <f>+'A) Base RI'!E23</f>
        <v>0</v>
      </c>
      <c r="I23" s="10">
        <f>+'A) Base RI'!F23</f>
        <v>0</v>
      </c>
      <c r="J23" s="10">
        <f>+'A) Base RI'!G23+'A) Base RI'!H23+'A) Base RI'!I23</f>
        <v>3394961.9305819003</v>
      </c>
      <c r="K23" s="10">
        <f>+'A) Base RI'!J23</f>
        <v>341926.40000000002</v>
      </c>
      <c r="L23" s="10">
        <f>+'A) Base RI'!K23</f>
        <v>444342.39</v>
      </c>
      <c r="M23" s="10">
        <f>+'A) Base RI'!L23</f>
        <v>143821.79999999999</v>
      </c>
      <c r="N23" s="10">
        <f>+'A) Base RI'!R23</f>
        <v>46593.159999999996</v>
      </c>
      <c r="O23" s="10">
        <f t="shared" si="1"/>
        <v>1082146.8</v>
      </c>
      <c r="P23" s="10">
        <f>+'A) Base RI'!M23</f>
        <v>1082146.8</v>
      </c>
      <c r="Q23" s="413">
        <f>'A) Base RI'!Z23</f>
        <v>1</v>
      </c>
      <c r="R23" s="405">
        <f t="shared" si="2"/>
        <v>17308209.010581892</v>
      </c>
      <c r="S23" s="401">
        <f>+'A) Base RI'!U23</f>
        <v>70.52</v>
      </c>
      <c r="T23" s="405">
        <f t="shared" si="3"/>
        <v>16082240.410581892</v>
      </c>
      <c r="U23" s="405">
        <f t="shared" si="4"/>
        <v>245436.88330377048</v>
      </c>
      <c r="V23" s="10">
        <f>+'A) Base RI'!P23</f>
        <v>338748</v>
      </c>
      <c r="W23" s="10">
        <f>+'A) Base RI'!Q23</f>
        <v>320488.8</v>
      </c>
      <c r="X23" s="10">
        <f>+'A) Base RI'!S23</f>
        <v>252598.15</v>
      </c>
      <c r="Y23" s="405">
        <f t="shared" si="5"/>
        <v>911834.95000000007</v>
      </c>
      <c r="Z23" s="10">
        <f>+'A) Base RI'!O23</f>
        <v>905909.6</v>
      </c>
      <c r="AA23" s="10">
        <f>'A) Base RI'!V23</f>
        <v>3817</v>
      </c>
    </row>
    <row r="24" spans="1:27" x14ac:dyDescent="0.25">
      <c r="A24" s="8">
        <f>'A) Base RI'!A24</f>
        <v>5423</v>
      </c>
      <c r="B24" s="32" t="str">
        <f>'A) Base RI'!B24</f>
        <v>Ballens</v>
      </c>
      <c r="C24" s="10">
        <f>'A) Base RI'!C24+'A) Base RI'!D24</f>
        <v>1136430.51</v>
      </c>
      <c r="D24" s="10">
        <f>'A) Base RI'!W24</f>
        <v>-134669.19</v>
      </c>
      <c r="E24" s="397">
        <f>'A) Base RI'!X24</f>
        <v>0</v>
      </c>
      <c r="F24" s="397">
        <f>'A) Base RI'!Y24</f>
        <v>-393.83</v>
      </c>
      <c r="G24" s="405">
        <f t="shared" si="0"/>
        <v>1001367.4900000001</v>
      </c>
      <c r="H24" s="10">
        <f>+'A) Base RI'!E24</f>
        <v>0</v>
      </c>
      <c r="I24" s="10">
        <f>+'A) Base RI'!F24</f>
        <v>2740</v>
      </c>
      <c r="J24" s="10">
        <f>+'A) Base RI'!G24+'A) Base RI'!H24+'A) Base RI'!I24</f>
        <v>55431.05239600897</v>
      </c>
      <c r="K24" s="10">
        <f>+'A) Base RI'!J24</f>
        <v>0</v>
      </c>
      <c r="L24" s="10">
        <f>+'A) Base RI'!K24</f>
        <v>51188.04</v>
      </c>
      <c r="M24" s="10">
        <f>+'A) Base RI'!L24</f>
        <v>1932.85</v>
      </c>
      <c r="N24" s="10">
        <f>+'A) Base RI'!R24</f>
        <v>243.38</v>
      </c>
      <c r="O24" s="10">
        <f t="shared" si="1"/>
        <v>78440.5</v>
      </c>
      <c r="P24" s="10">
        <f>+'A) Base RI'!M24</f>
        <v>39220.25</v>
      </c>
      <c r="Q24" s="413">
        <f>'A) Base RI'!Z24</f>
        <v>0.5</v>
      </c>
      <c r="R24" s="405">
        <f t="shared" si="2"/>
        <v>1191343.312396009</v>
      </c>
      <c r="S24" s="401">
        <f>+'A) Base RI'!U24</f>
        <v>73</v>
      </c>
      <c r="T24" s="405">
        <f t="shared" si="3"/>
        <v>1108229.9623960089</v>
      </c>
      <c r="U24" s="405">
        <f t="shared" si="4"/>
        <v>16319.771402685055</v>
      </c>
      <c r="V24" s="10">
        <f>+'A) Base RI'!P24</f>
        <v>0</v>
      </c>
      <c r="W24" s="10">
        <f>+'A) Base RI'!Q24</f>
        <v>53755.5</v>
      </c>
      <c r="X24" s="10">
        <f>+'A) Base RI'!S24</f>
        <v>26298.799999999999</v>
      </c>
      <c r="Y24" s="405">
        <f t="shared" si="5"/>
        <v>80054.3</v>
      </c>
      <c r="Z24" s="10">
        <f>+'A) Base RI'!O24</f>
        <v>33405.599999999999</v>
      </c>
      <c r="AA24" s="10">
        <f>'A) Base RI'!V24</f>
        <v>545</v>
      </c>
    </row>
    <row r="25" spans="1:27" x14ac:dyDescent="0.25">
      <c r="A25" s="8">
        <f>'A) Base RI'!A25</f>
        <v>5424</v>
      </c>
      <c r="B25" s="32" t="str">
        <f>'A) Base RI'!B25</f>
        <v>Berolle</v>
      </c>
      <c r="C25" s="10">
        <f>'A) Base RI'!C25+'A) Base RI'!D25</f>
        <v>630823.36999999988</v>
      </c>
      <c r="D25" s="10">
        <f>'A) Base RI'!W25</f>
        <v>-13155.55</v>
      </c>
      <c r="E25" s="397">
        <f>'A) Base RI'!X25</f>
        <v>0</v>
      </c>
      <c r="F25" s="397">
        <f>'A) Base RI'!Y25</f>
        <v>0</v>
      </c>
      <c r="G25" s="405">
        <f t="shared" si="0"/>
        <v>617667.81999999983</v>
      </c>
      <c r="H25" s="10">
        <f>+'A) Base RI'!E25</f>
        <v>0</v>
      </c>
      <c r="I25" s="10">
        <f>+'A) Base RI'!F25</f>
        <v>0</v>
      </c>
      <c r="J25" s="10">
        <f>+'A) Base RI'!G25+'A) Base RI'!H25+'A) Base RI'!I25</f>
        <v>-952.15</v>
      </c>
      <c r="K25" s="10">
        <f>+'A) Base RI'!J25</f>
        <v>30045.05</v>
      </c>
      <c r="L25" s="10">
        <f>+'A) Base RI'!K25</f>
        <v>14473.74</v>
      </c>
      <c r="M25" s="10">
        <f>+'A) Base RI'!L25</f>
        <v>766</v>
      </c>
      <c r="N25" s="10">
        <f>+'A) Base RI'!R25</f>
        <v>2304.5700000000002</v>
      </c>
      <c r="O25" s="10">
        <f t="shared" si="1"/>
        <v>50145</v>
      </c>
      <c r="P25" s="10">
        <f>+'A) Base RI'!M25</f>
        <v>50145</v>
      </c>
      <c r="Q25" s="413">
        <f>'A) Base RI'!Z25</f>
        <v>1</v>
      </c>
      <c r="R25" s="405">
        <f t="shared" si="2"/>
        <v>714450.0299999998</v>
      </c>
      <c r="S25" s="401">
        <f>+'A) Base RI'!U25</f>
        <v>77</v>
      </c>
      <c r="T25" s="405">
        <f t="shared" si="3"/>
        <v>663539.0299999998</v>
      </c>
      <c r="U25" s="405">
        <f t="shared" si="4"/>
        <v>9278.5718181818156</v>
      </c>
      <c r="V25" s="10">
        <f>+'A) Base RI'!P25</f>
        <v>0</v>
      </c>
      <c r="W25" s="10">
        <f>+'A) Base RI'!Q25</f>
        <v>5830</v>
      </c>
      <c r="X25" s="10">
        <f>+'A) Base RI'!S25</f>
        <v>4673.8999999999996</v>
      </c>
      <c r="Y25" s="405">
        <f t="shared" si="5"/>
        <v>10503.9</v>
      </c>
      <c r="Z25" s="10">
        <f>+'A) Base RI'!O25</f>
        <v>0</v>
      </c>
      <c r="AA25" s="10">
        <f>'A) Base RI'!V25</f>
        <v>300</v>
      </c>
    </row>
    <row r="26" spans="1:27" x14ac:dyDescent="0.25">
      <c r="A26" s="8">
        <f>'A) Base RI'!A26</f>
        <v>5425</v>
      </c>
      <c r="B26" s="32" t="str">
        <f>'A) Base RI'!B26</f>
        <v>Bière</v>
      </c>
      <c r="C26" s="10">
        <f>'A) Base RI'!C26+'A) Base RI'!D26</f>
        <v>2309223.59</v>
      </c>
      <c r="D26" s="10">
        <f>'A) Base RI'!W26</f>
        <v>-50620.28</v>
      </c>
      <c r="E26" s="397">
        <f>'A) Base RI'!X26</f>
        <v>0</v>
      </c>
      <c r="F26" s="397">
        <f>'A) Base RI'!Y26</f>
        <v>-67.75</v>
      </c>
      <c r="G26" s="405">
        <f t="shared" si="0"/>
        <v>2258535.56</v>
      </c>
      <c r="H26" s="10">
        <f>+'A) Base RI'!E26</f>
        <v>0</v>
      </c>
      <c r="I26" s="10">
        <f>+'A) Base RI'!F26</f>
        <v>0</v>
      </c>
      <c r="J26" s="10">
        <f>+'A) Base RI'!G26+'A) Base RI'!H26+'A) Base RI'!I26</f>
        <v>108017.75368664102</v>
      </c>
      <c r="K26" s="10">
        <f>+'A) Base RI'!J26</f>
        <v>0</v>
      </c>
      <c r="L26" s="10">
        <f>+'A) Base RI'!K26</f>
        <v>149097.46</v>
      </c>
      <c r="M26" s="10">
        <f>+'A) Base RI'!L26</f>
        <v>14618.2</v>
      </c>
      <c r="N26" s="10">
        <f>+'A) Base RI'!R26</f>
        <v>23735.45</v>
      </c>
      <c r="O26" s="10">
        <f t="shared" si="1"/>
        <v>201198.01724137933</v>
      </c>
      <c r="P26" s="10">
        <f>+'A) Base RI'!M26</f>
        <v>116694.85</v>
      </c>
      <c r="Q26" s="413">
        <f>'A) Base RI'!Z26</f>
        <v>0.57999999999999996</v>
      </c>
      <c r="R26" s="405">
        <f t="shared" si="2"/>
        <v>2755202.4409280205</v>
      </c>
      <c r="S26" s="401">
        <f>+'A) Base RI'!U26</f>
        <v>70</v>
      </c>
      <c r="T26" s="405">
        <f t="shared" si="3"/>
        <v>2539386.2236866411</v>
      </c>
      <c r="U26" s="405">
        <f t="shared" si="4"/>
        <v>39360.03487040029</v>
      </c>
      <c r="V26" s="10">
        <f>+'A) Base RI'!P26</f>
        <v>29340.1</v>
      </c>
      <c r="W26" s="10">
        <f>+'A) Base RI'!Q26</f>
        <v>215386.05</v>
      </c>
      <c r="X26" s="10">
        <f>+'A) Base RI'!S26</f>
        <v>59819.3</v>
      </c>
      <c r="Y26" s="405">
        <f t="shared" si="5"/>
        <v>304545.45</v>
      </c>
      <c r="Z26" s="10">
        <f>+'A) Base RI'!O26</f>
        <v>59876.55</v>
      </c>
      <c r="AA26" s="10">
        <f>'A) Base RI'!V26</f>
        <v>1596</v>
      </c>
    </row>
    <row r="27" spans="1:27" x14ac:dyDescent="0.25">
      <c r="A27" s="8">
        <f>'A) Base RI'!A27</f>
        <v>5426</v>
      </c>
      <c r="B27" s="32" t="str">
        <f>'A) Base RI'!B27</f>
        <v>Bougy-Villars</v>
      </c>
      <c r="C27" s="10">
        <f>'A) Base RI'!C27+'A) Base RI'!D27</f>
        <v>2484391.2799999998</v>
      </c>
      <c r="D27" s="10">
        <f>'A) Base RI'!W27</f>
        <v>-2403.56</v>
      </c>
      <c r="E27" s="397">
        <f>'A) Base RI'!X27</f>
        <v>0</v>
      </c>
      <c r="F27" s="397">
        <f>'A) Base RI'!Y27</f>
        <v>-4687.6000000000004</v>
      </c>
      <c r="G27" s="405">
        <f t="shared" si="0"/>
        <v>2477300.1199999996</v>
      </c>
      <c r="H27" s="10">
        <f>+'A) Base RI'!E27</f>
        <v>0</v>
      </c>
      <c r="I27" s="10">
        <f>+'A) Base RI'!F27</f>
        <v>0</v>
      </c>
      <c r="J27" s="10">
        <f>+'A) Base RI'!G27+'A) Base RI'!H27+'A) Base RI'!I27</f>
        <v>3848.415621054337</v>
      </c>
      <c r="K27" s="10">
        <f>+'A) Base RI'!J27</f>
        <v>691095.95</v>
      </c>
      <c r="L27" s="10">
        <f>+'A) Base RI'!K27</f>
        <v>3803.67</v>
      </c>
      <c r="M27" s="10">
        <f>+'A) Base RI'!L27</f>
        <v>6336.3</v>
      </c>
      <c r="N27" s="10">
        <f>+'A) Base RI'!R27</f>
        <v>7285.12</v>
      </c>
      <c r="O27" s="10">
        <f t="shared" si="1"/>
        <v>240622.58333333331</v>
      </c>
      <c r="P27" s="10">
        <f>+'A) Base RI'!M27</f>
        <v>288747.09999999998</v>
      </c>
      <c r="Q27" s="413">
        <f>'A) Base RI'!Z27</f>
        <v>1.2</v>
      </c>
      <c r="R27" s="405">
        <f t="shared" si="2"/>
        <v>3430292.1589543871</v>
      </c>
      <c r="S27" s="401">
        <f>+'A) Base RI'!U27</f>
        <v>66</v>
      </c>
      <c r="T27" s="405">
        <f t="shared" si="3"/>
        <v>3183333.2756210538</v>
      </c>
      <c r="U27" s="405">
        <f t="shared" si="4"/>
        <v>51974.123620521015</v>
      </c>
      <c r="V27" s="10">
        <f>+'A) Base RI'!P27</f>
        <v>54938.9</v>
      </c>
      <c r="W27" s="10">
        <f>+'A) Base RI'!Q27</f>
        <v>126338.5</v>
      </c>
      <c r="X27" s="10">
        <f>+'A) Base RI'!S27</f>
        <v>134028.35</v>
      </c>
      <c r="Y27" s="405">
        <f t="shared" si="5"/>
        <v>315305.75</v>
      </c>
      <c r="Z27" s="10">
        <f>+'A) Base RI'!O27</f>
        <v>720.4</v>
      </c>
      <c r="AA27" s="10">
        <f>'A) Base RI'!V27</f>
        <v>475</v>
      </c>
    </row>
    <row r="28" spans="1:27" x14ac:dyDescent="0.25">
      <c r="A28" s="8">
        <f>'A) Base RI'!A28</f>
        <v>5427</v>
      </c>
      <c r="B28" s="32" t="str">
        <f>'A) Base RI'!B28</f>
        <v>Féchy</v>
      </c>
      <c r="C28" s="10">
        <f>'A) Base RI'!C28+'A) Base RI'!D28</f>
        <v>4776492.21</v>
      </c>
      <c r="D28" s="10">
        <f>'A) Base RI'!W28</f>
        <v>-6647.5</v>
      </c>
      <c r="E28" s="397">
        <f>'A) Base RI'!X28</f>
        <v>0</v>
      </c>
      <c r="F28" s="397">
        <f>'A) Base RI'!Y28</f>
        <v>0</v>
      </c>
      <c r="G28" s="405">
        <f t="shared" si="0"/>
        <v>4769844.71</v>
      </c>
      <c r="H28" s="10">
        <f>+'A) Base RI'!E28</f>
        <v>0</v>
      </c>
      <c r="I28" s="10">
        <f>+'A) Base RI'!F28</f>
        <v>0</v>
      </c>
      <c r="J28" s="10">
        <f>+'A) Base RI'!G28+'A) Base RI'!H28+'A) Base RI'!I28</f>
        <v>56009.840835989562</v>
      </c>
      <c r="K28" s="10">
        <f>+'A) Base RI'!J28</f>
        <v>418429.95</v>
      </c>
      <c r="L28" s="10">
        <f>+'A) Base RI'!K28</f>
        <v>-49640.51</v>
      </c>
      <c r="M28" s="10">
        <f>+'A) Base RI'!L28</f>
        <v>3924.95</v>
      </c>
      <c r="N28" s="10">
        <f>+'A) Base RI'!R28</f>
        <v>610.20000000000005</v>
      </c>
      <c r="O28" s="10">
        <f t="shared" si="1"/>
        <v>349242.76923076919</v>
      </c>
      <c r="P28" s="10">
        <f>+'A) Base RI'!M28</f>
        <v>454015.6</v>
      </c>
      <c r="Q28" s="413">
        <f>'A) Base RI'!Z28</f>
        <v>1.3</v>
      </c>
      <c r="R28" s="405">
        <f t="shared" si="2"/>
        <v>5548421.9100667592</v>
      </c>
      <c r="S28" s="401">
        <f>+'A) Base RI'!U28</f>
        <v>64</v>
      </c>
      <c r="T28" s="405">
        <f t="shared" si="3"/>
        <v>5195254.19083599</v>
      </c>
      <c r="U28" s="405">
        <f t="shared" si="4"/>
        <v>86694.092344793113</v>
      </c>
      <c r="V28" s="10">
        <f>+'A) Base RI'!P28</f>
        <v>25012</v>
      </c>
      <c r="W28" s="10">
        <f>+'A) Base RI'!Q28</f>
        <v>290164.34999999998</v>
      </c>
      <c r="X28" s="10">
        <f>+'A) Base RI'!S28</f>
        <v>145347</v>
      </c>
      <c r="Y28" s="405">
        <f t="shared" si="5"/>
        <v>460523.35</v>
      </c>
      <c r="Z28" s="10">
        <f>+'A) Base RI'!O28</f>
        <v>12002.5</v>
      </c>
      <c r="AA28" s="10">
        <f>'A) Base RI'!V28</f>
        <v>861</v>
      </c>
    </row>
    <row r="29" spans="1:27" x14ac:dyDescent="0.25">
      <c r="A29" s="8">
        <f>'A) Base RI'!A29</f>
        <v>5428</v>
      </c>
      <c r="B29" s="32" t="str">
        <f>'A) Base RI'!B29</f>
        <v>Gimel</v>
      </c>
      <c r="C29" s="10">
        <f>'A) Base RI'!C29+'A) Base RI'!D29</f>
        <v>4202385.3899999997</v>
      </c>
      <c r="D29" s="10">
        <f>'A) Base RI'!W29</f>
        <v>-80876.649999999994</v>
      </c>
      <c r="E29" s="397">
        <f>'A) Base RI'!X29</f>
        <v>0</v>
      </c>
      <c r="F29" s="397">
        <f>'A) Base RI'!Y29</f>
        <v>-547.26</v>
      </c>
      <c r="G29" s="405">
        <f t="shared" si="0"/>
        <v>4120961.48</v>
      </c>
      <c r="H29" s="10">
        <f>+'A) Base RI'!E29</f>
        <v>0</v>
      </c>
      <c r="I29" s="10">
        <f>+'A) Base RI'!F29</f>
        <v>0</v>
      </c>
      <c r="J29" s="10">
        <f>+'A) Base RI'!G29+'A) Base RI'!H29+'A) Base RI'!I29</f>
        <v>291216.735027352</v>
      </c>
      <c r="K29" s="10">
        <f>+'A) Base RI'!J29</f>
        <v>-21355</v>
      </c>
      <c r="L29" s="10">
        <f>+'A) Base RI'!K29</f>
        <v>158174.44</v>
      </c>
      <c r="M29" s="10">
        <f>+'A) Base RI'!L29</f>
        <v>11690.15</v>
      </c>
      <c r="N29" s="10">
        <f>+'A) Base RI'!R29</f>
        <v>8131.04</v>
      </c>
      <c r="O29" s="10">
        <f t="shared" si="1"/>
        <v>366688.87500000006</v>
      </c>
      <c r="P29" s="10">
        <f>+'A) Base RI'!M29</f>
        <v>440026.65</v>
      </c>
      <c r="Q29" s="413">
        <f>'A) Base RI'!Z29</f>
        <v>1.2</v>
      </c>
      <c r="R29" s="405">
        <f t="shared" si="2"/>
        <v>4935507.7200273527</v>
      </c>
      <c r="S29" s="401">
        <f>+'A) Base RI'!U29</f>
        <v>74.5</v>
      </c>
      <c r="T29" s="405">
        <f t="shared" si="3"/>
        <v>4557128.6950273523</v>
      </c>
      <c r="U29" s="405">
        <f t="shared" si="4"/>
        <v>66248.425772179224</v>
      </c>
      <c r="V29" s="10">
        <f>+'A) Base RI'!P29</f>
        <v>19249</v>
      </c>
      <c r="W29" s="10">
        <f>+'A) Base RI'!Q29</f>
        <v>223194</v>
      </c>
      <c r="X29" s="10">
        <f>+'A) Base RI'!S29</f>
        <v>120076.25</v>
      </c>
      <c r="Y29" s="405">
        <f t="shared" si="5"/>
        <v>362519.25</v>
      </c>
      <c r="Z29" s="10">
        <f>+'A) Base RI'!O29</f>
        <v>226233.85</v>
      </c>
      <c r="AA29" s="10">
        <f>'A) Base RI'!V29</f>
        <v>2238</v>
      </c>
    </row>
    <row r="30" spans="1:27" x14ac:dyDescent="0.25">
      <c r="A30" s="8">
        <f>'A) Base RI'!A30</f>
        <v>5429</v>
      </c>
      <c r="B30" s="32" t="str">
        <f>'A) Base RI'!B30</f>
        <v>Longirod</v>
      </c>
      <c r="C30" s="10">
        <f>'A) Base RI'!C30+'A) Base RI'!D30</f>
        <v>1135470</v>
      </c>
      <c r="D30" s="10">
        <f>'A) Base RI'!W30</f>
        <v>-7575.32</v>
      </c>
      <c r="E30" s="397">
        <f>'A) Base RI'!X30</f>
        <v>0</v>
      </c>
      <c r="F30" s="397">
        <f>'A) Base RI'!Y30</f>
        <v>-38.270000000000003</v>
      </c>
      <c r="G30" s="405">
        <f t="shared" si="0"/>
        <v>1127856.4099999999</v>
      </c>
      <c r="H30" s="10">
        <f>+'A) Base RI'!E30</f>
        <v>0</v>
      </c>
      <c r="I30" s="10">
        <f>+'A) Base RI'!F30</f>
        <v>0</v>
      </c>
      <c r="J30" s="10">
        <f>+'A) Base RI'!G30+'A) Base RI'!H30+'A) Base RI'!I30</f>
        <v>4461.8444842875006</v>
      </c>
      <c r="K30" s="10">
        <f>+'A) Base RI'!J30</f>
        <v>0</v>
      </c>
      <c r="L30" s="10">
        <f>+'A) Base RI'!K30</f>
        <v>6679.09</v>
      </c>
      <c r="M30" s="10">
        <f>+'A) Base RI'!L30</f>
        <v>1954.8</v>
      </c>
      <c r="N30" s="10">
        <f>+'A) Base RI'!R30</f>
        <v>0</v>
      </c>
      <c r="O30" s="10">
        <f t="shared" si="1"/>
        <v>98330.8</v>
      </c>
      <c r="P30" s="10">
        <f>+'A) Base RI'!M30</f>
        <v>98330.8</v>
      </c>
      <c r="Q30" s="413">
        <f>'A) Base RI'!Z30</f>
        <v>1</v>
      </c>
      <c r="R30" s="405">
        <f t="shared" si="2"/>
        <v>1239282.9444842876</v>
      </c>
      <c r="S30" s="401">
        <f>+'A) Base RI'!U30</f>
        <v>81</v>
      </c>
      <c r="T30" s="405">
        <f t="shared" si="3"/>
        <v>1138997.3444842875</v>
      </c>
      <c r="U30" s="405">
        <f t="shared" si="4"/>
        <v>15299.789438077625</v>
      </c>
      <c r="V30" s="10">
        <f>+'A) Base RI'!P30</f>
        <v>5504</v>
      </c>
      <c r="W30" s="10">
        <f>+'A) Base RI'!Q30</f>
        <v>37475.699999999997</v>
      </c>
      <c r="X30" s="10">
        <f>+'A) Base RI'!S30</f>
        <v>33964.35</v>
      </c>
      <c r="Y30" s="405">
        <f t="shared" si="5"/>
        <v>76944.049999999988</v>
      </c>
      <c r="Z30" s="10">
        <f>+'A) Base RI'!O30</f>
        <v>0</v>
      </c>
      <c r="AA30" s="10">
        <f>'A) Base RI'!V30</f>
        <v>482</v>
      </c>
    </row>
    <row r="31" spans="1:27" x14ac:dyDescent="0.25">
      <c r="A31" s="8">
        <f>'A) Base RI'!A31</f>
        <v>5430</v>
      </c>
      <c r="B31" s="32" t="str">
        <f>'A) Base RI'!B31</f>
        <v>Marchissy</v>
      </c>
      <c r="C31" s="10">
        <f>'A) Base RI'!C31+'A) Base RI'!D31</f>
        <v>1060437.33</v>
      </c>
      <c r="D31" s="10">
        <f>'A) Base RI'!W31</f>
        <v>-37073.4</v>
      </c>
      <c r="E31" s="397">
        <f>'A) Base RI'!X31</f>
        <v>0</v>
      </c>
      <c r="F31" s="397">
        <f>'A) Base RI'!Y31</f>
        <v>-146.71</v>
      </c>
      <c r="G31" s="405">
        <f t="shared" si="0"/>
        <v>1023217.2200000001</v>
      </c>
      <c r="H31" s="10">
        <f>+'A) Base RI'!E31</f>
        <v>0</v>
      </c>
      <c r="I31" s="10">
        <f>+'A) Base RI'!F31</f>
        <v>0</v>
      </c>
      <c r="J31" s="10">
        <f>+'A) Base RI'!G31+'A) Base RI'!H31+'A) Base RI'!I31</f>
        <v>53025.40476166131</v>
      </c>
      <c r="K31" s="10">
        <f>+'A) Base RI'!J31</f>
        <v>0</v>
      </c>
      <c r="L31" s="10">
        <f>+'A) Base RI'!K31</f>
        <v>11615.48</v>
      </c>
      <c r="M31" s="10">
        <f>+'A) Base RI'!L31</f>
        <v>1059.8</v>
      </c>
      <c r="N31" s="10">
        <f>+'A) Base RI'!R31</f>
        <v>1302.25</v>
      </c>
      <c r="O31" s="10">
        <f t="shared" si="1"/>
        <v>86256.7</v>
      </c>
      <c r="P31" s="10">
        <f>+'A) Base RI'!M31</f>
        <v>86256.7</v>
      </c>
      <c r="Q31" s="413">
        <f>'A) Base RI'!Z31</f>
        <v>1</v>
      </c>
      <c r="R31" s="405">
        <f t="shared" si="2"/>
        <v>1176476.8547616615</v>
      </c>
      <c r="S31" s="401">
        <f>+'A) Base RI'!U31</f>
        <v>79</v>
      </c>
      <c r="T31" s="405">
        <f t="shared" si="3"/>
        <v>1089160.3547616615</v>
      </c>
      <c r="U31" s="405">
        <f t="shared" si="4"/>
        <v>14892.112085590652</v>
      </c>
      <c r="V31" s="10">
        <f>+'A) Base RI'!P31</f>
        <v>0</v>
      </c>
      <c r="W31" s="10">
        <f>+'A) Base RI'!Q31</f>
        <v>45692.45</v>
      </c>
      <c r="X31" s="10">
        <f>+'A) Base RI'!S31</f>
        <v>9945.85</v>
      </c>
      <c r="Y31" s="405">
        <f t="shared" si="5"/>
        <v>55638.299999999996</v>
      </c>
      <c r="Z31" s="10">
        <f>+'A) Base RI'!O31</f>
        <v>6850.45</v>
      </c>
      <c r="AA31" s="10">
        <f>'A) Base RI'!V31</f>
        <v>472</v>
      </c>
    </row>
    <row r="32" spans="1:27" x14ac:dyDescent="0.25">
      <c r="A32" s="8">
        <f>'A) Base RI'!A32</f>
        <v>5431</v>
      </c>
      <c r="B32" s="32" t="str">
        <f>'A) Base RI'!B32</f>
        <v>Mollens</v>
      </c>
      <c r="C32" s="10">
        <f>'A) Base RI'!C32+'A) Base RI'!D32</f>
        <v>703797.43</v>
      </c>
      <c r="D32" s="10">
        <f>'A) Base RI'!W32</f>
        <v>-4344.3999999999996</v>
      </c>
      <c r="E32" s="397">
        <f>'A) Base RI'!X32</f>
        <v>0</v>
      </c>
      <c r="F32" s="397">
        <f>'A) Base RI'!Y32</f>
        <v>-169.91</v>
      </c>
      <c r="G32" s="405">
        <f t="shared" si="0"/>
        <v>699283.12</v>
      </c>
      <c r="H32" s="10">
        <f>+'A) Base RI'!E32</f>
        <v>0</v>
      </c>
      <c r="I32" s="10">
        <f>+'A) Base RI'!F32</f>
        <v>0</v>
      </c>
      <c r="J32" s="10">
        <f>+'A) Base RI'!G32+'A) Base RI'!H32+'A) Base RI'!I32</f>
        <v>1627.8742223608672</v>
      </c>
      <c r="K32" s="10">
        <f>+'A) Base RI'!J32</f>
        <v>0</v>
      </c>
      <c r="L32" s="10">
        <f>+'A) Base RI'!K32</f>
        <v>32397.55</v>
      </c>
      <c r="M32" s="10">
        <f>+'A) Base RI'!L32</f>
        <v>833.85</v>
      </c>
      <c r="N32" s="10">
        <f>+'A) Base RI'!R32</f>
        <v>1206.43</v>
      </c>
      <c r="O32" s="10">
        <f t="shared" si="1"/>
        <v>51016.95</v>
      </c>
      <c r="P32" s="10">
        <f>+'A) Base RI'!M32</f>
        <v>51016.95</v>
      </c>
      <c r="Q32" s="413">
        <f>'A) Base RI'!Z32</f>
        <v>1</v>
      </c>
      <c r="R32" s="405">
        <f t="shared" si="2"/>
        <v>786365.77422236092</v>
      </c>
      <c r="S32" s="401">
        <f>+'A) Base RI'!U32</f>
        <v>74</v>
      </c>
      <c r="T32" s="405">
        <f t="shared" si="3"/>
        <v>734514.97422236099</v>
      </c>
      <c r="U32" s="405">
        <f t="shared" si="4"/>
        <v>10626.564516518391</v>
      </c>
      <c r="V32" s="10">
        <f>+'A) Base RI'!P32</f>
        <v>0</v>
      </c>
      <c r="W32" s="10">
        <f>+'A) Base RI'!Q32</f>
        <v>33492.400000000001</v>
      </c>
      <c r="X32" s="10">
        <f>+'A) Base RI'!S32</f>
        <v>82844.649999999994</v>
      </c>
      <c r="Y32" s="405">
        <f t="shared" si="5"/>
        <v>116337.04999999999</v>
      </c>
      <c r="Z32" s="10">
        <f>+'A) Base RI'!O32</f>
        <v>292.05</v>
      </c>
      <c r="AA32" s="10">
        <f>'A) Base RI'!V32</f>
        <v>308</v>
      </c>
    </row>
    <row r="33" spans="1:27" x14ac:dyDescent="0.25">
      <c r="A33" s="8">
        <f>'A) Base RI'!A33</f>
        <v>5434</v>
      </c>
      <c r="B33" s="32" t="str">
        <f>'A) Base RI'!B33</f>
        <v>Saint-George</v>
      </c>
      <c r="C33" s="10">
        <f>'A) Base RI'!C33+'A) Base RI'!D33</f>
        <v>2551543.2599999998</v>
      </c>
      <c r="D33" s="10">
        <f>'A) Base RI'!W33</f>
        <v>-16799.5</v>
      </c>
      <c r="E33" s="397">
        <f>'A) Base RI'!X33</f>
        <v>0</v>
      </c>
      <c r="F33" s="397">
        <f>'A) Base RI'!Y33</f>
        <v>0</v>
      </c>
      <c r="G33" s="405">
        <f t="shared" si="0"/>
        <v>2534743.7599999998</v>
      </c>
      <c r="H33" s="10">
        <f>+'A) Base RI'!E33</f>
        <v>0</v>
      </c>
      <c r="I33" s="10">
        <f>+'A) Base RI'!F33</f>
        <v>0</v>
      </c>
      <c r="J33" s="10">
        <f>+'A) Base RI'!G33+'A) Base RI'!H33+'A) Base RI'!I33</f>
        <v>8293.1091465978952</v>
      </c>
      <c r="K33" s="10">
        <f>+'A) Base RI'!J33</f>
        <v>0</v>
      </c>
      <c r="L33" s="10">
        <f>+'A) Base RI'!K33</f>
        <v>52188.42</v>
      </c>
      <c r="M33" s="10">
        <f>+'A) Base RI'!L33</f>
        <v>3172.2</v>
      </c>
      <c r="N33" s="10">
        <f>+'A) Base RI'!R33</f>
        <v>0</v>
      </c>
      <c r="O33" s="10">
        <f t="shared" si="1"/>
        <v>230885.45833333334</v>
      </c>
      <c r="P33" s="10">
        <f>+'A) Base RI'!M33</f>
        <v>277062.55</v>
      </c>
      <c r="Q33" s="413">
        <f>'A) Base RI'!Z33</f>
        <v>1.2</v>
      </c>
      <c r="R33" s="405">
        <f t="shared" si="2"/>
        <v>2829282.9474799312</v>
      </c>
      <c r="S33" s="401">
        <f>+'A) Base RI'!U33</f>
        <v>71</v>
      </c>
      <c r="T33" s="405">
        <f t="shared" si="3"/>
        <v>2595225.2891465975</v>
      </c>
      <c r="U33" s="405">
        <f t="shared" si="4"/>
        <v>39849.055598308893</v>
      </c>
      <c r="V33" s="10">
        <f>+'A) Base RI'!P33</f>
        <v>1000</v>
      </c>
      <c r="W33" s="10">
        <f>+'A) Base RI'!Q33</f>
        <v>115494.5</v>
      </c>
      <c r="X33" s="10">
        <f>+'A) Base RI'!S33</f>
        <v>95482.75</v>
      </c>
      <c r="Y33" s="405">
        <f t="shared" si="5"/>
        <v>211977.25</v>
      </c>
      <c r="Z33" s="10">
        <f>+'A) Base RI'!O33</f>
        <v>31108.400000000001</v>
      </c>
      <c r="AA33" s="10">
        <f>'A) Base RI'!V33</f>
        <v>1063</v>
      </c>
    </row>
    <row r="34" spans="1:27" x14ac:dyDescent="0.25">
      <c r="A34" s="8">
        <f>'A) Base RI'!A34</f>
        <v>5435</v>
      </c>
      <c r="B34" s="32" t="str">
        <f>'A) Base RI'!B34</f>
        <v>Saint-Livres</v>
      </c>
      <c r="C34" s="10">
        <f>'A) Base RI'!C34+'A) Base RI'!D34</f>
        <v>1533534.66</v>
      </c>
      <c r="D34" s="10">
        <f>'A) Base RI'!W34</f>
        <v>-33838.49</v>
      </c>
      <c r="E34" s="397">
        <f>'A) Base RI'!X34</f>
        <v>0</v>
      </c>
      <c r="F34" s="397">
        <f>'A) Base RI'!Y34</f>
        <v>-214.69</v>
      </c>
      <c r="G34" s="405">
        <f t="shared" si="0"/>
        <v>1499481.48</v>
      </c>
      <c r="H34" s="10">
        <f>+'A) Base RI'!E34</f>
        <v>0</v>
      </c>
      <c r="I34" s="10">
        <f>+'A) Base RI'!F34</f>
        <v>0</v>
      </c>
      <c r="J34" s="10">
        <f>+'A) Base RI'!G34+'A) Base RI'!H34+'A) Base RI'!I34</f>
        <v>-2318.6499999999996</v>
      </c>
      <c r="K34" s="10">
        <f>+'A) Base RI'!J34</f>
        <v>0</v>
      </c>
      <c r="L34" s="10">
        <f>+'A) Base RI'!K34</f>
        <v>40445.19</v>
      </c>
      <c r="M34" s="10">
        <f>+'A) Base RI'!L34</f>
        <v>0</v>
      </c>
      <c r="N34" s="10">
        <f>+'A) Base RI'!R34</f>
        <v>15215.4</v>
      </c>
      <c r="O34" s="10">
        <f t="shared" si="1"/>
        <v>123320.5</v>
      </c>
      <c r="P34" s="10">
        <f>+'A) Base RI'!M34</f>
        <v>123320.5</v>
      </c>
      <c r="Q34" s="413">
        <f>'A) Base RI'!Z34</f>
        <v>1</v>
      </c>
      <c r="R34" s="405">
        <f t="shared" si="2"/>
        <v>1676143.92</v>
      </c>
      <c r="S34" s="401">
        <f>+'A) Base RI'!U34</f>
        <v>69</v>
      </c>
      <c r="T34" s="405">
        <f t="shared" si="3"/>
        <v>1552823.42</v>
      </c>
      <c r="U34" s="405">
        <f t="shared" si="4"/>
        <v>24291.940869565216</v>
      </c>
      <c r="V34" s="10">
        <f>+'A) Base RI'!P34</f>
        <v>0</v>
      </c>
      <c r="W34" s="10">
        <f>+'A) Base RI'!Q34</f>
        <v>30489.4</v>
      </c>
      <c r="X34" s="10">
        <f>+'A) Base RI'!S34</f>
        <v>35673</v>
      </c>
      <c r="Y34" s="405">
        <f t="shared" si="5"/>
        <v>66162.399999999994</v>
      </c>
      <c r="Z34" s="10">
        <f>+'A) Base RI'!O34</f>
        <v>1807.7</v>
      </c>
      <c r="AA34" s="10">
        <f>'A) Base RI'!V34</f>
        <v>691</v>
      </c>
    </row>
    <row r="35" spans="1:27" x14ac:dyDescent="0.25">
      <c r="A35" s="8">
        <f>'A) Base RI'!A35</f>
        <v>5436</v>
      </c>
      <c r="B35" s="32" t="str">
        <f>'A) Base RI'!B35</f>
        <v>Saint-Oyens</v>
      </c>
      <c r="C35" s="10">
        <f>'A) Base RI'!C35+'A) Base RI'!D35</f>
        <v>1234333.6499999999</v>
      </c>
      <c r="D35" s="10">
        <f>'A) Base RI'!W35</f>
        <v>-43021.440000000002</v>
      </c>
      <c r="E35" s="397">
        <f>'A) Base RI'!X35</f>
        <v>0</v>
      </c>
      <c r="F35" s="397">
        <f>'A) Base RI'!Y35</f>
        <v>-787.67</v>
      </c>
      <c r="G35" s="405">
        <f t="shared" si="0"/>
        <v>1190524.54</v>
      </c>
      <c r="H35" s="10">
        <f>+'A) Base RI'!E35</f>
        <v>0</v>
      </c>
      <c r="I35" s="10">
        <f>+'A) Base RI'!F35</f>
        <v>0</v>
      </c>
      <c r="J35" s="10">
        <f>+'A) Base RI'!G35+'A) Base RI'!H35+'A) Base RI'!I35</f>
        <v>65869.723914423041</v>
      </c>
      <c r="K35" s="10">
        <f>+'A) Base RI'!J35</f>
        <v>0</v>
      </c>
      <c r="L35" s="10">
        <f>+'A) Base RI'!K35</f>
        <v>-342.01</v>
      </c>
      <c r="M35" s="10">
        <f>+'A) Base RI'!L35</f>
        <v>0</v>
      </c>
      <c r="N35" s="10">
        <f>+'A) Base RI'!R35</f>
        <v>12295.81</v>
      </c>
      <c r="O35" s="10">
        <f t="shared" si="1"/>
        <v>80753.25</v>
      </c>
      <c r="P35" s="10">
        <f>+'A) Base RI'!M35</f>
        <v>64602.6</v>
      </c>
      <c r="Q35" s="413">
        <f>'A) Base RI'!Z35</f>
        <v>0.8</v>
      </c>
      <c r="R35" s="405">
        <f t="shared" si="2"/>
        <v>1349101.3139144231</v>
      </c>
      <c r="S35" s="401">
        <f>+'A) Base RI'!U35</f>
        <v>81</v>
      </c>
      <c r="T35" s="405">
        <f t="shared" si="3"/>
        <v>1268348.0639144231</v>
      </c>
      <c r="U35" s="405">
        <f t="shared" si="4"/>
        <v>16655.571776721274</v>
      </c>
      <c r="V35" s="10">
        <f>+'A) Base RI'!P35</f>
        <v>0</v>
      </c>
      <c r="W35" s="10">
        <f>+'A) Base RI'!Q35</f>
        <v>10560</v>
      </c>
      <c r="X35" s="10">
        <f>+'A) Base RI'!S35</f>
        <v>36984.050000000003</v>
      </c>
      <c r="Y35" s="405">
        <f t="shared" si="5"/>
        <v>47544.05</v>
      </c>
      <c r="Z35" s="10">
        <f>+'A) Base RI'!O35</f>
        <v>1201.0999999999999</v>
      </c>
      <c r="AA35" s="10">
        <f>'A) Base RI'!V35</f>
        <v>447</v>
      </c>
    </row>
    <row r="36" spans="1:27" x14ac:dyDescent="0.25">
      <c r="A36" s="8">
        <f>'A) Base RI'!A36</f>
        <v>5437</v>
      </c>
      <c r="B36" s="32" t="str">
        <f>'A) Base RI'!B36</f>
        <v>Saubraz</v>
      </c>
      <c r="C36" s="10">
        <f>'A) Base RI'!C36+'A) Base RI'!D36</f>
        <v>963696.5</v>
      </c>
      <c r="D36" s="10">
        <f>'A) Base RI'!W36</f>
        <v>-10280.5</v>
      </c>
      <c r="E36" s="397">
        <f>'A) Base RI'!X36</f>
        <v>0</v>
      </c>
      <c r="F36" s="397">
        <f>'A) Base RI'!Y36</f>
        <v>-36.03</v>
      </c>
      <c r="G36" s="405">
        <f t="shared" si="0"/>
        <v>953379.97</v>
      </c>
      <c r="H36" s="10">
        <f>+'A) Base RI'!E36</f>
        <v>0</v>
      </c>
      <c r="I36" s="10">
        <f>+'A) Base RI'!F36</f>
        <v>0</v>
      </c>
      <c r="J36" s="10">
        <f>+'A) Base RI'!G36+'A) Base RI'!H36+'A) Base RI'!I36</f>
        <v>9782.5345112033883</v>
      </c>
      <c r="K36" s="10">
        <f>+'A) Base RI'!J36</f>
        <v>0</v>
      </c>
      <c r="L36" s="10">
        <f>+'A) Base RI'!K36</f>
        <v>21981.59</v>
      </c>
      <c r="M36" s="10">
        <f>+'A) Base RI'!L36</f>
        <v>746.35</v>
      </c>
      <c r="N36" s="10">
        <f>+'A) Base RI'!R36</f>
        <v>0</v>
      </c>
      <c r="O36" s="10">
        <f t="shared" si="1"/>
        <v>66546.149999999994</v>
      </c>
      <c r="P36" s="10">
        <f>+'A) Base RI'!M36</f>
        <v>66546.149999999994</v>
      </c>
      <c r="Q36" s="413">
        <f>'A) Base RI'!Z36</f>
        <v>1</v>
      </c>
      <c r="R36" s="405">
        <f t="shared" si="2"/>
        <v>1052436.5945112032</v>
      </c>
      <c r="S36" s="401">
        <f>+'A) Base RI'!U36</f>
        <v>80</v>
      </c>
      <c r="T36" s="405">
        <f t="shared" si="3"/>
        <v>985144.09451120335</v>
      </c>
      <c r="U36" s="405">
        <f t="shared" si="4"/>
        <v>13155.457431390041</v>
      </c>
      <c r="V36" s="10">
        <f>+'A) Base RI'!P36</f>
        <v>5326</v>
      </c>
      <c r="W36" s="10">
        <f>+'A) Base RI'!Q36</f>
        <v>16835</v>
      </c>
      <c r="X36" s="10">
        <f>+'A) Base RI'!S36</f>
        <v>24357.75</v>
      </c>
      <c r="Y36" s="405">
        <f t="shared" si="5"/>
        <v>46518.75</v>
      </c>
      <c r="Z36" s="10">
        <f>+'A) Base RI'!O36</f>
        <v>0</v>
      </c>
      <c r="AA36" s="10">
        <f>'A) Base RI'!V36</f>
        <v>423</v>
      </c>
    </row>
    <row r="37" spans="1:27" x14ac:dyDescent="0.25">
      <c r="A37" s="8">
        <f>'A) Base RI'!A37</f>
        <v>5451</v>
      </c>
      <c r="B37" s="32" t="str">
        <f>'A) Base RI'!B37</f>
        <v>Avenches</v>
      </c>
      <c r="C37" s="10">
        <f>'A) Base RI'!C37+'A) Base RI'!D37</f>
        <v>5973730.6000000099</v>
      </c>
      <c r="D37" s="10">
        <f>'A) Base RI'!W37</f>
        <v>-301966.33</v>
      </c>
      <c r="E37" s="397">
        <f>'A) Base RI'!X37</f>
        <v>0</v>
      </c>
      <c r="F37" s="397">
        <f>'A) Base RI'!Y37</f>
        <v>-170.09</v>
      </c>
      <c r="G37" s="405">
        <f t="shared" si="0"/>
        <v>5671594.1800000099</v>
      </c>
      <c r="H37" s="10">
        <f>+'A) Base RI'!E37</f>
        <v>0</v>
      </c>
      <c r="I37" s="10">
        <f>+'A) Base RI'!F37</f>
        <v>0</v>
      </c>
      <c r="J37" s="10">
        <f>+'A) Base RI'!G37+'A) Base RI'!H37+'A) Base RI'!I37</f>
        <v>1668679.2869293324</v>
      </c>
      <c r="K37" s="10">
        <f>+'A) Base RI'!J37</f>
        <v>0</v>
      </c>
      <c r="L37" s="10">
        <f>+'A) Base RI'!K37</f>
        <v>464364.16</v>
      </c>
      <c r="M37" s="10">
        <f>+'A) Base RI'!L37</f>
        <v>91632.6</v>
      </c>
      <c r="N37" s="10">
        <f>+'A) Base RI'!R37</f>
        <v>120910.04</v>
      </c>
      <c r="O37" s="10">
        <f t="shared" si="1"/>
        <v>894823.9</v>
      </c>
      <c r="P37" s="10">
        <f>+'A) Base RI'!M37</f>
        <v>1342235.85</v>
      </c>
      <c r="Q37" s="413">
        <f>'A) Base RI'!Z37</f>
        <v>1.5</v>
      </c>
      <c r="R37" s="405">
        <f t="shared" si="2"/>
        <v>8912004.1669293419</v>
      </c>
      <c r="S37" s="401">
        <f>+'A) Base RI'!U37</f>
        <v>68</v>
      </c>
      <c r="T37" s="405">
        <f t="shared" si="3"/>
        <v>7925547.6669293428</v>
      </c>
      <c r="U37" s="405">
        <f t="shared" si="4"/>
        <v>131058.88480778445</v>
      </c>
      <c r="V37" s="10">
        <f>+'A) Base RI'!P37</f>
        <v>224785.7</v>
      </c>
      <c r="W37" s="10">
        <f>+'A) Base RI'!Q37</f>
        <v>202624.35</v>
      </c>
      <c r="X37" s="10">
        <f>+'A) Base RI'!S37</f>
        <v>328947.95</v>
      </c>
      <c r="Y37" s="405">
        <f t="shared" si="5"/>
        <v>756358</v>
      </c>
      <c r="Z37" s="10">
        <f>+'A) Base RI'!O37</f>
        <v>402168.8</v>
      </c>
      <c r="AA37" s="10">
        <f>'A) Base RI'!V37</f>
        <v>4305</v>
      </c>
    </row>
    <row r="38" spans="1:27" x14ac:dyDescent="0.25">
      <c r="A38" s="8">
        <f>'A) Base RI'!A38</f>
        <v>5456</v>
      </c>
      <c r="B38" s="32" t="str">
        <f>'A) Base RI'!B38</f>
        <v>Cudrefin</v>
      </c>
      <c r="C38" s="10">
        <f>'A) Base RI'!C38+'A) Base RI'!D38</f>
        <v>3083621.52</v>
      </c>
      <c r="D38" s="10">
        <f>'A) Base RI'!W38</f>
        <v>-119613.65</v>
      </c>
      <c r="E38" s="397">
        <f>'A) Base RI'!X38</f>
        <v>0</v>
      </c>
      <c r="F38" s="397">
        <f>'A) Base RI'!Y38</f>
        <v>-47.91</v>
      </c>
      <c r="G38" s="405">
        <f t="shared" si="0"/>
        <v>2963959.96</v>
      </c>
      <c r="H38" s="10">
        <f>+'A) Base RI'!E38</f>
        <v>0</v>
      </c>
      <c r="I38" s="10">
        <f>+'A) Base RI'!F38</f>
        <v>0</v>
      </c>
      <c r="J38" s="10">
        <f>+'A) Base RI'!G38+'A) Base RI'!H38+'A) Base RI'!I38</f>
        <v>10.268008195386113</v>
      </c>
      <c r="K38" s="10">
        <f>+'A) Base RI'!J38</f>
        <v>0</v>
      </c>
      <c r="L38" s="10">
        <f>+'A) Base RI'!K38</f>
        <v>67135.63</v>
      </c>
      <c r="M38" s="10">
        <f>+'A) Base RI'!L38</f>
        <v>2771.55</v>
      </c>
      <c r="N38" s="10">
        <f>+'A) Base RI'!R38</f>
        <v>38447.99</v>
      </c>
      <c r="O38" s="10">
        <f t="shared" si="1"/>
        <v>319225.86666666664</v>
      </c>
      <c r="P38" s="10">
        <f>+'A) Base RI'!M38</f>
        <v>478838.8</v>
      </c>
      <c r="Q38" s="413">
        <f>'A) Base RI'!Z38</f>
        <v>1.5</v>
      </c>
      <c r="R38" s="405">
        <f t="shared" si="2"/>
        <v>3391551.2646748619</v>
      </c>
      <c r="S38" s="401">
        <f>+'A) Base RI'!U38</f>
        <v>59</v>
      </c>
      <c r="T38" s="405">
        <f t="shared" si="3"/>
        <v>3069553.8480081954</v>
      </c>
      <c r="U38" s="405">
        <f t="shared" si="4"/>
        <v>57483.919740251898</v>
      </c>
      <c r="V38" s="10">
        <f>+'A) Base RI'!P38</f>
        <v>681046.3</v>
      </c>
      <c r="W38" s="10">
        <f>+'A) Base RI'!Q38</f>
        <v>304460.90000000002</v>
      </c>
      <c r="X38" s="10">
        <f>+'A) Base RI'!S38</f>
        <v>162443.25</v>
      </c>
      <c r="Y38" s="405">
        <f t="shared" si="5"/>
        <v>1147950.4500000002</v>
      </c>
      <c r="Z38" s="10">
        <f>+'A) Base RI'!O38</f>
        <v>11939.5</v>
      </c>
      <c r="AA38" s="10">
        <f>'A) Base RI'!V38</f>
        <v>1735</v>
      </c>
    </row>
    <row r="39" spans="1:27" x14ac:dyDescent="0.25">
      <c r="A39" s="8">
        <f>'A) Base RI'!A39</f>
        <v>5458</v>
      </c>
      <c r="B39" s="32" t="str">
        <f>'A) Base RI'!B39</f>
        <v>Faoug</v>
      </c>
      <c r="C39" s="10">
        <f>'A) Base RI'!C39+'A) Base RI'!D39</f>
        <v>1954193.49</v>
      </c>
      <c r="D39" s="10">
        <f>'A) Base RI'!W39</f>
        <v>-24362.9</v>
      </c>
      <c r="E39" s="397">
        <f>'A) Base RI'!X39</f>
        <v>0</v>
      </c>
      <c r="F39" s="397">
        <f>'A) Base RI'!Y39</f>
        <v>-57.87</v>
      </c>
      <c r="G39" s="405">
        <f t="shared" si="0"/>
        <v>1929772.72</v>
      </c>
      <c r="H39" s="10">
        <f>+'A) Base RI'!E39</f>
        <v>0</v>
      </c>
      <c r="I39" s="10">
        <f>+'A) Base RI'!F39</f>
        <v>0</v>
      </c>
      <c r="J39" s="10">
        <f>+'A) Base RI'!G39+'A) Base RI'!H39+'A) Base RI'!I39</f>
        <v>43439.598517366227</v>
      </c>
      <c r="K39" s="10">
        <f>+'A) Base RI'!J39</f>
        <v>0</v>
      </c>
      <c r="L39" s="10">
        <f>+'A) Base RI'!K39</f>
        <v>28629.64</v>
      </c>
      <c r="M39" s="10">
        <f>+'A) Base RI'!L39</f>
        <v>9743.9500000000007</v>
      </c>
      <c r="N39" s="10">
        <f>+'A) Base RI'!R39</f>
        <v>184.73</v>
      </c>
      <c r="O39" s="10">
        <f t="shared" si="1"/>
        <v>173039.03333333333</v>
      </c>
      <c r="P39" s="10">
        <f>+'A) Base RI'!M39</f>
        <v>259558.55</v>
      </c>
      <c r="Q39" s="413">
        <f>'A) Base RI'!Z39</f>
        <v>1.5</v>
      </c>
      <c r="R39" s="405">
        <f t="shared" si="2"/>
        <v>2184809.6718506995</v>
      </c>
      <c r="S39" s="401">
        <f>+'A) Base RI'!U39</f>
        <v>66</v>
      </c>
      <c r="T39" s="405">
        <f t="shared" si="3"/>
        <v>2002026.6885173661</v>
      </c>
      <c r="U39" s="405">
        <f t="shared" si="4"/>
        <v>33103.176846222719</v>
      </c>
      <c r="V39" s="10">
        <f>+'A) Base RI'!P39</f>
        <v>280454.40000000002</v>
      </c>
      <c r="W39" s="10">
        <f>+'A) Base RI'!Q39</f>
        <v>104340.15</v>
      </c>
      <c r="X39" s="10">
        <f>+'A) Base RI'!S39</f>
        <v>64511.4</v>
      </c>
      <c r="Y39" s="405">
        <f t="shared" si="5"/>
        <v>449305.95000000007</v>
      </c>
      <c r="Z39" s="10">
        <f>+'A) Base RI'!O39</f>
        <v>0</v>
      </c>
      <c r="AA39" s="10">
        <f>'A) Base RI'!V39</f>
        <v>884</v>
      </c>
    </row>
    <row r="40" spans="1:27" x14ac:dyDescent="0.25">
      <c r="A40" s="8">
        <f>'A) Base RI'!A40</f>
        <v>5464</v>
      </c>
      <c r="B40" s="32" t="str">
        <f>'A) Base RI'!B40</f>
        <v>Vully-les-Lacs</v>
      </c>
      <c r="C40" s="10">
        <f>'A) Base RI'!C40+'A) Base RI'!D40</f>
        <v>6752132.0700000003</v>
      </c>
      <c r="D40" s="10">
        <f>'A) Base RI'!W40</f>
        <v>-118992.82</v>
      </c>
      <c r="E40" s="397">
        <f>'A) Base RI'!X40</f>
        <v>0</v>
      </c>
      <c r="F40" s="397">
        <f>'A) Base RI'!Y40</f>
        <v>-5168.91</v>
      </c>
      <c r="G40" s="405">
        <f t="shared" si="0"/>
        <v>6627970.3399999999</v>
      </c>
      <c r="H40" s="10">
        <f>+'A) Base RI'!E40</f>
        <v>0</v>
      </c>
      <c r="I40" s="10">
        <f>+'A) Base RI'!F40</f>
        <v>0</v>
      </c>
      <c r="J40" s="10">
        <f>+'A) Base RI'!G40+'A) Base RI'!H40+'A) Base RI'!I40</f>
        <v>73872.846455942432</v>
      </c>
      <c r="K40" s="10">
        <f>+'A) Base RI'!J40</f>
        <v>0</v>
      </c>
      <c r="L40" s="10">
        <f>+'A) Base RI'!K40</f>
        <v>160750.89000000001</v>
      </c>
      <c r="M40" s="10">
        <f>+'A) Base RI'!L40</f>
        <v>20222.349999999999</v>
      </c>
      <c r="N40" s="10">
        <f>+'A) Base RI'!R40</f>
        <v>14133.69</v>
      </c>
      <c r="O40" s="10">
        <f t="shared" si="1"/>
        <v>654385.43333333335</v>
      </c>
      <c r="P40" s="10">
        <f>+'A) Base RI'!M40</f>
        <v>981578.15</v>
      </c>
      <c r="Q40" s="413">
        <f>'A) Base RI'!Z40</f>
        <v>1.5</v>
      </c>
      <c r="R40" s="405">
        <f t="shared" si="2"/>
        <v>7551335.549789276</v>
      </c>
      <c r="S40" s="401">
        <f>+'A) Base RI'!U40</f>
        <v>67</v>
      </c>
      <c r="T40" s="405">
        <f t="shared" si="3"/>
        <v>6876727.7664559428</v>
      </c>
      <c r="U40" s="405">
        <f t="shared" si="4"/>
        <v>112706.50074312353</v>
      </c>
      <c r="V40" s="10">
        <f>+'A) Base RI'!P40</f>
        <v>62828.1</v>
      </c>
      <c r="W40" s="10">
        <f>+'A) Base RI'!Q40</f>
        <v>448485.55</v>
      </c>
      <c r="X40" s="10">
        <f>+'A) Base RI'!S40</f>
        <v>250527.75</v>
      </c>
      <c r="Y40" s="405">
        <f t="shared" si="5"/>
        <v>761841.39999999991</v>
      </c>
      <c r="Z40" s="10">
        <f>+'A) Base RI'!O40</f>
        <v>0</v>
      </c>
      <c r="AA40" s="10">
        <f>'A) Base RI'!V40</f>
        <v>3278</v>
      </c>
    </row>
    <row r="41" spans="1:27" x14ac:dyDescent="0.25">
      <c r="A41" s="8">
        <f>'A) Base RI'!A41</f>
        <v>5471</v>
      </c>
      <c r="B41" s="32" t="str">
        <f>'A) Base RI'!B41</f>
        <v>Bettens</v>
      </c>
      <c r="C41" s="10">
        <f>'A) Base RI'!C41+'A) Base RI'!D41</f>
        <v>1348879.5999999999</v>
      </c>
      <c r="D41" s="10">
        <f>'A) Base RI'!W41</f>
        <v>-2781.29</v>
      </c>
      <c r="E41" s="397">
        <f>'A) Base RI'!X41</f>
        <v>0</v>
      </c>
      <c r="F41" s="397">
        <f>'A) Base RI'!Y41</f>
        <v>-455.63</v>
      </c>
      <c r="G41" s="405">
        <f t="shared" si="0"/>
        <v>1345642.68</v>
      </c>
      <c r="H41" s="10">
        <f>+'A) Base RI'!E41</f>
        <v>0</v>
      </c>
      <c r="I41" s="10">
        <f>+'A) Base RI'!F41</f>
        <v>0</v>
      </c>
      <c r="J41" s="10">
        <f>+'A) Base RI'!G41+'A) Base RI'!H41+'A) Base RI'!I41</f>
        <v>4752.0003422483378</v>
      </c>
      <c r="K41" s="10">
        <f>+'A) Base RI'!J41</f>
        <v>0</v>
      </c>
      <c r="L41" s="10">
        <f>+'A) Base RI'!K41</f>
        <v>44654.19</v>
      </c>
      <c r="M41" s="10">
        <f>+'A) Base RI'!L41</f>
        <v>3613.25</v>
      </c>
      <c r="N41" s="10">
        <f>+'A) Base RI'!R41</f>
        <v>1540.64</v>
      </c>
      <c r="O41" s="10">
        <f t="shared" si="1"/>
        <v>116689.38888888888</v>
      </c>
      <c r="P41" s="10">
        <f>+'A) Base RI'!M41</f>
        <v>105020.45</v>
      </c>
      <c r="Q41" s="413">
        <f>'A) Base RI'!Z41</f>
        <v>0.9</v>
      </c>
      <c r="R41" s="405">
        <f t="shared" si="2"/>
        <v>1516892.1492311368</v>
      </c>
      <c r="S41" s="401">
        <f>+'A) Base RI'!U41</f>
        <v>70</v>
      </c>
      <c r="T41" s="405">
        <f t="shared" si="3"/>
        <v>1396589.510342248</v>
      </c>
      <c r="U41" s="405">
        <f t="shared" si="4"/>
        <v>21669.887846159098</v>
      </c>
      <c r="V41" s="10">
        <f>+'A) Base RI'!P41</f>
        <v>0</v>
      </c>
      <c r="W41" s="10">
        <f>+'A) Base RI'!Q41</f>
        <v>28213.9</v>
      </c>
      <c r="X41" s="10">
        <f>+'A) Base RI'!S41</f>
        <v>5701.55</v>
      </c>
      <c r="Y41" s="405">
        <f t="shared" si="5"/>
        <v>33915.450000000004</v>
      </c>
      <c r="Z41" s="10">
        <f>+'A) Base RI'!O41</f>
        <v>45443.55</v>
      </c>
      <c r="AA41" s="10">
        <f>'A) Base RI'!V41</f>
        <v>650</v>
      </c>
    </row>
    <row r="42" spans="1:27" x14ac:dyDescent="0.25">
      <c r="A42" s="8">
        <f>'A) Base RI'!A42</f>
        <v>5472</v>
      </c>
      <c r="B42" s="32" t="str">
        <f>'A) Base RI'!B42</f>
        <v>Bournens</v>
      </c>
      <c r="C42" s="10">
        <f>'A) Base RI'!C42+'A) Base RI'!D42</f>
        <v>1040526.11</v>
      </c>
      <c r="D42" s="10">
        <f>'A) Base RI'!W42</f>
        <v>-21571.81</v>
      </c>
      <c r="E42" s="397">
        <f>'A) Base RI'!X42</f>
        <v>0</v>
      </c>
      <c r="F42" s="397">
        <f>'A) Base RI'!Y42</f>
        <v>-598.23</v>
      </c>
      <c r="G42" s="405">
        <f t="shared" si="0"/>
        <v>1018356.07</v>
      </c>
      <c r="H42" s="10">
        <f>+'A) Base RI'!E42</f>
        <v>0</v>
      </c>
      <c r="I42" s="10">
        <f>+'A) Base RI'!F42</f>
        <v>0</v>
      </c>
      <c r="J42" s="10">
        <f>+'A) Base RI'!G42+'A) Base RI'!H42+'A) Base RI'!I42</f>
        <v>2128.1857425624398</v>
      </c>
      <c r="K42" s="10">
        <f>+'A) Base RI'!J42</f>
        <v>0</v>
      </c>
      <c r="L42" s="10">
        <f>+'A) Base RI'!K42</f>
        <v>28961.4</v>
      </c>
      <c r="M42" s="10">
        <f>+'A) Base RI'!L42</f>
        <v>1226</v>
      </c>
      <c r="N42" s="10">
        <f>+'A) Base RI'!R42</f>
        <v>528.5</v>
      </c>
      <c r="O42" s="10">
        <f t="shared" si="1"/>
        <v>90315.35</v>
      </c>
      <c r="P42" s="10">
        <f>+'A) Base RI'!M42</f>
        <v>90315.35</v>
      </c>
      <c r="Q42" s="413">
        <f>'A) Base RI'!Z42</f>
        <v>1</v>
      </c>
      <c r="R42" s="405">
        <f t="shared" si="2"/>
        <v>1141515.5057425625</v>
      </c>
      <c r="S42" s="401">
        <f>+'A) Base RI'!U42</f>
        <v>76</v>
      </c>
      <c r="T42" s="405">
        <f t="shared" si="3"/>
        <v>1049974.1557425624</v>
      </c>
      <c r="U42" s="405">
        <f t="shared" si="4"/>
        <v>15019.940865033717</v>
      </c>
      <c r="V42" s="10">
        <f>+'A) Base RI'!P42</f>
        <v>0</v>
      </c>
      <c r="W42" s="10">
        <f>+'A) Base RI'!Q42</f>
        <v>56723.15</v>
      </c>
      <c r="X42" s="10">
        <f>+'A) Base RI'!S42</f>
        <v>3524.15</v>
      </c>
      <c r="Y42" s="405">
        <f t="shared" si="5"/>
        <v>60247.3</v>
      </c>
      <c r="Z42" s="10">
        <f>+'A) Base RI'!O42</f>
        <v>0</v>
      </c>
      <c r="AA42" s="10">
        <f>'A) Base RI'!V42</f>
        <v>422</v>
      </c>
    </row>
    <row r="43" spans="1:27" x14ac:dyDescent="0.25">
      <c r="A43" s="8">
        <f>'A) Base RI'!A43</f>
        <v>5473</v>
      </c>
      <c r="B43" s="32" t="str">
        <f>'A) Base RI'!B43</f>
        <v>Boussens</v>
      </c>
      <c r="C43" s="10">
        <f>'A) Base RI'!C43+'A) Base RI'!D43</f>
        <v>2171863.66</v>
      </c>
      <c r="D43" s="10">
        <f>'A) Base RI'!W43</f>
        <v>-31230.52</v>
      </c>
      <c r="E43" s="397">
        <f>'A) Base RI'!X43</f>
        <v>0</v>
      </c>
      <c r="F43" s="397">
        <f>'A) Base RI'!Y43</f>
        <v>-92.89</v>
      </c>
      <c r="G43" s="405">
        <f t="shared" si="0"/>
        <v>2140540.25</v>
      </c>
      <c r="H43" s="10">
        <f>+'A) Base RI'!E43</f>
        <v>0</v>
      </c>
      <c r="I43" s="10">
        <f>+'A) Base RI'!F43</f>
        <v>0</v>
      </c>
      <c r="J43" s="10">
        <f>+'A) Base RI'!G43+'A) Base RI'!H43+'A) Base RI'!I43</f>
        <v>33472.634782038018</v>
      </c>
      <c r="K43" s="10">
        <f>+'A) Base RI'!J43</f>
        <v>0</v>
      </c>
      <c r="L43" s="10">
        <f>+'A) Base RI'!K43</f>
        <v>1623.33</v>
      </c>
      <c r="M43" s="10">
        <f>+'A) Base RI'!L43</f>
        <v>6149.2</v>
      </c>
      <c r="N43" s="10">
        <f>+'A) Base RI'!R43</f>
        <v>7184.7</v>
      </c>
      <c r="O43" s="10">
        <f t="shared" si="1"/>
        <v>176502.7</v>
      </c>
      <c r="P43" s="10">
        <f>+'A) Base RI'!M43</f>
        <v>176502.7</v>
      </c>
      <c r="Q43" s="413">
        <f>'A) Base RI'!Z43</f>
        <v>1</v>
      </c>
      <c r="R43" s="405">
        <f t="shared" si="2"/>
        <v>2365472.8147820388</v>
      </c>
      <c r="S43" s="401">
        <f>+'A) Base RI'!U43</f>
        <v>69</v>
      </c>
      <c r="T43" s="405">
        <f t="shared" si="3"/>
        <v>2182820.9147820384</v>
      </c>
      <c r="U43" s="405">
        <f t="shared" si="4"/>
        <v>34282.214706986073</v>
      </c>
      <c r="V43" s="10">
        <f>+'A) Base RI'!P43</f>
        <v>0</v>
      </c>
      <c r="W43" s="10">
        <f>+'A) Base RI'!Q43</f>
        <v>74223.199999999997</v>
      </c>
      <c r="X43" s="10">
        <f>+'A) Base RI'!S43</f>
        <v>16353.8</v>
      </c>
      <c r="Y43" s="405">
        <f t="shared" si="5"/>
        <v>90577</v>
      </c>
      <c r="Z43" s="10">
        <f>+'A) Base RI'!O43</f>
        <v>329.95</v>
      </c>
      <c r="AA43" s="10">
        <f>'A) Base RI'!V43</f>
        <v>993</v>
      </c>
    </row>
    <row r="44" spans="1:27" x14ac:dyDescent="0.25">
      <c r="A44" s="8">
        <f>'A) Base RI'!A44</f>
        <v>5474</v>
      </c>
      <c r="B44" s="32" t="str">
        <f>'A) Base RI'!B44</f>
        <v>La Chaux (Cossonay)</v>
      </c>
      <c r="C44" s="10">
        <f>'A) Base RI'!C44+'A) Base RI'!D44</f>
        <v>1088784.4500000002</v>
      </c>
      <c r="D44" s="10">
        <f>'A) Base RI'!W44</f>
        <v>-13043.6</v>
      </c>
      <c r="E44" s="397">
        <f>'A) Base RI'!X44</f>
        <v>0</v>
      </c>
      <c r="F44" s="397">
        <f>'A) Base RI'!Y44</f>
        <v>-3.75</v>
      </c>
      <c r="G44" s="405">
        <f t="shared" si="0"/>
        <v>1075737.1000000001</v>
      </c>
      <c r="H44" s="10">
        <f>+'A) Base RI'!E44</f>
        <v>0</v>
      </c>
      <c r="I44" s="10">
        <f>+'A) Base RI'!F44</f>
        <v>0</v>
      </c>
      <c r="J44" s="10">
        <f>+'A) Base RI'!G44+'A) Base RI'!H44+'A) Base RI'!I44</f>
        <v>-262.85000000000002</v>
      </c>
      <c r="K44" s="10">
        <f>+'A) Base RI'!J44</f>
        <v>39282.400000000001</v>
      </c>
      <c r="L44" s="10">
        <f>+'A) Base RI'!K44</f>
        <v>-6348.54</v>
      </c>
      <c r="M44" s="10">
        <f>+'A) Base RI'!L44</f>
        <v>665</v>
      </c>
      <c r="N44" s="10">
        <f>+'A) Base RI'!R44</f>
        <v>0</v>
      </c>
      <c r="O44" s="10">
        <f t="shared" si="1"/>
        <v>70016.166666666672</v>
      </c>
      <c r="P44" s="10">
        <f>+'A) Base RI'!M44</f>
        <v>84019.4</v>
      </c>
      <c r="Q44" s="413">
        <f>'A) Base RI'!Z44</f>
        <v>1.2</v>
      </c>
      <c r="R44" s="405">
        <f t="shared" si="2"/>
        <v>1179089.2766666666</v>
      </c>
      <c r="S44" s="401">
        <f>+'A) Base RI'!U44</f>
        <v>77</v>
      </c>
      <c r="T44" s="405">
        <f t="shared" si="3"/>
        <v>1108408.1099999999</v>
      </c>
      <c r="U44" s="405">
        <f t="shared" si="4"/>
        <v>15312.847748917748</v>
      </c>
      <c r="V44" s="10">
        <f>+'A) Base RI'!P44</f>
        <v>47196.9</v>
      </c>
      <c r="W44" s="10">
        <f>+'A) Base RI'!Q44</f>
        <v>42106.7</v>
      </c>
      <c r="X44" s="10">
        <f>+'A) Base RI'!S44</f>
        <v>11852.5</v>
      </c>
      <c r="Y44" s="405">
        <f t="shared" si="5"/>
        <v>101156.1</v>
      </c>
      <c r="Z44" s="10">
        <f>+'A) Base RI'!O44</f>
        <v>2824.35</v>
      </c>
      <c r="AA44" s="10">
        <f>'A) Base RI'!V44</f>
        <v>395</v>
      </c>
    </row>
    <row r="45" spans="1:27" x14ac:dyDescent="0.25">
      <c r="A45" s="8">
        <f>'A) Base RI'!A45</f>
        <v>5475</v>
      </c>
      <c r="B45" s="32" t="str">
        <f>'A) Base RI'!B45</f>
        <v>Chavannes-le-Veyron</v>
      </c>
      <c r="C45" s="10">
        <f>'A) Base RI'!C45+'A) Base RI'!D45</f>
        <v>255534.81</v>
      </c>
      <c r="D45" s="10">
        <f>'A) Base RI'!W45</f>
        <v>-57483.12</v>
      </c>
      <c r="E45" s="397">
        <f>'A) Base RI'!X45</f>
        <v>0</v>
      </c>
      <c r="F45" s="397">
        <f>'A) Base RI'!Y45</f>
        <v>0</v>
      </c>
      <c r="G45" s="405">
        <f t="shared" si="0"/>
        <v>198051.69</v>
      </c>
      <c r="H45" s="10">
        <f>+'A) Base RI'!E45</f>
        <v>0</v>
      </c>
      <c r="I45" s="10">
        <f>+'A) Base RI'!F45</f>
        <v>0</v>
      </c>
      <c r="J45" s="10">
        <f>+'A) Base RI'!G45+'A) Base RI'!H45+'A) Base RI'!I45</f>
        <v>-551</v>
      </c>
      <c r="K45" s="10">
        <f>+'A) Base RI'!J45</f>
        <v>0</v>
      </c>
      <c r="L45" s="10">
        <f>+'A) Base RI'!K45</f>
        <v>6656.56</v>
      </c>
      <c r="M45" s="10">
        <f>+'A) Base RI'!L45</f>
        <v>0</v>
      </c>
      <c r="N45" s="10">
        <f>+'A) Base RI'!R45</f>
        <v>7620.32</v>
      </c>
      <c r="O45" s="10">
        <f t="shared" si="1"/>
        <v>22550.3</v>
      </c>
      <c r="P45" s="10">
        <f>+'A) Base RI'!M45</f>
        <v>22550.3</v>
      </c>
      <c r="Q45" s="413">
        <f>'A) Base RI'!Z45</f>
        <v>1</v>
      </c>
      <c r="R45" s="405">
        <f t="shared" si="2"/>
        <v>234327.87</v>
      </c>
      <c r="S45" s="401">
        <f>+'A) Base RI'!U45</f>
        <v>77</v>
      </c>
      <c r="T45" s="405">
        <f t="shared" si="3"/>
        <v>211777.57</v>
      </c>
      <c r="U45" s="405">
        <f t="shared" si="4"/>
        <v>3043.2190909090909</v>
      </c>
      <c r="V45" s="10">
        <f>+'A) Base RI'!P45</f>
        <v>0</v>
      </c>
      <c r="W45" s="10">
        <f>+'A) Base RI'!Q45</f>
        <v>20647</v>
      </c>
      <c r="X45" s="10">
        <f>+'A) Base RI'!S45</f>
        <v>4993.8999999999996</v>
      </c>
      <c r="Y45" s="405">
        <f t="shared" si="5"/>
        <v>25640.9</v>
      </c>
      <c r="Z45" s="10">
        <f>+'A) Base RI'!O45</f>
        <v>0</v>
      </c>
      <c r="AA45" s="10">
        <f>'A) Base RI'!V45</f>
        <v>152</v>
      </c>
    </row>
    <row r="46" spans="1:27" x14ac:dyDescent="0.25">
      <c r="A46" s="8">
        <f>'A) Base RI'!A46</f>
        <v>5476</v>
      </c>
      <c r="B46" s="32" t="str">
        <f>'A) Base RI'!B46</f>
        <v>Chevilly</v>
      </c>
      <c r="C46" s="10">
        <f>'A) Base RI'!C46+'A) Base RI'!D46</f>
        <v>865179.5199999999</v>
      </c>
      <c r="D46" s="10">
        <f>'A) Base RI'!W46</f>
        <v>-6646.67</v>
      </c>
      <c r="E46" s="397">
        <f>'A) Base RI'!X46</f>
        <v>0</v>
      </c>
      <c r="F46" s="397">
        <f>'A) Base RI'!Y46</f>
        <v>-76.180000000000007</v>
      </c>
      <c r="G46" s="405">
        <f t="shared" si="0"/>
        <v>858456.66999999981</v>
      </c>
      <c r="H46" s="10">
        <f>+'A) Base RI'!E46</f>
        <v>0</v>
      </c>
      <c r="I46" s="10">
        <f>+'A) Base RI'!F46</f>
        <v>0</v>
      </c>
      <c r="J46" s="10">
        <f>+'A) Base RI'!G46+'A) Base RI'!H46+'A) Base RI'!I46</f>
        <v>8512.2352116027341</v>
      </c>
      <c r="K46" s="10">
        <f>+'A) Base RI'!J46</f>
        <v>0</v>
      </c>
      <c r="L46" s="10">
        <f>+'A) Base RI'!K46</f>
        <v>9859.86</v>
      </c>
      <c r="M46" s="10">
        <f>+'A) Base RI'!L46</f>
        <v>0</v>
      </c>
      <c r="N46" s="10">
        <f>+'A) Base RI'!R46</f>
        <v>-953.4</v>
      </c>
      <c r="O46" s="10">
        <f t="shared" si="1"/>
        <v>59238.7</v>
      </c>
      <c r="P46" s="10">
        <f>+'A) Base RI'!M46</f>
        <v>59238.7</v>
      </c>
      <c r="Q46" s="413">
        <f>'A) Base RI'!Z46</f>
        <v>1</v>
      </c>
      <c r="R46" s="405">
        <f t="shared" si="2"/>
        <v>935114.06521160249</v>
      </c>
      <c r="S46" s="401">
        <f>+'A) Base RI'!U46</f>
        <v>74</v>
      </c>
      <c r="T46" s="405">
        <f t="shared" si="3"/>
        <v>875875.36521160253</v>
      </c>
      <c r="U46" s="405">
        <f t="shared" si="4"/>
        <v>12636.676556913548</v>
      </c>
      <c r="V46" s="10">
        <f>+'A) Base RI'!P46</f>
        <v>0</v>
      </c>
      <c r="W46" s="10">
        <f>+'A) Base RI'!Q46</f>
        <v>0</v>
      </c>
      <c r="X46" s="10">
        <f>+'A) Base RI'!S46</f>
        <v>0</v>
      </c>
      <c r="Y46" s="405">
        <f t="shared" si="5"/>
        <v>0</v>
      </c>
      <c r="Z46" s="10">
        <f>+'A) Base RI'!O46</f>
        <v>0</v>
      </c>
      <c r="AA46" s="10">
        <f>'A) Base RI'!V46</f>
        <v>317</v>
      </c>
    </row>
    <row r="47" spans="1:27" x14ac:dyDescent="0.25">
      <c r="A47" s="8">
        <f>'A) Base RI'!A47</f>
        <v>5477</v>
      </c>
      <c r="B47" s="32" t="str">
        <f>'A) Base RI'!B47</f>
        <v>Cossonay</v>
      </c>
      <c r="C47" s="10">
        <f>'A) Base RI'!C47+'A) Base RI'!D47</f>
        <v>8848783.9000000004</v>
      </c>
      <c r="D47" s="10">
        <f>'A) Base RI'!W47</f>
        <v>-58674.95</v>
      </c>
      <c r="E47" s="397">
        <f>'A) Base RI'!X47</f>
        <v>0</v>
      </c>
      <c r="F47" s="397">
        <f>'A) Base RI'!Y47</f>
        <v>-1652.27</v>
      </c>
      <c r="G47" s="405">
        <f t="shared" si="0"/>
        <v>8788456.6800000016</v>
      </c>
      <c r="H47" s="10">
        <f>+'A) Base RI'!E47</f>
        <v>0</v>
      </c>
      <c r="I47" s="10">
        <f>+'A) Base RI'!F47</f>
        <v>0</v>
      </c>
      <c r="J47" s="10">
        <f>+'A) Base RI'!G47+'A) Base RI'!H47+'A) Base RI'!I47</f>
        <v>566476.3647251717</v>
      </c>
      <c r="K47" s="10">
        <f>+'A) Base RI'!J47</f>
        <v>0</v>
      </c>
      <c r="L47" s="10">
        <f>+'A) Base RI'!K47</f>
        <v>190554.98</v>
      </c>
      <c r="M47" s="10">
        <f>+'A) Base RI'!L47</f>
        <v>29786.65</v>
      </c>
      <c r="N47" s="10">
        <f>+'A) Base RI'!R47</f>
        <v>18381.79</v>
      </c>
      <c r="O47" s="10">
        <f t="shared" si="1"/>
        <v>651385.15</v>
      </c>
      <c r="P47" s="10">
        <f>+'A) Base RI'!M47</f>
        <v>651385.15</v>
      </c>
      <c r="Q47" s="413">
        <f>'A) Base RI'!Z47</f>
        <v>1</v>
      </c>
      <c r="R47" s="405">
        <f t="shared" si="2"/>
        <v>10245041.614725174</v>
      </c>
      <c r="S47" s="401">
        <f>+'A) Base RI'!U47</f>
        <v>71</v>
      </c>
      <c r="T47" s="405">
        <f t="shared" si="3"/>
        <v>9563869.8147251736</v>
      </c>
      <c r="U47" s="405">
        <f t="shared" si="4"/>
        <v>144296.3607707771</v>
      </c>
      <c r="V47" s="10">
        <f>+'A) Base RI'!P47</f>
        <v>2864.4</v>
      </c>
      <c r="W47" s="10">
        <f>+'A) Base RI'!Q47</f>
        <v>305863.84999999998</v>
      </c>
      <c r="X47" s="10">
        <f>+'A) Base RI'!S47</f>
        <v>158034.20000000001</v>
      </c>
      <c r="Y47" s="405">
        <f t="shared" si="5"/>
        <v>466762.45</v>
      </c>
      <c r="Z47" s="10">
        <f>+'A) Base RI'!O47</f>
        <v>71916.55</v>
      </c>
      <c r="AA47" s="10">
        <f>'A) Base RI'!V47</f>
        <v>4045</v>
      </c>
    </row>
    <row r="48" spans="1:27" x14ac:dyDescent="0.25">
      <c r="A48" s="8">
        <f>'A) Base RI'!A48</f>
        <v>5478</v>
      </c>
      <c r="B48" s="32" t="str">
        <f>'A) Base RI'!B48</f>
        <v>Cottens</v>
      </c>
      <c r="C48" s="10">
        <f>'A) Base RI'!C48+'A) Base RI'!D48</f>
        <v>1194093.67</v>
      </c>
      <c r="D48" s="10">
        <f>'A) Base RI'!W48</f>
        <v>-9840.49</v>
      </c>
      <c r="E48" s="397">
        <f>'A) Base RI'!X48</f>
        <v>0</v>
      </c>
      <c r="F48" s="397">
        <f>'A) Base RI'!Y48</f>
        <v>-1.71</v>
      </c>
      <c r="G48" s="405">
        <f t="shared" si="0"/>
        <v>1184251.47</v>
      </c>
      <c r="H48" s="10">
        <f>+'A) Base RI'!E48</f>
        <v>0</v>
      </c>
      <c r="I48" s="10">
        <f>+'A) Base RI'!F48</f>
        <v>0</v>
      </c>
      <c r="J48" s="10">
        <f>+'A) Base RI'!G48+'A) Base RI'!H48+'A) Base RI'!I48</f>
        <v>8574.0689312848408</v>
      </c>
      <c r="K48" s="10">
        <f>+'A) Base RI'!J48</f>
        <v>0</v>
      </c>
      <c r="L48" s="10">
        <f>+'A) Base RI'!K48</f>
        <v>23370.23</v>
      </c>
      <c r="M48" s="10">
        <f>+'A) Base RI'!L48</f>
        <v>250</v>
      </c>
      <c r="N48" s="10">
        <f>+'A) Base RI'!R48</f>
        <v>0</v>
      </c>
      <c r="O48" s="10">
        <f t="shared" si="1"/>
        <v>80059.25</v>
      </c>
      <c r="P48" s="10">
        <f>+'A) Base RI'!M48</f>
        <v>80059.25</v>
      </c>
      <c r="Q48" s="413">
        <f>'A) Base RI'!Z48</f>
        <v>1</v>
      </c>
      <c r="R48" s="405">
        <f t="shared" si="2"/>
        <v>1296505.0189312848</v>
      </c>
      <c r="S48" s="401">
        <f>+'A) Base RI'!U48</f>
        <v>74</v>
      </c>
      <c r="T48" s="405">
        <f t="shared" si="3"/>
        <v>1216195.7689312848</v>
      </c>
      <c r="U48" s="405">
        <f t="shared" si="4"/>
        <v>17520.338093666011</v>
      </c>
      <c r="V48" s="10">
        <f>+'A) Base RI'!P48</f>
        <v>0</v>
      </c>
      <c r="W48" s="10">
        <f>+'A) Base RI'!Q48</f>
        <v>57615.75</v>
      </c>
      <c r="X48" s="10">
        <f>+'A) Base RI'!S48</f>
        <v>47468.35</v>
      </c>
      <c r="Y48" s="405">
        <f t="shared" si="5"/>
        <v>105084.1</v>
      </c>
      <c r="Z48" s="10">
        <f>+'A) Base RI'!O48</f>
        <v>0</v>
      </c>
      <c r="AA48" s="10">
        <f>'A) Base RI'!V48</f>
        <v>487</v>
      </c>
    </row>
    <row r="49" spans="1:27" x14ac:dyDescent="0.25">
      <c r="A49" s="8">
        <f>'A) Base RI'!A49</f>
        <v>5479</v>
      </c>
      <c r="B49" s="32" t="str">
        <f>'A) Base RI'!B49</f>
        <v>Cuarnens</v>
      </c>
      <c r="C49" s="10">
        <f>'A) Base RI'!C49+'A) Base RI'!D49</f>
        <v>1051954.3600000001</v>
      </c>
      <c r="D49" s="10">
        <f>'A) Base RI'!W49</f>
        <v>-23324.34</v>
      </c>
      <c r="E49" s="397">
        <f>'A) Base RI'!X49</f>
        <v>0</v>
      </c>
      <c r="F49" s="397">
        <f>'A) Base RI'!Y49</f>
        <v>0</v>
      </c>
      <c r="G49" s="405">
        <f t="shared" si="0"/>
        <v>1028630.0200000001</v>
      </c>
      <c r="H49" s="10">
        <f>+'A) Base RI'!E49</f>
        <v>0</v>
      </c>
      <c r="I49" s="10">
        <f>+'A) Base RI'!F49</f>
        <v>0</v>
      </c>
      <c r="J49" s="10">
        <f>+'A) Base RI'!G49+'A) Base RI'!H49+'A) Base RI'!I49</f>
        <v>7621.908632858821</v>
      </c>
      <c r="K49" s="10">
        <f>+'A) Base RI'!J49</f>
        <v>202768</v>
      </c>
      <c r="L49" s="10">
        <f>+'A) Base RI'!K49</f>
        <v>6401.87</v>
      </c>
      <c r="M49" s="10">
        <f>+'A) Base RI'!L49</f>
        <v>1768</v>
      </c>
      <c r="N49" s="10">
        <f>+'A) Base RI'!R49</f>
        <v>875.68</v>
      </c>
      <c r="O49" s="10">
        <f t="shared" si="1"/>
        <v>81992.649999999994</v>
      </c>
      <c r="P49" s="10">
        <f>+'A) Base RI'!M49</f>
        <v>81992.649999999994</v>
      </c>
      <c r="Q49" s="413">
        <f>'A) Base RI'!Z49</f>
        <v>1</v>
      </c>
      <c r="R49" s="405">
        <f t="shared" si="2"/>
        <v>1330058.1286328589</v>
      </c>
      <c r="S49" s="401">
        <f>+'A) Base RI'!U49</f>
        <v>77</v>
      </c>
      <c r="T49" s="405">
        <f t="shared" si="3"/>
        <v>1246297.478632859</v>
      </c>
      <c r="U49" s="405">
        <f t="shared" si="4"/>
        <v>17273.482190037128</v>
      </c>
      <c r="V49" s="10">
        <f>+'A) Base RI'!P49</f>
        <v>12338.1</v>
      </c>
      <c r="W49" s="10">
        <f>+'A) Base RI'!Q49</f>
        <v>49843.05</v>
      </c>
      <c r="X49" s="10">
        <f>+'A) Base RI'!S49</f>
        <v>-16270.85</v>
      </c>
      <c r="Y49" s="405">
        <f t="shared" si="5"/>
        <v>45910.3</v>
      </c>
      <c r="Z49" s="10">
        <f>+'A) Base RI'!O49</f>
        <v>6580.5</v>
      </c>
      <c r="AA49" s="10">
        <f>'A) Base RI'!V49</f>
        <v>486</v>
      </c>
    </row>
    <row r="50" spans="1:27" x14ac:dyDescent="0.25">
      <c r="A50" s="8">
        <f>'A) Base RI'!A50</f>
        <v>5480</v>
      </c>
      <c r="B50" s="32" t="str">
        <f>'A) Base RI'!B50</f>
        <v>Daillens</v>
      </c>
      <c r="C50" s="10">
        <f>'A) Base RI'!C50+'A) Base RI'!D50</f>
        <v>2380764.6999999997</v>
      </c>
      <c r="D50" s="10">
        <f>'A) Base RI'!W50</f>
        <v>-11703.86</v>
      </c>
      <c r="E50" s="397">
        <f>'A) Base RI'!X50</f>
        <v>0</v>
      </c>
      <c r="F50" s="397">
        <f>'A) Base RI'!Y50</f>
        <v>-4766.63</v>
      </c>
      <c r="G50" s="405">
        <f t="shared" si="0"/>
        <v>2364294.21</v>
      </c>
      <c r="H50" s="10">
        <f>+'A) Base RI'!E50</f>
        <v>0</v>
      </c>
      <c r="I50" s="10">
        <f>+'A) Base RI'!F50</f>
        <v>0</v>
      </c>
      <c r="J50" s="10">
        <f>+'A) Base RI'!G50+'A) Base RI'!H50+'A) Base RI'!I50</f>
        <v>-31033.75</v>
      </c>
      <c r="K50" s="10">
        <f>+'A) Base RI'!J50</f>
        <v>0</v>
      </c>
      <c r="L50" s="10">
        <f>+'A) Base RI'!K50</f>
        <v>25542.68</v>
      </c>
      <c r="M50" s="10">
        <f>+'A) Base RI'!L50</f>
        <v>-23704.85</v>
      </c>
      <c r="N50" s="10">
        <f>+'A) Base RI'!R50</f>
        <v>18225.18</v>
      </c>
      <c r="O50" s="10">
        <f t="shared" si="1"/>
        <v>301260.91666666669</v>
      </c>
      <c r="P50" s="10">
        <f>+'A) Base RI'!M50</f>
        <v>361513.1</v>
      </c>
      <c r="Q50" s="413">
        <f>'A) Base RI'!Z50</f>
        <v>1.2</v>
      </c>
      <c r="R50" s="405">
        <f t="shared" si="2"/>
        <v>2654584.3866666667</v>
      </c>
      <c r="S50" s="401">
        <f>+'A) Base RI'!U50</f>
        <v>66</v>
      </c>
      <c r="T50" s="405">
        <f t="shared" si="3"/>
        <v>2377028.3200000003</v>
      </c>
      <c r="U50" s="405">
        <f t="shared" si="4"/>
        <v>40220.975555555553</v>
      </c>
      <c r="V50" s="10">
        <f>+'A) Base RI'!P50</f>
        <v>0</v>
      </c>
      <c r="W50" s="10">
        <f>+'A) Base RI'!Q50</f>
        <v>51315</v>
      </c>
      <c r="X50" s="10">
        <f>+'A) Base RI'!S50</f>
        <v>83477.55</v>
      </c>
      <c r="Y50" s="405">
        <f t="shared" si="5"/>
        <v>134792.54999999999</v>
      </c>
      <c r="Z50" s="10">
        <f>+'A) Base RI'!O50</f>
        <v>124620.8</v>
      </c>
      <c r="AA50" s="10">
        <f>'A) Base RI'!V50</f>
        <v>1034</v>
      </c>
    </row>
    <row r="51" spans="1:27" x14ac:dyDescent="0.25">
      <c r="A51" s="8">
        <f>'A) Base RI'!A51</f>
        <v>5481</v>
      </c>
      <c r="B51" s="32" t="str">
        <f>'A) Base RI'!B51</f>
        <v>Dizy</v>
      </c>
      <c r="C51" s="10">
        <f>'A) Base RI'!C51+'A) Base RI'!D51</f>
        <v>665726.70000000007</v>
      </c>
      <c r="D51" s="10">
        <f>'A) Base RI'!W51</f>
        <v>-3961.46</v>
      </c>
      <c r="E51" s="397">
        <f>'A) Base RI'!X51</f>
        <v>0</v>
      </c>
      <c r="F51" s="397">
        <f>'A) Base RI'!Y51</f>
        <v>0</v>
      </c>
      <c r="G51" s="405">
        <f t="shared" si="0"/>
        <v>661765.24000000011</v>
      </c>
      <c r="H51" s="10">
        <f>+'A) Base RI'!E51</f>
        <v>0</v>
      </c>
      <c r="I51" s="10">
        <f>+'A) Base RI'!F51</f>
        <v>0</v>
      </c>
      <c r="J51" s="10">
        <f>+'A) Base RI'!G51+'A) Base RI'!H51+'A) Base RI'!I51</f>
        <v>56912.410039889517</v>
      </c>
      <c r="K51" s="10">
        <f>+'A) Base RI'!J51</f>
        <v>0</v>
      </c>
      <c r="L51" s="10">
        <f>+'A) Base RI'!K51</f>
        <v>9876.1200000000008</v>
      </c>
      <c r="M51" s="10">
        <f>+'A) Base RI'!L51</f>
        <v>0</v>
      </c>
      <c r="N51" s="10">
        <f>+'A) Base RI'!R51</f>
        <v>1558.25</v>
      </c>
      <c r="O51" s="10">
        <f t="shared" si="1"/>
        <v>36349.65</v>
      </c>
      <c r="P51" s="10">
        <f>+'A) Base RI'!M51</f>
        <v>36349.65</v>
      </c>
      <c r="Q51" s="413">
        <f>'A) Base RI'!Z51</f>
        <v>1</v>
      </c>
      <c r="R51" s="405">
        <f t="shared" si="2"/>
        <v>766461.67003988964</v>
      </c>
      <c r="S51" s="401">
        <f>+'A) Base RI'!U51</f>
        <v>79</v>
      </c>
      <c r="T51" s="405">
        <f t="shared" si="3"/>
        <v>730112.02003988961</v>
      </c>
      <c r="U51" s="405">
        <f t="shared" si="4"/>
        <v>9702.0464562011348</v>
      </c>
      <c r="V51" s="10">
        <f>+'A) Base RI'!P51</f>
        <v>0</v>
      </c>
      <c r="W51" s="10">
        <f>+'A) Base RI'!Q51</f>
        <v>135.65</v>
      </c>
      <c r="X51" s="10">
        <f>+'A) Base RI'!S51</f>
        <v>0</v>
      </c>
      <c r="Y51" s="405">
        <f t="shared" si="5"/>
        <v>135.65</v>
      </c>
      <c r="Z51" s="10">
        <f>+'A) Base RI'!O51</f>
        <v>0</v>
      </c>
      <c r="AA51" s="10">
        <f>'A) Base RI'!V51</f>
        <v>234</v>
      </c>
    </row>
    <row r="52" spans="1:27" x14ac:dyDescent="0.25">
      <c r="A52" s="8">
        <f>'A) Base RI'!A52</f>
        <v>5482</v>
      </c>
      <c r="B52" s="32" t="str">
        <f>'A) Base RI'!B52</f>
        <v>Eclépens</v>
      </c>
      <c r="C52" s="10">
        <f>'A) Base RI'!C52+'A) Base RI'!D52</f>
        <v>1604683.81</v>
      </c>
      <c r="D52" s="10">
        <f>'A) Base RI'!W52</f>
        <v>-9374.34</v>
      </c>
      <c r="E52" s="397">
        <f>'A) Base RI'!X52</f>
        <v>0</v>
      </c>
      <c r="F52" s="397">
        <f>'A) Base RI'!Y52</f>
        <v>-368.21</v>
      </c>
      <c r="G52" s="405">
        <f t="shared" si="0"/>
        <v>1594941.26</v>
      </c>
      <c r="H52" s="10">
        <f>+'A) Base RI'!E52</f>
        <v>0</v>
      </c>
      <c r="I52" s="10">
        <f>+'A) Base RI'!F52</f>
        <v>0</v>
      </c>
      <c r="J52" s="10">
        <f>+'A) Base RI'!G52+'A) Base RI'!H52+'A) Base RI'!I52</f>
        <v>584030.03249383159</v>
      </c>
      <c r="K52" s="10">
        <f>+'A) Base RI'!J52</f>
        <v>0</v>
      </c>
      <c r="L52" s="10">
        <f>+'A) Base RI'!K52</f>
        <v>125724.95</v>
      </c>
      <c r="M52" s="10">
        <f>+'A) Base RI'!L52</f>
        <v>44205.9</v>
      </c>
      <c r="N52" s="10">
        <f>+'A) Base RI'!R52</f>
        <v>3492.72</v>
      </c>
      <c r="O52" s="10">
        <f t="shared" si="1"/>
        <v>425425.95</v>
      </c>
      <c r="P52" s="10">
        <f>+'A) Base RI'!M52</f>
        <v>425425.95</v>
      </c>
      <c r="Q52" s="413">
        <f>'A) Base RI'!Z52</f>
        <v>1</v>
      </c>
      <c r="R52" s="405">
        <f t="shared" si="2"/>
        <v>2777820.8124938319</v>
      </c>
      <c r="S52" s="401">
        <f>+'A) Base RI'!U52</f>
        <v>46</v>
      </c>
      <c r="T52" s="405">
        <f t="shared" si="3"/>
        <v>2308188.9624938318</v>
      </c>
      <c r="U52" s="405">
        <f t="shared" si="4"/>
        <v>60387.408967257215</v>
      </c>
      <c r="V52" s="10">
        <f>+'A) Base RI'!P52</f>
        <v>38895.4</v>
      </c>
      <c r="W52" s="10">
        <f>+'A) Base RI'!Q52</f>
        <v>38336.75</v>
      </c>
      <c r="X52" s="10">
        <f>+'A) Base RI'!S52</f>
        <v>28800.15</v>
      </c>
      <c r="Y52" s="405">
        <f t="shared" si="5"/>
        <v>106032.29999999999</v>
      </c>
      <c r="Z52" s="10">
        <f>+'A) Base RI'!O52</f>
        <v>339856.8</v>
      </c>
      <c r="AA52" s="10">
        <f>'A) Base RI'!V52</f>
        <v>1222</v>
      </c>
    </row>
    <row r="53" spans="1:27" x14ac:dyDescent="0.25">
      <c r="A53" s="8">
        <f>'A) Base RI'!A53</f>
        <v>5483</v>
      </c>
      <c r="B53" s="32" t="str">
        <f>'A) Base RI'!B53</f>
        <v>Ferreyres</v>
      </c>
      <c r="C53" s="10">
        <f>'A) Base RI'!C53+'A) Base RI'!D53</f>
        <v>779503.91</v>
      </c>
      <c r="D53" s="10">
        <f>'A) Base RI'!W53</f>
        <v>384.11</v>
      </c>
      <c r="E53" s="397">
        <f>'A) Base RI'!X53</f>
        <v>0</v>
      </c>
      <c r="F53" s="397">
        <f>'A) Base RI'!Y53</f>
        <v>0</v>
      </c>
      <c r="G53" s="405">
        <f t="shared" si="0"/>
        <v>779888.02</v>
      </c>
      <c r="H53" s="10">
        <f>+'A) Base RI'!E53</f>
        <v>0</v>
      </c>
      <c r="I53" s="10">
        <f>+'A) Base RI'!F53</f>
        <v>0</v>
      </c>
      <c r="J53" s="10">
        <f>+'A) Base RI'!G53+'A) Base RI'!H53+'A) Base RI'!I53</f>
        <v>8995.3957730603634</v>
      </c>
      <c r="K53" s="10">
        <f>+'A) Base RI'!J53</f>
        <v>0</v>
      </c>
      <c r="L53" s="10">
        <f>+'A) Base RI'!K53</f>
        <v>5010.99</v>
      </c>
      <c r="M53" s="10">
        <f>+'A) Base RI'!L53</f>
        <v>0</v>
      </c>
      <c r="N53" s="10">
        <f>+'A) Base RI'!R53</f>
        <v>0</v>
      </c>
      <c r="O53" s="10">
        <f t="shared" si="1"/>
        <v>53939.15</v>
      </c>
      <c r="P53" s="10">
        <f>+'A) Base RI'!M53</f>
        <v>53939.15</v>
      </c>
      <c r="Q53" s="413">
        <f>'A) Base RI'!Z53</f>
        <v>1</v>
      </c>
      <c r="R53" s="405">
        <f t="shared" si="2"/>
        <v>847833.55577306042</v>
      </c>
      <c r="S53" s="401">
        <f>+'A) Base RI'!U53</f>
        <v>76</v>
      </c>
      <c r="T53" s="405">
        <f t="shared" si="3"/>
        <v>793894.4057730604</v>
      </c>
      <c r="U53" s="405">
        <f t="shared" si="4"/>
        <v>11155.704681224479</v>
      </c>
      <c r="V53" s="10">
        <f>+'A) Base RI'!P53</f>
        <v>0</v>
      </c>
      <c r="W53" s="10">
        <f>+'A) Base RI'!Q53</f>
        <v>-4070.4</v>
      </c>
      <c r="X53" s="10">
        <f>+'A) Base RI'!S53</f>
        <v>63917.7</v>
      </c>
      <c r="Y53" s="405">
        <f t="shared" si="5"/>
        <v>59847.299999999996</v>
      </c>
      <c r="Z53" s="10">
        <f>+'A) Base RI'!O53</f>
        <v>0</v>
      </c>
      <c r="AA53" s="10">
        <f>'A) Base RI'!V53</f>
        <v>320</v>
      </c>
    </row>
    <row r="54" spans="1:27" x14ac:dyDescent="0.25">
      <c r="A54" s="8">
        <f>'A) Base RI'!A54</f>
        <v>5484</v>
      </c>
      <c r="B54" s="32" t="str">
        <f>'A) Base RI'!B54</f>
        <v>Gollion</v>
      </c>
      <c r="C54" s="10">
        <f>'A) Base RI'!C54+'A) Base RI'!D54</f>
        <v>2312003.08</v>
      </c>
      <c r="D54" s="10">
        <f>'A) Base RI'!W54</f>
        <v>-47868.38</v>
      </c>
      <c r="E54" s="397">
        <f>'A) Base RI'!X54</f>
        <v>0</v>
      </c>
      <c r="F54" s="397">
        <f>'A) Base RI'!Y54</f>
        <v>-124.71</v>
      </c>
      <c r="G54" s="405">
        <f t="shared" si="0"/>
        <v>2264009.9900000002</v>
      </c>
      <c r="H54" s="10">
        <f>+'A) Base RI'!E54</f>
        <v>0</v>
      </c>
      <c r="I54" s="10">
        <f>+'A) Base RI'!F54</f>
        <v>0</v>
      </c>
      <c r="J54" s="10">
        <f>+'A) Base RI'!G54+'A) Base RI'!H54+'A) Base RI'!I54</f>
        <v>9337.286595390251</v>
      </c>
      <c r="K54" s="10">
        <f>+'A) Base RI'!J54</f>
        <v>0</v>
      </c>
      <c r="L54" s="10">
        <f>+'A) Base RI'!K54</f>
        <v>34740.699999999997</v>
      </c>
      <c r="M54" s="10">
        <f>+'A) Base RI'!L54</f>
        <v>7312.15</v>
      </c>
      <c r="N54" s="10">
        <f>+'A) Base RI'!R54</f>
        <v>7285.35</v>
      </c>
      <c r="O54" s="10">
        <f t="shared" si="1"/>
        <v>175766.3</v>
      </c>
      <c r="P54" s="10">
        <f>+'A) Base RI'!M54</f>
        <v>175766.3</v>
      </c>
      <c r="Q54" s="413">
        <f>'A) Base RI'!Z54</f>
        <v>1</v>
      </c>
      <c r="R54" s="405">
        <f t="shared" si="2"/>
        <v>2498451.7765953904</v>
      </c>
      <c r="S54" s="401">
        <f>+'A) Base RI'!U54</f>
        <v>74</v>
      </c>
      <c r="T54" s="405">
        <f t="shared" si="3"/>
        <v>2315373.3265953907</v>
      </c>
      <c r="U54" s="405">
        <f t="shared" si="4"/>
        <v>33762.861845883657</v>
      </c>
      <c r="V54" s="10">
        <f>+'A) Base RI'!P54</f>
        <v>1445.9</v>
      </c>
      <c r="W54" s="10">
        <f>+'A) Base RI'!Q54</f>
        <v>154587</v>
      </c>
      <c r="X54" s="10">
        <f>+'A) Base RI'!S54</f>
        <v>115139.95</v>
      </c>
      <c r="Y54" s="405">
        <f t="shared" si="5"/>
        <v>271172.84999999998</v>
      </c>
      <c r="Z54" s="10">
        <f>+'A) Base RI'!O54</f>
        <v>16240.15</v>
      </c>
      <c r="AA54" s="10">
        <f>'A) Base RI'!V54</f>
        <v>939</v>
      </c>
    </row>
    <row r="55" spans="1:27" x14ac:dyDescent="0.25">
      <c r="A55" s="8">
        <f>'A) Base RI'!A55</f>
        <v>5485</v>
      </c>
      <c r="B55" s="32" t="str">
        <f>'A) Base RI'!B55</f>
        <v>Grancy</v>
      </c>
      <c r="C55" s="10">
        <f>'A) Base RI'!C55+'A) Base RI'!D55</f>
        <v>1104607.25</v>
      </c>
      <c r="D55" s="10">
        <f>'A) Base RI'!W55</f>
        <v>-9583.86</v>
      </c>
      <c r="E55" s="397">
        <f>'A) Base RI'!X55</f>
        <v>0</v>
      </c>
      <c r="F55" s="397">
        <f>'A) Base RI'!Y55</f>
        <v>-345.3</v>
      </c>
      <c r="G55" s="405">
        <f t="shared" si="0"/>
        <v>1094678.0899999999</v>
      </c>
      <c r="H55" s="10">
        <f>+'A) Base RI'!E55</f>
        <v>0</v>
      </c>
      <c r="I55" s="10">
        <f>+'A) Base RI'!F55</f>
        <v>0</v>
      </c>
      <c r="J55" s="10">
        <f>+'A) Base RI'!G55+'A) Base RI'!H55+'A) Base RI'!I55</f>
        <v>5426.5859136342406</v>
      </c>
      <c r="K55" s="10">
        <f>+'A) Base RI'!J55</f>
        <v>0</v>
      </c>
      <c r="L55" s="10">
        <f>+'A) Base RI'!K55</f>
        <v>10419.08</v>
      </c>
      <c r="M55" s="10">
        <f>+'A) Base RI'!L55</f>
        <v>0</v>
      </c>
      <c r="N55" s="10">
        <f>+'A) Base RI'!R55</f>
        <v>0</v>
      </c>
      <c r="O55" s="10">
        <f t="shared" si="1"/>
        <v>73462.850000000006</v>
      </c>
      <c r="P55" s="10">
        <f>+'A) Base RI'!M55</f>
        <v>73462.850000000006</v>
      </c>
      <c r="Q55" s="413">
        <f>'A) Base RI'!Z55</f>
        <v>1</v>
      </c>
      <c r="R55" s="405">
        <f t="shared" si="2"/>
        <v>1183986.6059136342</v>
      </c>
      <c r="S55" s="401">
        <f>+'A) Base RI'!U55</f>
        <v>70</v>
      </c>
      <c r="T55" s="405">
        <f t="shared" si="3"/>
        <v>1110523.7559136341</v>
      </c>
      <c r="U55" s="405">
        <f t="shared" si="4"/>
        <v>16914.094370194773</v>
      </c>
      <c r="V55" s="10">
        <f>+'A) Base RI'!P55</f>
        <v>19303.900000000001</v>
      </c>
      <c r="W55" s="10">
        <f>+'A) Base RI'!Q55</f>
        <v>53043.35</v>
      </c>
      <c r="X55" s="10">
        <f>+'A) Base RI'!S55</f>
        <v>12904.55</v>
      </c>
      <c r="Y55" s="405">
        <f t="shared" si="5"/>
        <v>85251.8</v>
      </c>
      <c r="Z55" s="10">
        <f>+'A) Base RI'!O55</f>
        <v>6450.2</v>
      </c>
      <c r="AA55" s="10">
        <f>'A) Base RI'!V55</f>
        <v>397</v>
      </c>
    </row>
    <row r="56" spans="1:27" x14ac:dyDescent="0.25">
      <c r="A56" s="8">
        <f>'A) Base RI'!A56</f>
        <v>5486</v>
      </c>
      <c r="B56" s="32" t="str">
        <f>'A) Base RI'!B56</f>
        <v>L'Isle</v>
      </c>
      <c r="C56" s="10">
        <f>'A) Base RI'!C56+'A) Base RI'!D56</f>
        <v>2297233.77</v>
      </c>
      <c r="D56" s="10">
        <f>'A) Base RI'!W56</f>
        <v>-22295.27</v>
      </c>
      <c r="E56" s="397">
        <f>'A) Base RI'!X56</f>
        <v>0</v>
      </c>
      <c r="F56" s="397">
        <f>'A) Base RI'!Y56</f>
        <v>-195.17</v>
      </c>
      <c r="G56" s="405">
        <f t="shared" si="0"/>
        <v>2274743.33</v>
      </c>
      <c r="H56" s="10">
        <f>+'A) Base RI'!E56</f>
        <v>0</v>
      </c>
      <c r="I56" s="10">
        <f>+'A) Base RI'!F56</f>
        <v>0</v>
      </c>
      <c r="J56" s="10">
        <f>+'A) Base RI'!G56+'A) Base RI'!H56+'A) Base RI'!I56</f>
        <v>187780.99537146094</v>
      </c>
      <c r="K56" s="10">
        <f>+'A) Base RI'!J56</f>
        <v>34900.199999999997</v>
      </c>
      <c r="L56" s="10">
        <f>+'A) Base RI'!K56</f>
        <v>19241.990000000002</v>
      </c>
      <c r="M56" s="10">
        <f>+'A) Base RI'!L56</f>
        <v>7888.8</v>
      </c>
      <c r="N56" s="10">
        <f>+'A) Base RI'!R56</f>
        <v>10598.58</v>
      </c>
      <c r="O56" s="10">
        <f t="shared" si="1"/>
        <v>182570.75</v>
      </c>
      <c r="P56" s="10">
        <f>+'A) Base RI'!M56</f>
        <v>182570.75</v>
      </c>
      <c r="Q56" s="413">
        <f>'A) Base RI'!Z56</f>
        <v>1</v>
      </c>
      <c r="R56" s="405">
        <f t="shared" si="2"/>
        <v>2717724.6453714613</v>
      </c>
      <c r="S56" s="401">
        <f>+'A) Base RI'!U56</f>
        <v>76</v>
      </c>
      <c r="T56" s="405">
        <f t="shared" si="3"/>
        <v>2527265.0953714615</v>
      </c>
      <c r="U56" s="405">
        <f t="shared" si="4"/>
        <v>35759.534807519231</v>
      </c>
      <c r="V56" s="10">
        <f>+'A) Base RI'!P56</f>
        <v>258862.5</v>
      </c>
      <c r="W56" s="10">
        <f>+'A) Base RI'!Q56</f>
        <v>159535.70000000001</v>
      </c>
      <c r="X56" s="10">
        <f>+'A) Base RI'!S56</f>
        <v>189195.6</v>
      </c>
      <c r="Y56" s="405">
        <f t="shared" si="5"/>
        <v>607593.80000000005</v>
      </c>
      <c r="Z56" s="10">
        <f>+'A) Base RI'!O56</f>
        <v>53112.2</v>
      </c>
      <c r="AA56" s="10">
        <f>'A) Base RI'!V56</f>
        <v>1011</v>
      </c>
    </row>
    <row r="57" spans="1:27" x14ac:dyDescent="0.25">
      <c r="A57" s="8">
        <f>'A) Base RI'!A57</f>
        <v>5487</v>
      </c>
      <c r="B57" s="32" t="str">
        <f>'A) Base RI'!B57</f>
        <v>Lussery-Villars</v>
      </c>
      <c r="C57" s="10">
        <f>'A) Base RI'!C57+'A) Base RI'!D57</f>
        <v>1085238.5799999998</v>
      </c>
      <c r="D57" s="10">
        <f>'A) Base RI'!W57</f>
        <v>-8785.9699999999993</v>
      </c>
      <c r="E57" s="397">
        <f>'A) Base RI'!X57</f>
        <v>0</v>
      </c>
      <c r="F57" s="397">
        <f>'A) Base RI'!Y57</f>
        <v>-62.59</v>
      </c>
      <c r="G57" s="405">
        <f t="shared" si="0"/>
        <v>1076390.0199999998</v>
      </c>
      <c r="H57" s="10">
        <f>+'A) Base RI'!E57</f>
        <v>0</v>
      </c>
      <c r="I57" s="10">
        <f>+'A) Base RI'!F57</f>
        <v>0</v>
      </c>
      <c r="J57" s="10">
        <f>+'A) Base RI'!G57+'A) Base RI'!H57+'A) Base RI'!I57</f>
        <v>4001.0817209263996</v>
      </c>
      <c r="K57" s="10">
        <f>+'A) Base RI'!J57</f>
        <v>0</v>
      </c>
      <c r="L57" s="10">
        <f>+'A) Base RI'!K57</f>
        <v>4292.26</v>
      </c>
      <c r="M57" s="10">
        <f>+'A) Base RI'!L57</f>
        <v>992.5</v>
      </c>
      <c r="N57" s="10">
        <f>+'A) Base RI'!R57</f>
        <v>0</v>
      </c>
      <c r="O57" s="10">
        <f t="shared" si="1"/>
        <v>76437.8</v>
      </c>
      <c r="P57" s="10">
        <f>+'A) Base RI'!M57</f>
        <v>76437.8</v>
      </c>
      <c r="Q57" s="413">
        <f>'A) Base RI'!Z57</f>
        <v>1</v>
      </c>
      <c r="R57" s="405">
        <f t="shared" si="2"/>
        <v>1162113.6617209262</v>
      </c>
      <c r="S57" s="401">
        <f>+'A) Base RI'!U57</f>
        <v>75</v>
      </c>
      <c r="T57" s="405">
        <f t="shared" si="3"/>
        <v>1084683.3617209261</v>
      </c>
      <c r="U57" s="405">
        <f t="shared" si="4"/>
        <v>15494.848822945682</v>
      </c>
      <c r="V57" s="10">
        <f>+'A) Base RI'!P57</f>
        <v>32528.6</v>
      </c>
      <c r="W57" s="10">
        <f>+'A) Base RI'!Q57</f>
        <v>31405</v>
      </c>
      <c r="X57" s="10">
        <f>+'A) Base RI'!S57</f>
        <v>6280.05</v>
      </c>
      <c r="Y57" s="405">
        <f t="shared" si="5"/>
        <v>70213.649999999994</v>
      </c>
      <c r="Z57" s="10">
        <f>+'A) Base RI'!O57</f>
        <v>0</v>
      </c>
      <c r="AA57" s="10">
        <f>'A) Base RI'!V57</f>
        <v>459</v>
      </c>
    </row>
    <row r="58" spans="1:27" x14ac:dyDescent="0.25">
      <c r="A58" s="8">
        <f>'A) Base RI'!A58</f>
        <v>5488</v>
      </c>
      <c r="B58" s="32" t="str">
        <f>'A) Base RI'!B58</f>
        <v>Mauraz</v>
      </c>
      <c r="C58" s="10">
        <f>'A) Base RI'!C58+'A) Base RI'!D58</f>
        <v>130089.82</v>
      </c>
      <c r="D58" s="10">
        <f>'A) Base RI'!W58</f>
        <v>-1830.47</v>
      </c>
      <c r="E58" s="397">
        <f>'A) Base RI'!X58</f>
        <v>0</v>
      </c>
      <c r="F58" s="397">
        <f>'A) Base RI'!Y58</f>
        <v>0</v>
      </c>
      <c r="G58" s="405">
        <f t="shared" si="0"/>
        <v>128259.35</v>
      </c>
      <c r="H58" s="10">
        <f>+'A) Base RI'!E58</f>
        <v>0</v>
      </c>
      <c r="I58" s="10">
        <f>+'A) Base RI'!F58</f>
        <v>0</v>
      </c>
      <c r="J58" s="10">
        <f>+'A) Base RI'!G58+'A) Base RI'!H58+'A) Base RI'!I58</f>
        <v>-153.44999999999999</v>
      </c>
      <c r="K58" s="10">
        <f>+'A) Base RI'!J58</f>
        <v>0</v>
      </c>
      <c r="L58" s="10">
        <f>+'A) Base RI'!K58</f>
        <v>15.8</v>
      </c>
      <c r="M58" s="10">
        <f>+'A) Base RI'!L58</f>
        <v>0</v>
      </c>
      <c r="N58" s="10">
        <f>+'A) Base RI'!R58</f>
        <v>0</v>
      </c>
      <c r="O58" s="10">
        <f t="shared" si="1"/>
        <v>8426</v>
      </c>
      <c r="P58" s="10">
        <f>+'A) Base RI'!M58</f>
        <v>8426</v>
      </c>
      <c r="Q58" s="413">
        <f>'A) Base RI'!Z58</f>
        <v>1</v>
      </c>
      <c r="R58" s="405">
        <f t="shared" si="2"/>
        <v>136547.70000000001</v>
      </c>
      <c r="S58" s="401">
        <f>+'A) Base RI'!U58</f>
        <v>78</v>
      </c>
      <c r="T58" s="405">
        <f t="shared" si="3"/>
        <v>128121.70000000001</v>
      </c>
      <c r="U58" s="405">
        <f t="shared" si="4"/>
        <v>1750.6115384615387</v>
      </c>
      <c r="V58" s="10">
        <f>+'A) Base RI'!P58</f>
        <v>0</v>
      </c>
      <c r="W58" s="10">
        <f>+'A) Base RI'!Q58</f>
        <v>0</v>
      </c>
      <c r="X58" s="10">
        <f>+'A) Base RI'!S58</f>
        <v>0</v>
      </c>
      <c r="Y58" s="405">
        <f t="shared" si="5"/>
        <v>0</v>
      </c>
      <c r="Z58" s="10">
        <f>+'A) Base RI'!O58</f>
        <v>0</v>
      </c>
      <c r="AA58" s="10">
        <f>'A) Base RI'!V58</f>
        <v>57</v>
      </c>
    </row>
    <row r="59" spans="1:27" x14ac:dyDescent="0.25">
      <c r="A59" s="8">
        <f>'A) Base RI'!A59</f>
        <v>5489</v>
      </c>
      <c r="B59" s="32" t="str">
        <f>'A) Base RI'!B59</f>
        <v>Mex</v>
      </c>
      <c r="C59" s="10">
        <f>'A) Base RI'!C59+'A) Base RI'!D59</f>
        <v>2378028.14</v>
      </c>
      <c r="D59" s="10">
        <f>'A) Base RI'!W59</f>
        <v>-13158.24</v>
      </c>
      <c r="E59" s="397">
        <f>'A) Base RI'!X59</f>
        <v>0</v>
      </c>
      <c r="F59" s="397">
        <f>'A) Base RI'!Y59</f>
        <v>-1021.17</v>
      </c>
      <c r="G59" s="405">
        <f t="shared" si="0"/>
        <v>2363848.73</v>
      </c>
      <c r="H59" s="10">
        <f>+'A) Base RI'!E59</f>
        <v>0</v>
      </c>
      <c r="I59" s="10">
        <f>+'A) Base RI'!F59</f>
        <v>0</v>
      </c>
      <c r="J59" s="10">
        <f>+'A) Base RI'!G59+'A) Base RI'!H59+'A) Base RI'!I59</f>
        <v>1106845.1261198015</v>
      </c>
      <c r="K59" s="10">
        <f>+'A) Base RI'!J59</f>
        <v>0</v>
      </c>
      <c r="L59" s="10">
        <f>+'A) Base RI'!K59</f>
        <v>107093.58</v>
      </c>
      <c r="M59" s="10">
        <f>+'A) Base RI'!L59</f>
        <v>6591.5</v>
      </c>
      <c r="N59" s="10">
        <f>+'A) Base RI'!R59</f>
        <v>2220.9499999999998</v>
      </c>
      <c r="O59" s="10">
        <f t="shared" si="1"/>
        <v>285308.75</v>
      </c>
      <c r="P59" s="10">
        <f>+'A) Base RI'!M59</f>
        <v>285308.75</v>
      </c>
      <c r="Q59" s="413">
        <f>'A) Base RI'!Z59</f>
        <v>1</v>
      </c>
      <c r="R59" s="405">
        <f t="shared" si="2"/>
        <v>3871908.6361198016</v>
      </c>
      <c r="S59" s="401">
        <f>+'A) Base RI'!U59</f>
        <v>61</v>
      </c>
      <c r="T59" s="405">
        <f t="shared" si="3"/>
        <v>3580008.3861198016</v>
      </c>
      <c r="U59" s="405">
        <f t="shared" si="4"/>
        <v>63473.912067537727</v>
      </c>
      <c r="V59" s="10">
        <f>+'A) Base RI'!P59</f>
        <v>0</v>
      </c>
      <c r="W59" s="10">
        <f>+'A) Base RI'!Q59</f>
        <v>45107.35</v>
      </c>
      <c r="X59" s="10">
        <f>+'A) Base RI'!S59</f>
        <v>26931.7</v>
      </c>
      <c r="Y59" s="405">
        <f t="shared" si="5"/>
        <v>72039.05</v>
      </c>
      <c r="Z59" s="10">
        <f>+'A) Base RI'!O59</f>
        <v>144968</v>
      </c>
      <c r="AA59" s="10">
        <f>'A) Base RI'!V59</f>
        <v>718</v>
      </c>
    </row>
    <row r="60" spans="1:27" x14ac:dyDescent="0.25">
      <c r="A60" s="8">
        <f>'A) Base RI'!A60</f>
        <v>5490</v>
      </c>
      <c r="B60" s="32" t="str">
        <f>'A) Base RI'!B60</f>
        <v>Moiry</v>
      </c>
      <c r="C60" s="10">
        <f>'A) Base RI'!C60+'A) Base RI'!D60</f>
        <v>615796.33000000019</v>
      </c>
      <c r="D60" s="10">
        <f>'A) Base RI'!W60</f>
        <v>-23373.06</v>
      </c>
      <c r="E60" s="397">
        <f>'A) Base RI'!X60</f>
        <v>0</v>
      </c>
      <c r="F60" s="397">
        <f>'A) Base RI'!Y60</f>
        <v>-714.55</v>
      </c>
      <c r="G60" s="405">
        <f t="shared" si="0"/>
        <v>591708.72000000009</v>
      </c>
      <c r="H60" s="10">
        <f>+'A) Base RI'!E60</f>
        <v>0</v>
      </c>
      <c r="I60" s="10">
        <f>+'A) Base RI'!F60</f>
        <v>0</v>
      </c>
      <c r="J60" s="10">
        <f>+'A) Base RI'!G60+'A) Base RI'!H60+'A) Base RI'!I60</f>
        <v>1705.617712983078</v>
      </c>
      <c r="K60" s="10">
        <f>+'A) Base RI'!J60</f>
        <v>0</v>
      </c>
      <c r="L60" s="10">
        <f>+'A) Base RI'!K60</f>
        <v>3922.89</v>
      </c>
      <c r="M60" s="10">
        <f>+'A) Base RI'!L60</f>
        <v>0</v>
      </c>
      <c r="N60" s="10">
        <f>+'A) Base RI'!R60</f>
        <v>12153.32</v>
      </c>
      <c r="O60" s="10">
        <f t="shared" si="1"/>
        <v>45067.25</v>
      </c>
      <c r="P60" s="10">
        <f>+'A) Base RI'!M60</f>
        <v>45067.25</v>
      </c>
      <c r="Q60" s="413">
        <f>'A) Base RI'!Z60</f>
        <v>1</v>
      </c>
      <c r="R60" s="405">
        <f t="shared" si="2"/>
        <v>654557.7977129831</v>
      </c>
      <c r="S60" s="401">
        <f>+'A) Base RI'!U60</f>
        <v>78.5</v>
      </c>
      <c r="T60" s="405">
        <f t="shared" si="3"/>
        <v>609490.5477129831</v>
      </c>
      <c r="U60" s="405">
        <f t="shared" si="4"/>
        <v>8338.3158944329061</v>
      </c>
      <c r="V60" s="10">
        <f>+'A) Base RI'!P60</f>
        <v>0</v>
      </c>
      <c r="W60" s="10">
        <f>+'A) Base RI'!Q60</f>
        <v>5258</v>
      </c>
      <c r="X60" s="10">
        <f>+'A) Base RI'!S60</f>
        <v>13264.35</v>
      </c>
      <c r="Y60" s="405">
        <f t="shared" si="5"/>
        <v>18522.349999999999</v>
      </c>
      <c r="Z60" s="10">
        <f>+'A) Base RI'!O60</f>
        <v>0</v>
      </c>
      <c r="AA60" s="10">
        <f>'A) Base RI'!V60</f>
        <v>310</v>
      </c>
    </row>
    <row r="61" spans="1:27" x14ac:dyDescent="0.25">
      <c r="A61" s="8">
        <f>'A) Base RI'!A61</f>
        <v>5491</v>
      </c>
      <c r="B61" s="32" t="str">
        <f>'A) Base RI'!B61</f>
        <v>Mont-la-Ville</v>
      </c>
      <c r="C61" s="10">
        <f>'A) Base RI'!C61+'A) Base RI'!D61</f>
        <v>959876.57999999984</v>
      </c>
      <c r="D61" s="10">
        <f>'A) Base RI'!W61</f>
        <v>-8335.15</v>
      </c>
      <c r="E61" s="397">
        <f>'A) Base RI'!X61</f>
        <v>0</v>
      </c>
      <c r="F61" s="397">
        <f>'A) Base RI'!Y61</f>
        <v>0.01</v>
      </c>
      <c r="G61" s="405">
        <f t="shared" si="0"/>
        <v>951541.43999999983</v>
      </c>
      <c r="H61" s="10">
        <f>+'A) Base RI'!E61</f>
        <v>0</v>
      </c>
      <c r="I61" s="10">
        <f>+'A) Base RI'!F61</f>
        <v>0</v>
      </c>
      <c r="J61" s="10">
        <f>+'A) Base RI'!G61+'A) Base RI'!H61+'A) Base RI'!I61</f>
        <v>28155.89398904343</v>
      </c>
      <c r="K61" s="10">
        <f>+'A) Base RI'!J61</f>
        <v>0</v>
      </c>
      <c r="L61" s="10">
        <f>+'A) Base RI'!K61</f>
        <v>10466.219999999999</v>
      </c>
      <c r="M61" s="10">
        <f>+'A) Base RI'!L61</f>
        <v>986.75</v>
      </c>
      <c r="N61" s="10">
        <f>+'A) Base RI'!R61</f>
        <v>2209.84</v>
      </c>
      <c r="O61" s="10">
        <f t="shared" si="1"/>
        <v>81407.850000000006</v>
      </c>
      <c r="P61" s="10">
        <f>+'A) Base RI'!M61</f>
        <v>81407.850000000006</v>
      </c>
      <c r="Q61" s="413">
        <f>'A) Base RI'!Z61</f>
        <v>1</v>
      </c>
      <c r="R61" s="405">
        <f t="shared" si="2"/>
        <v>1074767.9939890432</v>
      </c>
      <c r="S61" s="401">
        <f>+'A) Base RI'!U61</f>
        <v>76</v>
      </c>
      <c r="T61" s="405">
        <f t="shared" si="3"/>
        <v>992373.39398904319</v>
      </c>
      <c r="U61" s="405">
        <f t="shared" si="4"/>
        <v>14141.684131434778</v>
      </c>
      <c r="V61" s="10">
        <f>+'A) Base RI'!P61</f>
        <v>0</v>
      </c>
      <c r="W61" s="10">
        <f>+'A) Base RI'!Q61</f>
        <v>12867.8</v>
      </c>
      <c r="X61" s="10">
        <f>+'A) Base RI'!S61</f>
        <v>12585.7</v>
      </c>
      <c r="Y61" s="405">
        <f t="shared" si="5"/>
        <v>25453.5</v>
      </c>
      <c r="Z61" s="10">
        <f>+'A) Base RI'!O61</f>
        <v>1991.25</v>
      </c>
      <c r="AA61" s="10">
        <f>'A) Base RI'!V61</f>
        <v>478</v>
      </c>
    </row>
    <row r="62" spans="1:27" x14ac:dyDescent="0.25">
      <c r="A62" s="8">
        <f>'A) Base RI'!A62</f>
        <v>5492</v>
      </c>
      <c r="B62" s="32" t="str">
        <f>'A) Base RI'!B62</f>
        <v>Montricher</v>
      </c>
      <c r="C62" s="10">
        <f>'A) Base RI'!C62+'A) Base RI'!D62</f>
        <v>11858127.24</v>
      </c>
      <c r="D62" s="10">
        <f>'A) Base RI'!W62</f>
        <v>-15069.2</v>
      </c>
      <c r="E62" s="397">
        <f>'A) Base RI'!X62</f>
        <v>0</v>
      </c>
      <c r="F62" s="397">
        <f>'A) Base RI'!Y62</f>
        <v>-10136.86</v>
      </c>
      <c r="G62" s="405">
        <f t="shared" si="0"/>
        <v>11832921.180000002</v>
      </c>
      <c r="H62" s="10">
        <f>+'A) Base RI'!E62</f>
        <v>0</v>
      </c>
      <c r="I62" s="10">
        <f>+'A) Base RI'!F62</f>
        <v>0</v>
      </c>
      <c r="J62" s="10">
        <f>+'A) Base RI'!G62+'A) Base RI'!H62+'A) Base RI'!I62</f>
        <v>-15382.300000000001</v>
      </c>
      <c r="K62" s="10">
        <f>+'A) Base RI'!J62</f>
        <v>0</v>
      </c>
      <c r="L62" s="10">
        <f>+'A) Base RI'!K62</f>
        <v>61592.37</v>
      </c>
      <c r="M62" s="10">
        <f>+'A) Base RI'!L62</f>
        <v>4136.95</v>
      </c>
      <c r="N62" s="10">
        <f>+'A) Base RI'!R62</f>
        <v>19146.689999999999</v>
      </c>
      <c r="O62" s="10">
        <f t="shared" si="1"/>
        <v>240330.83333333334</v>
      </c>
      <c r="P62" s="10">
        <f>+'A) Base RI'!M62</f>
        <v>72099.25</v>
      </c>
      <c r="Q62" s="413">
        <f>'A) Base RI'!Z62</f>
        <v>0.3</v>
      </c>
      <c r="R62" s="405">
        <f t="shared" si="2"/>
        <v>12142745.723333333</v>
      </c>
      <c r="S62" s="401">
        <f>+'A) Base RI'!U62</f>
        <v>64</v>
      </c>
      <c r="T62" s="405">
        <f t="shared" si="3"/>
        <v>11898277.939999999</v>
      </c>
      <c r="U62" s="405">
        <f t="shared" si="4"/>
        <v>189730.40192708332</v>
      </c>
      <c r="V62" s="10">
        <f>+'A) Base RI'!P62</f>
        <v>0</v>
      </c>
      <c r="W62" s="10">
        <f>+'A) Base RI'!Q62</f>
        <v>81997.55</v>
      </c>
      <c r="X62" s="10">
        <f>+'A) Base RI'!S62</f>
        <v>51307.7</v>
      </c>
      <c r="Y62" s="405">
        <f t="shared" si="5"/>
        <v>133305.25</v>
      </c>
      <c r="Z62" s="10">
        <f>+'A) Base RI'!O62</f>
        <v>4397.25</v>
      </c>
      <c r="AA62" s="10">
        <f>'A) Base RI'!V62</f>
        <v>964</v>
      </c>
    </row>
    <row r="63" spans="1:27" x14ac:dyDescent="0.25">
      <c r="A63" s="8">
        <f>'A) Base RI'!A63</f>
        <v>5493</v>
      </c>
      <c r="B63" s="32" t="str">
        <f>'A) Base RI'!B63</f>
        <v>Orny</v>
      </c>
      <c r="C63" s="10">
        <f>'A) Base RI'!C63+'A) Base RI'!D63</f>
        <v>739996.08000000007</v>
      </c>
      <c r="D63" s="10">
        <f>'A) Base RI'!W63</f>
        <v>-10640.7</v>
      </c>
      <c r="E63" s="397">
        <f>'A) Base RI'!X63</f>
        <v>0</v>
      </c>
      <c r="F63" s="397">
        <f>'A) Base RI'!Y63</f>
        <v>-10.91</v>
      </c>
      <c r="G63" s="405">
        <f t="shared" si="0"/>
        <v>729344.47000000009</v>
      </c>
      <c r="H63" s="10">
        <f>+'A) Base RI'!E63</f>
        <v>0</v>
      </c>
      <c r="I63" s="10">
        <f>+'A) Base RI'!F63</f>
        <v>0</v>
      </c>
      <c r="J63" s="10">
        <f>+'A) Base RI'!G63+'A) Base RI'!H63+'A) Base RI'!I63</f>
        <v>7534.9690689627214</v>
      </c>
      <c r="K63" s="10">
        <f>+'A) Base RI'!J63</f>
        <v>0</v>
      </c>
      <c r="L63" s="10">
        <f>+'A) Base RI'!K63</f>
        <v>535</v>
      </c>
      <c r="M63" s="10">
        <f>+'A) Base RI'!L63</f>
        <v>493.85</v>
      </c>
      <c r="N63" s="10">
        <f>+'A) Base RI'!R63</f>
        <v>-13295.07</v>
      </c>
      <c r="O63" s="10">
        <f t="shared" si="1"/>
        <v>54370.307692307688</v>
      </c>
      <c r="P63" s="10">
        <f>+'A) Base RI'!M63</f>
        <v>35340.699999999997</v>
      </c>
      <c r="Q63" s="413">
        <f>'A) Base RI'!Z63</f>
        <v>0.65</v>
      </c>
      <c r="R63" s="405">
        <f t="shared" si="2"/>
        <v>778983.52676127059</v>
      </c>
      <c r="S63" s="401">
        <f>+'A) Base RI'!U63</f>
        <v>73</v>
      </c>
      <c r="T63" s="405">
        <f t="shared" si="3"/>
        <v>724119.36906896287</v>
      </c>
      <c r="U63" s="405">
        <f t="shared" si="4"/>
        <v>10671.007215907817</v>
      </c>
      <c r="V63" s="10">
        <f>+'A) Base RI'!P63</f>
        <v>0</v>
      </c>
      <c r="W63" s="10">
        <f>+'A) Base RI'!Q63</f>
        <v>68974.399999999994</v>
      </c>
      <c r="X63" s="10">
        <f>+'A) Base RI'!S63</f>
        <v>65216.95</v>
      </c>
      <c r="Y63" s="405">
        <f t="shared" si="5"/>
        <v>134191.34999999998</v>
      </c>
      <c r="Z63" s="10">
        <f>+'A) Base RI'!O63</f>
        <v>60984.2</v>
      </c>
      <c r="AA63" s="10">
        <f>'A) Base RI'!V63</f>
        <v>416</v>
      </c>
    </row>
    <row r="64" spans="1:27" x14ac:dyDescent="0.25">
      <c r="A64" s="8">
        <f>'A) Base RI'!A64</f>
        <v>5494</v>
      </c>
      <c r="B64" s="32" t="str">
        <f>'A) Base RI'!B64</f>
        <v>Pampigny</v>
      </c>
      <c r="C64" s="10">
        <f>'A) Base RI'!C64+'A) Base RI'!D64</f>
        <v>2506439.7999999998</v>
      </c>
      <c r="D64" s="10">
        <f>'A) Base RI'!W64</f>
        <v>-34901.949999999997</v>
      </c>
      <c r="E64" s="397">
        <f>'A) Base RI'!X64</f>
        <v>0</v>
      </c>
      <c r="F64" s="397">
        <f>'A) Base RI'!Y64</f>
        <v>-571.75</v>
      </c>
      <c r="G64" s="405">
        <f t="shared" si="0"/>
        <v>2470966.0999999996</v>
      </c>
      <c r="H64" s="10">
        <f>+'A) Base RI'!E64</f>
        <v>0</v>
      </c>
      <c r="I64" s="10">
        <f>+'A) Base RI'!F64</f>
        <v>0</v>
      </c>
      <c r="J64" s="10">
        <f>+'A) Base RI'!G64+'A) Base RI'!H64+'A) Base RI'!I64</f>
        <v>28696.092771850155</v>
      </c>
      <c r="K64" s="10">
        <f>+'A) Base RI'!J64</f>
        <v>0</v>
      </c>
      <c r="L64" s="10">
        <f>+'A) Base RI'!K64</f>
        <v>57927.27</v>
      </c>
      <c r="M64" s="10">
        <f>+'A) Base RI'!L64</f>
        <v>2544.5500000000002</v>
      </c>
      <c r="N64" s="10">
        <f>+'A) Base RI'!R64</f>
        <v>469.33</v>
      </c>
      <c r="O64" s="10">
        <f t="shared" si="1"/>
        <v>211976.09523809524</v>
      </c>
      <c r="P64" s="10">
        <f>+'A) Base RI'!M64</f>
        <v>222574.9</v>
      </c>
      <c r="Q64" s="413">
        <f>'A) Base RI'!Z64</f>
        <v>1.05</v>
      </c>
      <c r="R64" s="405">
        <f t="shared" si="2"/>
        <v>2772579.4380099447</v>
      </c>
      <c r="S64" s="401">
        <f>+'A) Base RI'!U64</f>
        <v>75</v>
      </c>
      <c r="T64" s="405">
        <f t="shared" si="3"/>
        <v>2558058.7927718498</v>
      </c>
      <c r="U64" s="405">
        <f t="shared" si="4"/>
        <v>36967.725840132596</v>
      </c>
      <c r="V64" s="10">
        <f>+'A) Base RI'!P64</f>
        <v>112000</v>
      </c>
      <c r="W64" s="10">
        <f>+'A) Base RI'!Q64</f>
        <v>58784.3</v>
      </c>
      <c r="X64" s="10">
        <f>+'A) Base RI'!S64</f>
        <v>8655.5</v>
      </c>
      <c r="Y64" s="405">
        <f t="shared" si="5"/>
        <v>179439.8</v>
      </c>
      <c r="Z64" s="10">
        <f>+'A) Base RI'!O64</f>
        <v>30402.1</v>
      </c>
      <c r="AA64" s="10">
        <f>'A) Base RI'!V64</f>
        <v>1103</v>
      </c>
    </row>
    <row r="65" spans="1:27" x14ac:dyDescent="0.25">
      <c r="A65" s="8">
        <f>'A) Base RI'!A65</f>
        <v>5495</v>
      </c>
      <c r="B65" s="32" t="str">
        <f>'A) Base RI'!B65</f>
        <v>Penthalaz</v>
      </c>
      <c r="C65" s="10">
        <f>'A) Base RI'!C65+'A) Base RI'!D65</f>
        <v>6142098.21</v>
      </c>
      <c r="D65" s="10">
        <f>'A) Base RI'!W65</f>
        <v>-138234.69</v>
      </c>
      <c r="E65" s="397">
        <f>'A) Base RI'!X65</f>
        <v>0</v>
      </c>
      <c r="F65" s="397">
        <f>'A) Base RI'!Y65</f>
        <v>-1455.81</v>
      </c>
      <c r="G65" s="405">
        <f t="shared" si="0"/>
        <v>6002407.71</v>
      </c>
      <c r="H65" s="10">
        <f>+'A) Base RI'!E65</f>
        <v>0</v>
      </c>
      <c r="I65" s="10">
        <f>+'A) Base RI'!F65</f>
        <v>0</v>
      </c>
      <c r="J65" s="10">
        <f>+'A) Base RI'!G65+'A) Base RI'!H65+'A) Base RI'!I65</f>
        <v>151826.37990513921</v>
      </c>
      <c r="K65" s="10">
        <f>+'A) Base RI'!J65</f>
        <v>74140.240000000005</v>
      </c>
      <c r="L65" s="10">
        <f>+'A) Base RI'!K65</f>
        <v>191151.18</v>
      </c>
      <c r="M65" s="10">
        <f>+'A) Base RI'!L65</f>
        <v>73744.45</v>
      </c>
      <c r="N65" s="10">
        <f>+'A) Base RI'!R65</f>
        <v>62267.76</v>
      </c>
      <c r="O65" s="10">
        <f t="shared" si="1"/>
        <v>480901.45</v>
      </c>
      <c r="P65" s="10">
        <f>+'A) Base RI'!M65</f>
        <v>480901.45</v>
      </c>
      <c r="Q65" s="413">
        <f>'A) Base RI'!Z65</f>
        <v>1</v>
      </c>
      <c r="R65" s="405">
        <f t="shared" si="2"/>
        <v>7036439.1699051391</v>
      </c>
      <c r="S65" s="401">
        <f>+'A) Base RI'!U65</f>
        <v>74</v>
      </c>
      <c r="T65" s="405">
        <f t="shared" si="3"/>
        <v>6481793.2699051388</v>
      </c>
      <c r="U65" s="405">
        <f t="shared" si="4"/>
        <v>95087.015809528908</v>
      </c>
      <c r="V65" s="10">
        <f>+'A) Base RI'!P65</f>
        <v>61758.3</v>
      </c>
      <c r="W65" s="10">
        <f>+'A) Base RI'!Q65</f>
        <v>193102.2</v>
      </c>
      <c r="X65" s="10">
        <f>+'A) Base RI'!S65</f>
        <v>64511.6</v>
      </c>
      <c r="Y65" s="405">
        <f t="shared" si="5"/>
        <v>319372.09999999998</v>
      </c>
      <c r="Z65" s="10">
        <f>+'A) Base RI'!O65</f>
        <v>195025.4</v>
      </c>
      <c r="AA65" s="10">
        <f>'A) Base RI'!V65</f>
        <v>3257</v>
      </c>
    </row>
    <row r="66" spans="1:27" x14ac:dyDescent="0.25">
      <c r="A66" s="8">
        <f>'A) Base RI'!A66</f>
        <v>5496</v>
      </c>
      <c r="B66" s="32" t="str">
        <f>'A) Base RI'!B66</f>
        <v>Penthaz</v>
      </c>
      <c r="C66" s="10">
        <f>'A) Base RI'!C66+'A) Base RI'!D66</f>
        <v>3762963.61</v>
      </c>
      <c r="D66" s="10">
        <f>'A) Base RI'!W66</f>
        <v>-112333.43</v>
      </c>
      <c r="E66" s="397">
        <f>'A) Base RI'!X66</f>
        <v>0</v>
      </c>
      <c r="F66" s="397">
        <f>'A) Base RI'!Y66</f>
        <v>-332.66</v>
      </c>
      <c r="G66" s="405">
        <f t="shared" si="0"/>
        <v>3650297.5199999996</v>
      </c>
      <c r="H66" s="10">
        <f>+'A) Base RI'!E66</f>
        <v>0</v>
      </c>
      <c r="I66" s="10">
        <f>+'A) Base RI'!F66</f>
        <v>0</v>
      </c>
      <c r="J66" s="10">
        <f>+'A) Base RI'!G66+'A) Base RI'!H66+'A) Base RI'!I66</f>
        <v>119704.04461842198</v>
      </c>
      <c r="K66" s="10">
        <f>+'A) Base RI'!J66</f>
        <v>0</v>
      </c>
      <c r="L66" s="10">
        <f>+'A) Base RI'!K66</f>
        <v>99718.43</v>
      </c>
      <c r="M66" s="10">
        <f>+'A) Base RI'!L66</f>
        <v>19664.349999999999</v>
      </c>
      <c r="N66" s="10">
        <f>+'A) Base RI'!R66</f>
        <v>6115.95</v>
      </c>
      <c r="O66" s="10">
        <f t="shared" si="1"/>
        <v>317459.15000000002</v>
      </c>
      <c r="P66" s="10">
        <f>+'A) Base RI'!M66</f>
        <v>317459.15000000002</v>
      </c>
      <c r="Q66" s="413">
        <f>'A) Base RI'!Z66</f>
        <v>1</v>
      </c>
      <c r="R66" s="405">
        <f t="shared" si="2"/>
        <v>4212959.4446184225</v>
      </c>
      <c r="S66" s="401">
        <f>+'A) Base RI'!U66</f>
        <v>71</v>
      </c>
      <c r="T66" s="405">
        <f t="shared" si="3"/>
        <v>3875835.9446184221</v>
      </c>
      <c r="U66" s="405">
        <f t="shared" si="4"/>
        <v>59337.456966456659</v>
      </c>
      <c r="V66" s="10">
        <f>+'A) Base RI'!P66</f>
        <v>3099.4</v>
      </c>
      <c r="W66" s="10">
        <f>+'A) Base RI'!Q66</f>
        <v>206416.85</v>
      </c>
      <c r="X66" s="10">
        <f>+'A) Base RI'!S66</f>
        <v>176577.95</v>
      </c>
      <c r="Y66" s="405">
        <f t="shared" si="5"/>
        <v>386094.2</v>
      </c>
      <c r="Z66" s="10">
        <f>+'A) Base RI'!O66</f>
        <v>81094.8</v>
      </c>
      <c r="AA66" s="10">
        <f>'A) Base RI'!V66</f>
        <v>1760</v>
      </c>
    </row>
    <row r="67" spans="1:27" x14ac:dyDescent="0.25">
      <c r="A67" s="8">
        <f>'A) Base RI'!A67</f>
        <v>5497</v>
      </c>
      <c r="B67" s="32" t="str">
        <f>'A) Base RI'!B67</f>
        <v>Pompaples</v>
      </c>
      <c r="C67" s="10">
        <f>'A) Base RI'!C67+'A) Base RI'!D67</f>
        <v>1169033.1600000001</v>
      </c>
      <c r="D67" s="10">
        <f>'A) Base RI'!W67</f>
        <v>-46507.19</v>
      </c>
      <c r="E67" s="397">
        <f>'A) Base RI'!X67</f>
        <v>0</v>
      </c>
      <c r="F67" s="397">
        <f>'A) Base RI'!Y67</f>
        <v>-48.89</v>
      </c>
      <c r="G67" s="405">
        <f t="shared" si="0"/>
        <v>1122477.0800000003</v>
      </c>
      <c r="H67" s="10">
        <f>+'A) Base RI'!E67</f>
        <v>0</v>
      </c>
      <c r="I67" s="10">
        <f>+'A) Base RI'!F67</f>
        <v>0</v>
      </c>
      <c r="J67" s="10">
        <f>+'A) Base RI'!G67+'A) Base RI'!H67+'A) Base RI'!I67</f>
        <v>229699.91315861593</v>
      </c>
      <c r="K67" s="10">
        <f>+'A) Base RI'!J67</f>
        <v>0</v>
      </c>
      <c r="L67" s="10">
        <f>+'A) Base RI'!K67</f>
        <v>33423.17</v>
      </c>
      <c r="M67" s="10">
        <f>+'A) Base RI'!L67</f>
        <v>-19719.25</v>
      </c>
      <c r="N67" s="10">
        <f>+'A) Base RI'!R67</f>
        <v>2138.46</v>
      </c>
      <c r="O67" s="10">
        <f t="shared" si="1"/>
        <v>128371.85</v>
      </c>
      <c r="P67" s="10">
        <f>+'A) Base RI'!M67</f>
        <v>128371.85</v>
      </c>
      <c r="Q67" s="413">
        <f>'A) Base RI'!Z67</f>
        <v>1</v>
      </c>
      <c r="R67" s="405">
        <f t="shared" si="2"/>
        <v>1496391.2231586161</v>
      </c>
      <c r="S67" s="401">
        <f>+'A) Base RI'!U67</f>
        <v>66</v>
      </c>
      <c r="T67" s="405">
        <f t="shared" si="3"/>
        <v>1387738.623158616</v>
      </c>
      <c r="U67" s="405">
        <f t="shared" si="4"/>
        <v>22672.594290282061</v>
      </c>
      <c r="V67" s="10">
        <f>+'A) Base RI'!P67</f>
        <v>25970.9</v>
      </c>
      <c r="W67" s="10">
        <f>+'A) Base RI'!Q67</f>
        <v>21630.5</v>
      </c>
      <c r="X67" s="10">
        <f>+'A) Base RI'!S67</f>
        <v>74622.350000000006</v>
      </c>
      <c r="Y67" s="405">
        <f t="shared" si="5"/>
        <v>122223.75</v>
      </c>
      <c r="Z67" s="10">
        <f>+'A) Base RI'!O67</f>
        <v>197354.2</v>
      </c>
      <c r="AA67" s="10">
        <f>'A) Base RI'!V67</f>
        <v>851</v>
      </c>
    </row>
    <row r="68" spans="1:27" x14ac:dyDescent="0.25">
      <c r="A68" s="8">
        <f>'A) Base RI'!A68</f>
        <v>5498</v>
      </c>
      <c r="B68" s="32" t="str">
        <f>'A) Base RI'!B68</f>
        <v>La Sarraz</v>
      </c>
      <c r="C68" s="10">
        <f>'A) Base RI'!C68+'A) Base RI'!D68</f>
        <v>4600503.1500000004</v>
      </c>
      <c r="D68" s="10">
        <f>'A) Base RI'!W68</f>
        <v>-109867.94</v>
      </c>
      <c r="E68" s="397">
        <f>'A) Base RI'!X68</f>
        <v>0</v>
      </c>
      <c r="F68" s="397">
        <f>'A) Base RI'!Y68</f>
        <v>-469.77</v>
      </c>
      <c r="G68" s="405">
        <f t="shared" si="0"/>
        <v>4490165.4400000004</v>
      </c>
      <c r="H68" s="10">
        <f>+'A) Base RI'!E68</f>
        <v>0</v>
      </c>
      <c r="I68" s="10">
        <f>+'A) Base RI'!F68</f>
        <v>0</v>
      </c>
      <c r="J68" s="10">
        <f>+'A) Base RI'!G68+'A) Base RI'!H68+'A) Base RI'!I68</f>
        <v>76240.694279900476</v>
      </c>
      <c r="K68" s="10">
        <f>+'A) Base RI'!J68</f>
        <v>0</v>
      </c>
      <c r="L68" s="10">
        <f>+'A) Base RI'!K68</f>
        <v>119831.07</v>
      </c>
      <c r="M68" s="10">
        <f>+'A) Base RI'!L68</f>
        <v>17932.150000000001</v>
      </c>
      <c r="N68" s="10">
        <f>+'A) Base RI'!R68</f>
        <v>15298.33</v>
      </c>
      <c r="O68" s="10">
        <f t="shared" si="1"/>
        <v>389845.35</v>
      </c>
      <c r="P68" s="10">
        <f>+'A) Base RI'!M68</f>
        <v>389845.35</v>
      </c>
      <c r="Q68" s="413">
        <f>'A) Base RI'!Z68</f>
        <v>1</v>
      </c>
      <c r="R68" s="405">
        <f t="shared" si="2"/>
        <v>5109313.0342799015</v>
      </c>
      <c r="S68" s="401">
        <f>+'A) Base RI'!U68</f>
        <v>66</v>
      </c>
      <c r="T68" s="405">
        <f t="shared" si="3"/>
        <v>4701535.5342799015</v>
      </c>
      <c r="U68" s="405">
        <f t="shared" si="4"/>
        <v>77413.833852725787</v>
      </c>
      <c r="V68" s="10">
        <f>+'A) Base RI'!P68</f>
        <v>0</v>
      </c>
      <c r="W68" s="10">
        <f>+'A) Base RI'!Q68</f>
        <v>240098.25</v>
      </c>
      <c r="X68" s="10">
        <f>+'A) Base RI'!S68</f>
        <v>278979.7</v>
      </c>
      <c r="Y68" s="405">
        <f t="shared" si="5"/>
        <v>519077.95</v>
      </c>
      <c r="Z68" s="10">
        <f>+'A) Base RI'!O68</f>
        <v>75092.25</v>
      </c>
      <c r="AA68" s="10">
        <f>'A) Base RI'!V68</f>
        <v>2651</v>
      </c>
    </row>
    <row r="69" spans="1:27" x14ac:dyDescent="0.25">
      <c r="A69" s="8">
        <f>'A) Base RI'!A69</f>
        <v>5499</v>
      </c>
      <c r="B69" s="32" t="str">
        <f>'A) Base RI'!B69</f>
        <v>Senarclens</v>
      </c>
      <c r="C69" s="10">
        <f>'A) Base RI'!C69+'A) Base RI'!D69</f>
        <v>1200655.8400000001</v>
      </c>
      <c r="D69" s="10">
        <f>'A) Base RI'!W69</f>
        <v>-234.76</v>
      </c>
      <c r="E69" s="397">
        <f>'A) Base RI'!X69</f>
        <v>0</v>
      </c>
      <c r="F69" s="397">
        <f>'A) Base RI'!Y69</f>
        <v>-451.45</v>
      </c>
      <c r="G69" s="405">
        <f t="shared" si="0"/>
        <v>1199969.6300000001</v>
      </c>
      <c r="H69" s="10">
        <f>+'A) Base RI'!E69</f>
        <v>0</v>
      </c>
      <c r="I69" s="10">
        <f>+'A) Base RI'!F69</f>
        <v>0</v>
      </c>
      <c r="J69" s="10">
        <f>+'A) Base RI'!G69+'A) Base RI'!H69+'A) Base RI'!I69</f>
        <v>26292.250501580806</v>
      </c>
      <c r="K69" s="10">
        <f>+'A) Base RI'!J69</f>
        <v>0</v>
      </c>
      <c r="L69" s="10">
        <f>+'A) Base RI'!K69</f>
        <v>14365.9</v>
      </c>
      <c r="M69" s="10">
        <f>+'A) Base RI'!L69</f>
        <v>0</v>
      </c>
      <c r="N69" s="10">
        <f>+'A) Base RI'!R69</f>
        <v>1395.65</v>
      </c>
      <c r="O69" s="10">
        <f t="shared" si="1"/>
        <v>94513.600000000006</v>
      </c>
      <c r="P69" s="10">
        <f>+'A) Base RI'!M69</f>
        <v>94513.600000000006</v>
      </c>
      <c r="Q69" s="413">
        <f>'A) Base RI'!Z69</f>
        <v>1</v>
      </c>
      <c r="R69" s="405">
        <f t="shared" si="2"/>
        <v>1336537.0305015808</v>
      </c>
      <c r="S69" s="401">
        <f>+'A) Base RI'!U69</f>
        <v>68.5</v>
      </c>
      <c r="T69" s="405">
        <f t="shared" si="3"/>
        <v>1242023.4305015807</v>
      </c>
      <c r="U69" s="405">
        <f t="shared" si="4"/>
        <v>19511.48949637344</v>
      </c>
      <c r="V69" s="10">
        <f>+'A) Base RI'!P69</f>
        <v>30687.8</v>
      </c>
      <c r="W69" s="10">
        <f>+'A) Base RI'!Q69</f>
        <v>49534.15</v>
      </c>
      <c r="X69" s="10">
        <f>+'A) Base RI'!S69</f>
        <v>35226.699999999997</v>
      </c>
      <c r="Y69" s="405">
        <f t="shared" si="5"/>
        <v>115448.65</v>
      </c>
      <c r="Z69" s="10">
        <f>+'A) Base RI'!O69</f>
        <v>8008.2</v>
      </c>
      <c r="AA69" s="10">
        <f>'A) Base RI'!V69</f>
        <v>477</v>
      </c>
    </row>
    <row r="70" spans="1:27" x14ac:dyDescent="0.25">
      <c r="A70" s="8">
        <f>'A) Base RI'!A70</f>
        <v>5500</v>
      </c>
      <c r="B70" s="32" t="str">
        <f>'A) Base RI'!B70</f>
        <v>Sévery</v>
      </c>
      <c r="C70" s="10">
        <f>'A) Base RI'!C70+'A) Base RI'!D70</f>
        <v>482208.33</v>
      </c>
      <c r="D70" s="10">
        <f>'A) Base RI'!W70</f>
        <v>-8113.74</v>
      </c>
      <c r="E70" s="397">
        <f>'A) Base RI'!X70</f>
        <v>0</v>
      </c>
      <c r="F70" s="397">
        <f>'A) Base RI'!Y70</f>
        <v>0</v>
      </c>
      <c r="G70" s="405">
        <f t="shared" si="0"/>
        <v>474094.59</v>
      </c>
      <c r="H70" s="10">
        <f>+'A) Base RI'!E70</f>
        <v>0</v>
      </c>
      <c r="I70" s="10">
        <f>+'A) Base RI'!F70</f>
        <v>0</v>
      </c>
      <c r="J70" s="10">
        <f>+'A) Base RI'!G70+'A) Base RI'!H70+'A) Base RI'!I70</f>
        <v>-847.24999999999989</v>
      </c>
      <c r="K70" s="10">
        <f>+'A) Base RI'!J70</f>
        <v>0</v>
      </c>
      <c r="L70" s="10">
        <f>+'A) Base RI'!K70</f>
        <v>8545.81</v>
      </c>
      <c r="M70" s="10">
        <f>+'A) Base RI'!L70</f>
        <v>153.94999999999999</v>
      </c>
      <c r="N70" s="10">
        <f>+'A) Base RI'!R70</f>
        <v>0</v>
      </c>
      <c r="O70" s="10">
        <f t="shared" si="1"/>
        <v>42258.416666666664</v>
      </c>
      <c r="P70" s="10">
        <f>+'A) Base RI'!M70</f>
        <v>50710.1</v>
      </c>
      <c r="Q70" s="413">
        <f>'A) Base RI'!Z70</f>
        <v>1.2</v>
      </c>
      <c r="R70" s="405">
        <f t="shared" si="2"/>
        <v>524205.51666666672</v>
      </c>
      <c r="S70" s="401">
        <f>+'A) Base RI'!U70</f>
        <v>75</v>
      </c>
      <c r="T70" s="405">
        <f t="shared" si="3"/>
        <v>481793.15</v>
      </c>
      <c r="U70" s="405">
        <f t="shared" si="4"/>
        <v>6989.4068888888896</v>
      </c>
      <c r="V70" s="10">
        <f>+'A) Base RI'!P70</f>
        <v>0</v>
      </c>
      <c r="W70" s="10">
        <f>+'A) Base RI'!Q70</f>
        <v>23221</v>
      </c>
      <c r="X70" s="10">
        <f>+'A) Base RI'!S70</f>
        <v>8574.25</v>
      </c>
      <c r="Y70" s="405">
        <f t="shared" si="5"/>
        <v>31795.25</v>
      </c>
      <c r="Z70" s="10">
        <f>+'A) Base RI'!O70</f>
        <v>0</v>
      </c>
      <c r="AA70" s="10">
        <f>'A) Base RI'!V70</f>
        <v>227</v>
      </c>
    </row>
    <row r="71" spans="1:27" x14ac:dyDescent="0.25">
      <c r="A71" s="8">
        <f>'A) Base RI'!A71</f>
        <v>5501</v>
      </c>
      <c r="B71" s="32" t="str">
        <f>'A) Base RI'!B71</f>
        <v>Sullens</v>
      </c>
      <c r="C71" s="10">
        <f>'A) Base RI'!C71+'A) Base RI'!D71</f>
        <v>2554053.65</v>
      </c>
      <c r="D71" s="10">
        <f>'A) Base RI'!W71</f>
        <v>-28998.23</v>
      </c>
      <c r="E71" s="397">
        <f>'A) Base RI'!X71</f>
        <v>0</v>
      </c>
      <c r="F71" s="397">
        <f>'A) Base RI'!Y71</f>
        <v>-355.29</v>
      </c>
      <c r="G71" s="405">
        <f t="shared" ref="G71:G134" si="6">SUM(C71:F71)</f>
        <v>2524700.13</v>
      </c>
      <c r="H71" s="10">
        <f>+'A) Base RI'!E71</f>
        <v>0</v>
      </c>
      <c r="I71" s="10">
        <f>+'A) Base RI'!F71</f>
        <v>0</v>
      </c>
      <c r="J71" s="10">
        <f>+'A) Base RI'!G71+'A) Base RI'!H71+'A) Base RI'!I71</f>
        <v>14419.217222949694</v>
      </c>
      <c r="K71" s="10">
        <f>+'A) Base RI'!J71</f>
        <v>38474.65</v>
      </c>
      <c r="L71" s="10">
        <f>+'A) Base RI'!K71</f>
        <v>26794.66</v>
      </c>
      <c r="M71" s="10">
        <f>+'A) Base RI'!L71</f>
        <v>0</v>
      </c>
      <c r="N71" s="10">
        <f>+'A) Base RI'!R71</f>
        <v>3221.46</v>
      </c>
      <c r="O71" s="10">
        <f t="shared" ref="O71:O134" si="7">(P71/Q71)*1</f>
        <v>221797.75</v>
      </c>
      <c r="P71" s="10">
        <f>+'A) Base RI'!M71</f>
        <v>221797.75</v>
      </c>
      <c r="Q71" s="413">
        <f>'A) Base RI'!Z71</f>
        <v>1</v>
      </c>
      <c r="R71" s="405">
        <f t="shared" ref="R71:R134" si="8">SUM(G71:O71)</f>
        <v>2829407.8672229494</v>
      </c>
      <c r="S71" s="401">
        <f>+'A) Base RI'!U71</f>
        <v>70</v>
      </c>
      <c r="T71" s="405">
        <f t="shared" ref="T71:T134" si="9">(G71+H71+J71+K71+L71+N71)</f>
        <v>2607610.1172229494</v>
      </c>
      <c r="U71" s="405">
        <f t="shared" ref="U71:U134" si="10">R71/S71</f>
        <v>40420.112388899281</v>
      </c>
      <c r="V71" s="10">
        <f>+'A) Base RI'!P71</f>
        <v>0</v>
      </c>
      <c r="W71" s="10">
        <f>+'A) Base RI'!Q71</f>
        <v>97828.7</v>
      </c>
      <c r="X71" s="10">
        <f>+'A) Base RI'!S71</f>
        <v>79520.3</v>
      </c>
      <c r="Y71" s="405">
        <f t="shared" ref="Y71:Y134" si="11">SUM(V71:X71)</f>
        <v>177349</v>
      </c>
      <c r="Z71" s="10">
        <f>+'A) Base RI'!O71</f>
        <v>5708.9</v>
      </c>
      <c r="AA71" s="10">
        <f>'A) Base RI'!V71</f>
        <v>1035</v>
      </c>
    </row>
    <row r="72" spans="1:27" x14ac:dyDescent="0.25">
      <c r="A72" s="8">
        <f>'A) Base RI'!A72</f>
        <v>5503</v>
      </c>
      <c r="B72" s="32" t="str">
        <f>'A) Base RI'!B72</f>
        <v>Vufflens-la-Ville</v>
      </c>
      <c r="C72" s="10">
        <f>'A) Base RI'!C72+'A) Base RI'!D72</f>
        <v>4558576.4800000004</v>
      </c>
      <c r="D72" s="10">
        <f>'A) Base RI'!W72</f>
        <v>-20664.37</v>
      </c>
      <c r="E72" s="397">
        <f>'A) Base RI'!X72</f>
        <v>0</v>
      </c>
      <c r="F72" s="397">
        <f>'A) Base RI'!Y72</f>
        <v>-674.01</v>
      </c>
      <c r="G72" s="405">
        <f t="shared" si="6"/>
        <v>4537238.1000000006</v>
      </c>
      <c r="H72" s="10">
        <f>+'A) Base RI'!E72</f>
        <v>0</v>
      </c>
      <c r="I72" s="10">
        <f>+'A) Base RI'!F72</f>
        <v>0</v>
      </c>
      <c r="J72" s="10">
        <f>+'A) Base RI'!G72+'A) Base RI'!H72+'A) Base RI'!I72</f>
        <v>1083660.262864864</v>
      </c>
      <c r="K72" s="10">
        <f>+'A) Base RI'!J72</f>
        <v>0</v>
      </c>
      <c r="L72" s="10">
        <f>+'A) Base RI'!K72</f>
        <v>-6530.17</v>
      </c>
      <c r="M72" s="10">
        <f>+'A) Base RI'!L72</f>
        <v>14177.8</v>
      </c>
      <c r="N72" s="10">
        <f>+'A) Base RI'!R72</f>
        <v>1740.47</v>
      </c>
      <c r="O72" s="10">
        <f t="shared" si="7"/>
        <v>370039</v>
      </c>
      <c r="P72" s="10">
        <f>+'A) Base RI'!M72</f>
        <v>444046.8</v>
      </c>
      <c r="Q72" s="413">
        <f>'A) Base RI'!Z72</f>
        <v>1.2</v>
      </c>
      <c r="R72" s="405">
        <f t="shared" si="8"/>
        <v>6000325.4628648646</v>
      </c>
      <c r="S72" s="401">
        <f>+'A) Base RI'!U72</f>
        <v>67</v>
      </c>
      <c r="T72" s="405">
        <f t="shared" si="9"/>
        <v>5616108.6628648648</v>
      </c>
      <c r="U72" s="405">
        <f t="shared" si="10"/>
        <v>89557.096460669622</v>
      </c>
      <c r="V72" s="10">
        <f>+'A) Base RI'!P72</f>
        <v>8647</v>
      </c>
      <c r="W72" s="10">
        <f>+'A) Base RI'!Q72</f>
        <v>108087.95</v>
      </c>
      <c r="X72" s="10">
        <f>+'A) Base RI'!S72</f>
        <v>244724.9</v>
      </c>
      <c r="Y72" s="405">
        <f t="shared" si="11"/>
        <v>361459.85</v>
      </c>
      <c r="Z72" s="10">
        <f>+'A) Base RI'!O72</f>
        <v>86713.7</v>
      </c>
      <c r="AA72" s="10">
        <f>'A) Base RI'!V72</f>
        <v>1295</v>
      </c>
    </row>
    <row r="73" spans="1:27" x14ac:dyDescent="0.25">
      <c r="A73" s="8">
        <f>'A) Base RI'!A73</f>
        <v>5511</v>
      </c>
      <c r="B73" s="32" t="str">
        <f>'A) Base RI'!B73</f>
        <v>Assens</v>
      </c>
      <c r="C73" s="10">
        <f>'A) Base RI'!C73+'A) Base RI'!D73</f>
        <v>2776350.96</v>
      </c>
      <c r="D73" s="10">
        <f>'A) Base RI'!W73</f>
        <v>-11264.89</v>
      </c>
      <c r="E73" s="397">
        <f>'A) Base RI'!X73</f>
        <v>0</v>
      </c>
      <c r="F73" s="397">
        <f>'A) Base RI'!Y73</f>
        <v>-107.75</v>
      </c>
      <c r="G73" s="405">
        <f t="shared" si="6"/>
        <v>2764978.32</v>
      </c>
      <c r="H73" s="10">
        <f>+'A) Base RI'!E73</f>
        <v>0</v>
      </c>
      <c r="I73" s="10">
        <f>+'A) Base RI'!F73</f>
        <v>0</v>
      </c>
      <c r="J73" s="10">
        <f>+'A) Base RI'!G73+'A) Base RI'!H73+'A) Base RI'!I73</f>
        <v>458049.63965716603</v>
      </c>
      <c r="K73" s="10">
        <f>+'A) Base RI'!J73</f>
        <v>0</v>
      </c>
      <c r="L73" s="10">
        <f>+'A) Base RI'!K73</f>
        <v>38822.199999999997</v>
      </c>
      <c r="M73" s="10">
        <f>+'A) Base RI'!L73</f>
        <v>2421</v>
      </c>
      <c r="N73" s="10">
        <f>+'A) Base RI'!R73</f>
        <v>2401.69</v>
      </c>
      <c r="O73" s="10">
        <f t="shared" si="7"/>
        <v>237314.05</v>
      </c>
      <c r="P73" s="10">
        <f>+'A) Base RI'!M73</f>
        <v>237314.05</v>
      </c>
      <c r="Q73" s="413">
        <f>'A) Base RI'!Z73</f>
        <v>1</v>
      </c>
      <c r="R73" s="405">
        <f t="shared" si="8"/>
        <v>3503986.8996571656</v>
      </c>
      <c r="S73" s="401">
        <f>+'A) Base RI'!U73</f>
        <v>70</v>
      </c>
      <c r="T73" s="405">
        <f t="shared" si="9"/>
        <v>3264251.8496571658</v>
      </c>
      <c r="U73" s="405">
        <f t="shared" si="10"/>
        <v>50056.955709388079</v>
      </c>
      <c r="V73" s="10">
        <f>+'A) Base RI'!P73</f>
        <v>0</v>
      </c>
      <c r="W73" s="10">
        <f>+'A) Base RI'!Q73</f>
        <v>142023.45000000001</v>
      </c>
      <c r="X73" s="10">
        <f>+'A) Base RI'!S73</f>
        <v>97499.9</v>
      </c>
      <c r="Y73" s="405">
        <f t="shared" si="11"/>
        <v>239523.35</v>
      </c>
      <c r="Z73" s="10">
        <f>+'A) Base RI'!O73</f>
        <v>11964.55</v>
      </c>
      <c r="AA73" s="10">
        <f>'A) Base RI'!V73</f>
        <v>1074</v>
      </c>
    </row>
    <row r="74" spans="1:27" x14ac:dyDescent="0.25">
      <c r="A74" s="8">
        <f>'A) Base RI'!A74</f>
        <v>5512</v>
      </c>
      <c r="B74" s="32" t="str">
        <f>'A) Base RI'!B74</f>
        <v>Bercher</v>
      </c>
      <c r="C74" s="10">
        <f>'A) Base RI'!C74+'A) Base RI'!D74</f>
        <v>2780440.13</v>
      </c>
      <c r="D74" s="10">
        <f>'A) Base RI'!W74</f>
        <v>-29974.03</v>
      </c>
      <c r="E74" s="397">
        <f>'A) Base RI'!X74</f>
        <v>0</v>
      </c>
      <c r="F74" s="397">
        <f>'A) Base RI'!Y74</f>
        <v>-903.29</v>
      </c>
      <c r="G74" s="405">
        <f t="shared" si="6"/>
        <v>2749562.81</v>
      </c>
      <c r="H74" s="10">
        <f>+'A) Base RI'!E74</f>
        <v>0</v>
      </c>
      <c r="I74" s="10">
        <f>+'A) Base RI'!F74</f>
        <v>0</v>
      </c>
      <c r="J74" s="10">
        <f>+'A) Base RI'!G74+'A) Base RI'!H74+'A) Base RI'!I74</f>
        <v>78354.83203322858</v>
      </c>
      <c r="K74" s="10">
        <f>+'A) Base RI'!J74</f>
        <v>0</v>
      </c>
      <c r="L74" s="10">
        <f>+'A) Base RI'!K74</f>
        <v>64914.23</v>
      </c>
      <c r="M74" s="10">
        <f>+'A) Base RI'!L74</f>
        <v>7584.7</v>
      </c>
      <c r="N74" s="10">
        <f>+'A) Base RI'!R74</f>
        <v>10670.15</v>
      </c>
      <c r="O74" s="10">
        <f t="shared" si="7"/>
        <v>250033</v>
      </c>
      <c r="P74" s="10">
        <f>+'A) Base RI'!M74</f>
        <v>250033</v>
      </c>
      <c r="Q74" s="413">
        <f>'A) Base RI'!Z74</f>
        <v>1</v>
      </c>
      <c r="R74" s="405">
        <f t="shared" si="8"/>
        <v>3161119.7220332287</v>
      </c>
      <c r="S74" s="401">
        <f>+'A) Base RI'!U74</f>
        <v>79</v>
      </c>
      <c r="T74" s="405">
        <f t="shared" si="9"/>
        <v>2903502.0220332285</v>
      </c>
      <c r="U74" s="405">
        <f t="shared" si="10"/>
        <v>40014.173696623147</v>
      </c>
      <c r="V74" s="10">
        <f>+'A) Base RI'!P74</f>
        <v>4694.5</v>
      </c>
      <c r="W74" s="10">
        <f>+'A) Base RI'!Q74</f>
        <v>82116.75</v>
      </c>
      <c r="X74" s="10">
        <f>+'A) Base RI'!S74</f>
        <v>56380.95</v>
      </c>
      <c r="Y74" s="405">
        <f t="shared" si="11"/>
        <v>143192.20000000001</v>
      </c>
      <c r="Z74" s="10">
        <f>+'A) Base RI'!O74</f>
        <v>54197.25</v>
      </c>
      <c r="AA74" s="10">
        <f>'A) Base RI'!V74</f>
        <v>1280</v>
      </c>
    </row>
    <row r="75" spans="1:27" x14ac:dyDescent="0.25">
      <c r="A75" s="8">
        <f>'A) Base RI'!A75</f>
        <v>5513</v>
      </c>
      <c r="B75" s="32" t="str">
        <f>'A) Base RI'!B75</f>
        <v>Bioley-Orjulaz</v>
      </c>
      <c r="C75" s="10">
        <f>'A) Base RI'!C75+'A) Base RI'!D75</f>
        <v>1146514.6800000002</v>
      </c>
      <c r="D75" s="10">
        <f>'A) Base RI'!W75</f>
        <v>-26769.8</v>
      </c>
      <c r="E75" s="397">
        <f>'A) Base RI'!X75</f>
        <v>0</v>
      </c>
      <c r="F75" s="397">
        <f>'A) Base RI'!Y75</f>
        <v>-7.0000000000000007E-2</v>
      </c>
      <c r="G75" s="405">
        <f t="shared" si="6"/>
        <v>1119744.81</v>
      </c>
      <c r="H75" s="10">
        <f>+'A) Base RI'!E75</f>
        <v>0</v>
      </c>
      <c r="I75" s="10">
        <f>+'A) Base RI'!F75</f>
        <v>0</v>
      </c>
      <c r="J75" s="10">
        <f>+'A) Base RI'!G75+'A) Base RI'!H75+'A) Base RI'!I75</f>
        <v>122506.9287676253</v>
      </c>
      <c r="K75" s="10">
        <f>+'A) Base RI'!J75</f>
        <v>0</v>
      </c>
      <c r="L75" s="10">
        <f>+'A) Base RI'!K75</f>
        <v>60903.24</v>
      </c>
      <c r="M75" s="10">
        <f>+'A) Base RI'!L75</f>
        <v>10166.75</v>
      </c>
      <c r="N75" s="10">
        <f>+'A) Base RI'!R75</f>
        <v>5329.29</v>
      </c>
      <c r="O75" s="10">
        <f t="shared" si="7"/>
        <v>115071.6</v>
      </c>
      <c r="P75" s="10">
        <f>+'A) Base RI'!M75</f>
        <v>57535.8</v>
      </c>
      <c r="Q75" s="413">
        <f>'A) Base RI'!Z75</f>
        <v>0.5</v>
      </c>
      <c r="R75" s="405">
        <f t="shared" si="8"/>
        <v>1433722.6187676254</v>
      </c>
      <c r="S75" s="401">
        <f>+'A) Base RI'!U75</f>
        <v>68</v>
      </c>
      <c r="T75" s="405">
        <f t="shared" si="9"/>
        <v>1308484.2687676253</v>
      </c>
      <c r="U75" s="405">
        <f t="shared" si="10"/>
        <v>21084.156158347432</v>
      </c>
      <c r="V75" s="10">
        <f>+'A) Base RI'!P75</f>
        <v>6159.8</v>
      </c>
      <c r="W75" s="10">
        <f>+'A) Base RI'!Q75</f>
        <v>34142.35</v>
      </c>
      <c r="X75" s="10">
        <f>+'A) Base RI'!S75</f>
        <v>7883.9</v>
      </c>
      <c r="Y75" s="405">
        <f t="shared" si="11"/>
        <v>48186.05</v>
      </c>
      <c r="Z75" s="10">
        <f>+'A) Base RI'!O75</f>
        <v>131251.35</v>
      </c>
      <c r="AA75" s="10">
        <f>'A) Base RI'!V75</f>
        <v>521</v>
      </c>
    </row>
    <row r="76" spans="1:27" x14ac:dyDescent="0.25">
      <c r="A76" s="8">
        <f>'A) Base RI'!A76</f>
        <v>5514</v>
      </c>
      <c r="B76" s="32" t="str">
        <f>'A) Base RI'!B76</f>
        <v>Bottens</v>
      </c>
      <c r="C76" s="10">
        <f>'A) Base RI'!C76+'A) Base RI'!D76</f>
        <v>2634482.5599999996</v>
      </c>
      <c r="D76" s="10">
        <f>'A) Base RI'!W76</f>
        <v>-33981.769999999997</v>
      </c>
      <c r="E76" s="397">
        <f>'A) Base RI'!X76</f>
        <v>0</v>
      </c>
      <c r="F76" s="397">
        <f>'A) Base RI'!Y76</f>
        <v>-27.07</v>
      </c>
      <c r="G76" s="405">
        <f t="shared" si="6"/>
        <v>2600473.7199999997</v>
      </c>
      <c r="H76" s="10">
        <f>+'A) Base RI'!E76</f>
        <v>0</v>
      </c>
      <c r="I76" s="10">
        <f>+'A) Base RI'!F76</f>
        <v>0</v>
      </c>
      <c r="J76" s="10">
        <f>+'A) Base RI'!G76+'A) Base RI'!H76+'A) Base RI'!I76</f>
        <v>60069.371218951237</v>
      </c>
      <c r="K76" s="10">
        <f>+'A) Base RI'!J76</f>
        <v>36479.1</v>
      </c>
      <c r="L76" s="10">
        <f>+'A) Base RI'!K76</f>
        <v>66329.039999999994</v>
      </c>
      <c r="M76" s="10">
        <f>+'A) Base RI'!L76</f>
        <v>9875.5</v>
      </c>
      <c r="N76" s="10">
        <f>+'A) Base RI'!R76</f>
        <v>16240.68</v>
      </c>
      <c r="O76" s="10">
        <f t="shared" si="7"/>
        <v>230359.8</v>
      </c>
      <c r="P76" s="10">
        <f>+'A) Base RI'!M76</f>
        <v>230359.8</v>
      </c>
      <c r="Q76" s="413">
        <f>'A) Base RI'!Z76</f>
        <v>1</v>
      </c>
      <c r="R76" s="405">
        <f t="shared" si="8"/>
        <v>3019827.2112189513</v>
      </c>
      <c r="S76" s="401">
        <f>+'A) Base RI'!U76</f>
        <v>74</v>
      </c>
      <c r="T76" s="405">
        <f t="shared" si="9"/>
        <v>2779591.9112189515</v>
      </c>
      <c r="U76" s="405">
        <f t="shared" si="10"/>
        <v>40808.475827283124</v>
      </c>
      <c r="V76" s="10">
        <f>+'A) Base RI'!P76</f>
        <v>0</v>
      </c>
      <c r="W76" s="10">
        <f>+'A) Base RI'!Q76</f>
        <v>57619.85</v>
      </c>
      <c r="X76" s="10">
        <f>+'A) Base RI'!S76</f>
        <v>65627.399999999994</v>
      </c>
      <c r="Y76" s="405">
        <f t="shared" si="11"/>
        <v>123247.25</v>
      </c>
      <c r="Z76" s="10">
        <f>+'A) Base RI'!O76</f>
        <v>5546.8</v>
      </c>
      <c r="AA76" s="10">
        <f>'A) Base RI'!V76</f>
        <v>1299</v>
      </c>
    </row>
    <row r="77" spans="1:27" x14ac:dyDescent="0.25">
      <c r="A77" s="8">
        <f>'A) Base RI'!A77</f>
        <v>5515</v>
      </c>
      <c r="B77" s="32" t="str">
        <f>'A) Base RI'!B77</f>
        <v>Bretigny-sur-Morrens</v>
      </c>
      <c r="C77" s="10">
        <f>'A) Base RI'!C77+'A) Base RI'!D77</f>
        <v>2194091.0699999998</v>
      </c>
      <c r="D77" s="10">
        <f>'A) Base RI'!W77</f>
        <v>-92741.65</v>
      </c>
      <c r="E77" s="397">
        <f>'A) Base RI'!X77</f>
        <v>-855.55</v>
      </c>
      <c r="F77" s="397">
        <f>'A) Base RI'!Y77</f>
        <v>0.05</v>
      </c>
      <c r="G77" s="405">
        <f t="shared" si="6"/>
        <v>2100493.92</v>
      </c>
      <c r="H77" s="10">
        <f>+'A) Base RI'!E77</f>
        <v>0</v>
      </c>
      <c r="I77" s="10">
        <f>+'A) Base RI'!F77</f>
        <v>0</v>
      </c>
      <c r="J77" s="10">
        <f>+'A) Base RI'!G77+'A) Base RI'!H77+'A) Base RI'!I77</f>
        <v>5429.1247068693638</v>
      </c>
      <c r="K77" s="10">
        <f>+'A) Base RI'!J77</f>
        <v>0</v>
      </c>
      <c r="L77" s="10">
        <f>+'A) Base RI'!K77</f>
        <v>60964.72</v>
      </c>
      <c r="M77" s="10">
        <f>+'A) Base RI'!L77</f>
        <v>4856.05</v>
      </c>
      <c r="N77" s="10">
        <f>+'A) Base RI'!R77</f>
        <v>645.6</v>
      </c>
      <c r="O77" s="10">
        <f t="shared" si="7"/>
        <v>161813.95000000001</v>
      </c>
      <c r="P77" s="10">
        <f>+'A) Base RI'!M77</f>
        <v>161813.95000000001</v>
      </c>
      <c r="Q77" s="413">
        <f>'A) Base RI'!Z77</f>
        <v>1</v>
      </c>
      <c r="R77" s="405">
        <f t="shared" si="8"/>
        <v>2334203.3647068697</v>
      </c>
      <c r="S77" s="401">
        <f>+'A) Base RI'!U77</f>
        <v>81</v>
      </c>
      <c r="T77" s="405">
        <f t="shared" si="9"/>
        <v>2167533.3647068697</v>
      </c>
      <c r="U77" s="405">
        <f t="shared" si="10"/>
        <v>28817.325490208266</v>
      </c>
      <c r="V77" s="10">
        <f>+'A) Base RI'!P77</f>
        <v>0</v>
      </c>
      <c r="W77" s="10">
        <f>+'A) Base RI'!Q77</f>
        <v>162427.6</v>
      </c>
      <c r="X77" s="10">
        <f>+'A) Base RI'!S77</f>
        <v>24956.5</v>
      </c>
      <c r="Y77" s="405">
        <f t="shared" si="11"/>
        <v>187384.1</v>
      </c>
      <c r="Z77" s="10">
        <f>+'A) Base RI'!O77</f>
        <v>8303</v>
      </c>
      <c r="AA77" s="10">
        <f>'A) Base RI'!V77</f>
        <v>861</v>
      </c>
    </row>
    <row r="78" spans="1:27" x14ac:dyDescent="0.25">
      <c r="A78" s="8">
        <f>'A) Base RI'!A78</f>
        <v>5516</v>
      </c>
      <c r="B78" s="32" t="str">
        <f>'A) Base RI'!B78</f>
        <v>Cugy</v>
      </c>
      <c r="C78" s="10">
        <f>'A) Base RI'!C78+'A) Base RI'!D78</f>
        <v>7884996.7599999998</v>
      </c>
      <c r="D78" s="10">
        <f>'A) Base RI'!W78</f>
        <v>-144740.09</v>
      </c>
      <c r="E78" s="397">
        <f>'A) Base RI'!X78</f>
        <v>0</v>
      </c>
      <c r="F78" s="397">
        <f>'A) Base RI'!Y78</f>
        <v>-2180.11</v>
      </c>
      <c r="G78" s="405">
        <f t="shared" si="6"/>
        <v>7738076.5599999996</v>
      </c>
      <c r="H78" s="10">
        <f>+'A) Base RI'!E78</f>
        <v>0</v>
      </c>
      <c r="I78" s="10">
        <f>+'A) Base RI'!F78</f>
        <v>0</v>
      </c>
      <c r="J78" s="10">
        <f>+'A) Base RI'!G78+'A) Base RI'!H78+'A) Base RI'!I78</f>
        <v>143219.6451675625</v>
      </c>
      <c r="K78" s="10">
        <f>+'A) Base RI'!J78</f>
        <v>804.45</v>
      </c>
      <c r="L78" s="10">
        <f>+'A) Base RI'!K78</f>
        <v>119548.36</v>
      </c>
      <c r="M78" s="10">
        <f>+'A) Base RI'!L78</f>
        <v>26829.7</v>
      </c>
      <c r="N78" s="10">
        <f>+'A) Base RI'!R78</f>
        <v>46876.55</v>
      </c>
      <c r="O78" s="10">
        <f t="shared" si="7"/>
        <v>576002.20833333337</v>
      </c>
      <c r="P78" s="10">
        <f>+'A) Base RI'!M78</f>
        <v>691202.65</v>
      </c>
      <c r="Q78" s="413">
        <f>'A) Base RI'!Z78</f>
        <v>1.2</v>
      </c>
      <c r="R78" s="405">
        <f t="shared" si="8"/>
        <v>8651357.4735008962</v>
      </c>
      <c r="S78" s="401">
        <f>+'A) Base RI'!U78</f>
        <v>78</v>
      </c>
      <c r="T78" s="405">
        <f t="shared" si="9"/>
        <v>8048525.5651675621</v>
      </c>
      <c r="U78" s="405">
        <f t="shared" si="10"/>
        <v>110914.83940385764</v>
      </c>
      <c r="V78" s="10">
        <f>+'A) Base RI'!P78</f>
        <v>0</v>
      </c>
      <c r="W78" s="10">
        <f>+'A) Base RI'!Q78</f>
        <v>166230.79999999999</v>
      </c>
      <c r="X78" s="10">
        <f>+'A) Base RI'!S78</f>
        <v>80093.95</v>
      </c>
      <c r="Y78" s="405">
        <f t="shared" si="11"/>
        <v>246324.75</v>
      </c>
      <c r="Z78" s="10">
        <f>+'A) Base RI'!O78</f>
        <v>81623.75</v>
      </c>
      <c r="AA78" s="10">
        <f>'A) Base RI'!V78</f>
        <v>2768</v>
      </c>
    </row>
    <row r="79" spans="1:27" x14ac:dyDescent="0.25">
      <c r="A79" s="8">
        <f>'A) Base RI'!A79</f>
        <v>5518</v>
      </c>
      <c r="B79" s="32" t="str">
        <f>'A) Base RI'!B79</f>
        <v>Echallens</v>
      </c>
      <c r="C79" s="10">
        <f>'A) Base RI'!C79+'A) Base RI'!D79</f>
        <v>12117174.18</v>
      </c>
      <c r="D79" s="10">
        <f>'A) Base RI'!W79</f>
        <v>-326551.06</v>
      </c>
      <c r="E79" s="397">
        <f>'A) Base RI'!X79</f>
        <v>0</v>
      </c>
      <c r="F79" s="397">
        <f>'A) Base RI'!Y79</f>
        <v>-1447.36</v>
      </c>
      <c r="G79" s="405">
        <f t="shared" si="6"/>
        <v>11789175.76</v>
      </c>
      <c r="H79" s="10">
        <f>+'A) Base RI'!E79</f>
        <v>0</v>
      </c>
      <c r="I79" s="10">
        <f>+'A) Base RI'!F79</f>
        <v>0</v>
      </c>
      <c r="J79" s="10">
        <f>+'A) Base RI'!G79+'A) Base RI'!H79+'A) Base RI'!I79</f>
        <v>561579.37108038401</v>
      </c>
      <c r="K79" s="10">
        <f>+'A) Base RI'!J79</f>
        <v>0</v>
      </c>
      <c r="L79" s="10">
        <f>+'A) Base RI'!K79</f>
        <v>220538.18</v>
      </c>
      <c r="M79" s="10">
        <f>+'A) Base RI'!L79</f>
        <v>55525.4</v>
      </c>
      <c r="N79" s="10">
        <f>+'A) Base RI'!R79</f>
        <v>70193.87</v>
      </c>
      <c r="O79" s="10">
        <f t="shared" si="7"/>
        <v>1047812.85</v>
      </c>
      <c r="P79" s="10">
        <f>+'A) Base RI'!M79</f>
        <v>1047812.85</v>
      </c>
      <c r="Q79" s="413">
        <f>'A) Base RI'!Z79</f>
        <v>1</v>
      </c>
      <c r="R79" s="405">
        <f t="shared" si="8"/>
        <v>13744825.431080382</v>
      </c>
      <c r="S79" s="401">
        <f>+'A) Base RI'!U79</f>
        <v>74</v>
      </c>
      <c r="T79" s="405">
        <f t="shared" si="9"/>
        <v>12641487.181080382</v>
      </c>
      <c r="U79" s="405">
        <f t="shared" si="10"/>
        <v>185740.88420378894</v>
      </c>
      <c r="V79" s="10">
        <f>+'A) Base RI'!P79</f>
        <v>64299.6</v>
      </c>
      <c r="W79" s="10">
        <f>+'A) Base RI'!Q79</f>
        <v>1137846.8</v>
      </c>
      <c r="X79" s="10">
        <f>+'A) Base RI'!S79</f>
        <v>233674.95</v>
      </c>
      <c r="Y79" s="405">
        <f t="shared" si="11"/>
        <v>1435821.35</v>
      </c>
      <c r="Z79" s="10">
        <f>+'A) Base RI'!O79</f>
        <v>155319.45000000001</v>
      </c>
      <c r="AA79" s="10">
        <f>'A) Base RI'!V79</f>
        <v>5725</v>
      </c>
    </row>
    <row r="80" spans="1:27" x14ac:dyDescent="0.25">
      <c r="A80" s="8">
        <f>'A) Base RI'!A80</f>
        <v>5520</v>
      </c>
      <c r="B80" s="32" t="str">
        <f>'A) Base RI'!B80</f>
        <v>Essertines-sur-Yverdon</v>
      </c>
      <c r="C80" s="10">
        <f>'A) Base RI'!C80+'A) Base RI'!D80</f>
        <v>1963426.9700000002</v>
      </c>
      <c r="D80" s="10">
        <f>'A) Base RI'!W80</f>
        <v>-24676.41</v>
      </c>
      <c r="E80" s="397">
        <f>'A) Base RI'!X80</f>
        <v>0</v>
      </c>
      <c r="F80" s="397">
        <f>'A) Base RI'!Y80</f>
        <v>-141.34</v>
      </c>
      <c r="G80" s="405">
        <f t="shared" si="6"/>
        <v>1938609.2200000002</v>
      </c>
      <c r="H80" s="10">
        <f>+'A) Base RI'!E80</f>
        <v>0</v>
      </c>
      <c r="I80" s="10">
        <f>+'A) Base RI'!F80</f>
        <v>0</v>
      </c>
      <c r="J80" s="10">
        <f>+'A) Base RI'!G80+'A) Base RI'!H80+'A) Base RI'!I80</f>
        <v>21201.687977021957</v>
      </c>
      <c r="K80" s="10">
        <f>+'A) Base RI'!J80</f>
        <v>0</v>
      </c>
      <c r="L80" s="10">
        <f>+'A) Base RI'!K80</f>
        <v>12580.81</v>
      </c>
      <c r="M80" s="10">
        <f>+'A) Base RI'!L80</f>
        <v>3421.25</v>
      </c>
      <c r="N80" s="10">
        <f>+'A) Base RI'!R80</f>
        <v>20059.57</v>
      </c>
      <c r="O80" s="10">
        <f t="shared" si="7"/>
        <v>181911.15</v>
      </c>
      <c r="P80" s="10">
        <f>+'A) Base RI'!M80</f>
        <v>181911.15</v>
      </c>
      <c r="Q80" s="413">
        <f>'A) Base RI'!Z80</f>
        <v>1</v>
      </c>
      <c r="R80" s="405">
        <f t="shared" si="8"/>
        <v>2177783.6879770225</v>
      </c>
      <c r="S80" s="401">
        <f>+'A) Base RI'!U80</f>
        <v>73</v>
      </c>
      <c r="T80" s="405">
        <f t="shared" si="9"/>
        <v>1992451.2879770224</v>
      </c>
      <c r="U80" s="405">
        <f t="shared" si="10"/>
        <v>29832.653259959214</v>
      </c>
      <c r="V80" s="10">
        <f>+'A) Base RI'!P80</f>
        <v>-17472.099999999999</v>
      </c>
      <c r="W80" s="10">
        <f>+'A) Base RI'!Q80</f>
        <v>103141.75</v>
      </c>
      <c r="X80" s="10">
        <f>+'A) Base RI'!S80</f>
        <v>40313.949999999997</v>
      </c>
      <c r="Y80" s="405">
        <f t="shared" si="11"/>
        <v>125983.59999999999</v>
      </c>
      <c r="Z80" s="10">
        <f>+'A) Base RI'!O80</f>
        <v>0</v>
      </c>
      <c r="AA80" s="10">
        <f>'A) Base RI'!V80</f>
        <v>1030</v>
      </c>
    </row>
    <row r="81" spans="1:27" x14ac:dyDescent="0.25">
      <c r="A81" s="8">
        <f>'A) Base RI'!A81</f>
        <v>5521</v>
      </c>
      <c r="B81" s="32" t="str">
        <f>'A) Base RI'!B81</f>
        <v>Etagnières</v>
      </c>
      <c r="C81" s="10">
        <f>'A) Base RI'!C81+'A) Base RI'!D81</f>
        <v>3157746.67</v>
      </c>
      <c r="D81" s="10">
        <f>'A) Base RI'!W81</f>
        <v>-19066.88</v>
      </c>
      <c r="E81" s="397">
        <f>'A) Base RI'!X81</f>
        <v>0</v>
      </c>
      <c r="F81" s="397">
        <f>'A) Base RI'!Y81</f>
        <v>-484.24</v>
      </c>
      <c r="G81" s="405">
        <f t="shared" si="6"/>
        <v>3138195.55</v>
      </c>
      <c r="H81" s="10">
        <f>+'A) Base RI'!E81</f>
        <v>0</v>
      </c>
      <c r="I81" s="10">
        <f>+'A) Base RI'!F81</f>
        <v>0</v>
      </c>
      <c r="J81" s="10">
        <f>+'A) Base RI'!G81+'A) Base RI'!H81+'A) Base RI'!I81</f>
        <v>57066.148074683071</v>
      </c>
      <c r="K81" s="10">
        <f>+'A) Base RI'!J81</f>
        <v>0</v>
      </c>
      <c r="L81" s="10">
        <f>+'A) Base RI'!K81</f>
        <v>50029.01</v>
      </c>
      <c r="M81" s="10">
        <f>+'A) Base RI'!L81</f>
        <v>17056.25</v>
      </c>
      <c r="N81" s="10">
        <f>+'A) Base RI'!R81</f>
        <v>1013.43</v>
      </c>
      <c r="O81" s="10">
        <f t="shared" si="7"/>
        <v>247388.7</v>
      </c>
      <c r="P81" s="10">
        <f>+'A) Base RI'!M81</f>
        <v>247388.7</v>
      </c>
      <c r="Q81" s="413">
        <f>'A) Base RI'!Z81</f>
        <v>1</v>
      </c>
      <c r="R81" s="405">
        <f t="shared" si="8"/>
        <v>3510749.0880746832</v>
      </c>
      <c r="S81" s="401">
        <f>+'A) Base RI'!U81</f>
        <v>73</v>
      </c>
      <c r="T81" s="405">
        <f t="shared" si="9"/>
        <v>3246304.138074683</v>
      </c>
      <c r="U81" s="405">
        <f t="shared" si="10"/>
        <v>48092.453261297029</v>
      </c>
      <c r="V81" s="10">
        <f>+'A) Base RI'!P81</f>
        <v>0</v>
      </c>
      <c r="W81" s="10">
        <f>+'A) Base RI'!Q81</f>
        <v>146942.95000000001</v>
      </c>
      <c r="X81" s="10">
        <f>+'A) Base RI'!S81</f>
        <v>88958.5</v>
      </c>
      <c r="Y81" s="405">
        <f t="shared" si="11"/>
        <v>235901.45</v>
      </c>
      <c r="Z81" s="10">
        <f>+'A) Base RI'!O81</f>
        <v>46383.55</v>
      </c>
      <c r="AA81" s="10">
        <f>'A) Base RI'!V81</f>
        <v>1143</v>
      </c>
    </row>
    <row r="82" spans="1:27" x14ac:dyDescent="0.25">
      <c r="A82" s="8">
        <f>'A) Base RI'!A82</f>
        <v>5522</v>
      </c>
      <c r="B82" s="32" t="str">
        <f>'A) Base RI'!B82</f>
        <v>Fey</v>
      </c>
      <c r="C82" s="10">
        <f>'A) Base RI'!C82+'A) Base RI'!D82</f>
        <v>1603217.69</v>
      </c>
      <c r="D82" s="10">
        <f>'A) Base RI'!W82</f>
        <v>-33381.32</v>
      </c>
      <c r="E82" s="397">
        <f>'A) Base RI'!X82</f>
        <v>0</v>
      </c>
      <c r="F82" s="397">
        <f>'A) Base RI'!Y82</f>
        <v>-12.73</v>
      </c>
      <c r="G82" s="405">
        <f t="shared" si="6"/>
        <v>1569823.64</v>
      </c>
      <c r="H82" s="10">
        <f>+'A) Base RI'!E82</f>
        <v>0</v>
      </c>
      <c r="I82" s="10">
        <f>+'A) Base RI'!F82</f>
        <v>0</v>
      </c>
      <c r="J82" s="10">
        <f>+'A) Base RI'!G82+'A) Base RI'!H82+'A) Base RI'!I82</f>
        <v>-5744.55</v>
      </c>
      <c r="K82" s="10">
        <f>+'A) Base RI'!J82</f>
        <v>0</v>
      </c>
      <c r="L82" s="10">
        <f>+'A) Base RI'!K82</f>
        <v>-5465.24</v>
      </c>
      <c r="M82" s="10">
        <f>+'A) Base RI'!L82</f>
        <v>2219.9499999999998</v>
      </c>
      <c r="N82" s="10">
        <f>+'A) Base RI'!R82</f>
        <v>6406.08</v>
      </c>
      <c r="O82" s="10">
        <f t="shared" si="7"/>
        <v>132643.6</v>
      </c>
      <c r="P82" s="10">
        <f>+'A) Base RI'!M82</f>
        <v>132643.6</v>
      </c>
      <c r="Q82" s="413">
        <f>'A) Base RI'!Z82</f>
        <v>1</v>
      </c>
      <c r="R82" s="405">
        <f t="shared" si="8"/>
        <v>1699883.48</v>
      </c>
      <c r="S82" s="401">
        <f>+'A) Base RI'!U82</f>
        <v>75</v>
      </c>
      <c r="T82" s="405">
        <f t="shared" si="9"/>
        <v>1565019.93</v>
      </c>
      <c r="U82" s="405">
        <f t="shared" si="10"/>
        <v>22665.113066666665</v>
      </c>
      <c r="V82" s="10">
        <f>+'A) Base RI'!P82</f>
        <v>0</v>
      </c>
      <c r="W82" s="10">
        <f>+'A) Base RI'!Q82</f>
        <v>93179.199999999997</v>
      </c>
      <c r="X82" s="10">
        <f>+'A) Base RI'!S82</f>
        <v>3417.45</v>
      </c>
      <c r="Y82" s="405">
        <f t="shared" si="11"/>
        <v>96596.65</v>
      </c>
      <c r="Z82" s="10">
        <f>+'A) Base RI'!O82</f>
        <v>12806.3</v>
      </c>
      <c r="AA82" s="10">
        <f>'A) Base RI'!V82</f>
        <v>751</v>
      </c>
    </row>
    <row r="83" spans="1:27" x14ac:dyDescent="0.25">
      <c r="A83" s="8">
        <f>'A) Base RI'!A83</f>
        <v>5523</v>
      </c>
      <c r="B83" s="32" t="str">
        <f>'A) Base RI'!B83</f>
        <v>Froideville</v>
      </c>
      <c r="C83" s="10">
        <f>'A) Base RI'!C83+'A) Base RI'!D83</f>
        <v>6158642.2799999993</v>
      </c>
      <c r="D83" s="10">
        <f>'A) Base RI'!W83</f>
        <v>-91775.19</v>
      </c>
      <c r="E83" s="397">
        <f>'A) Base RI'!X83</f>
        <v>0</v>
      </c>
      <c r="F83" s="397">
        <f>'A) Base RI'!Y83</f>
        <v>-320.47000000000003</v>
      </c>
      <c r="G83" s="405">
        <f t="shared" si="6"/>
        <v>6066546.6199999992</v>
      </c>
      <c r="H83" s="10">
        <f>+'A) Base RI'!E83</f>
        <v>0</v>
      </c>
      <c r="I83" s="10">
        <f>+'A) Base RI'!F83</f>
        <v>14600</v>
      </c>
      <c r="J83" s="10">
        <f>+'A) Base RI'!G83+'A) Base RI'!H83+'A) Base RI'!I83</f>
        <v>47860.935145146657</v>
      </c>
      <c r="K83" s="10">
        <f>+'A) Base RI'!J83</f>
        <v>0</v>
      </c>
      <c r="L83" s="10">
        <f>+'A) Base RI'!K83</f>
        <v>70445.600000000006</v>
      </c>
      <c r="M83" s="10">
        <f>+'A) Base RI'!L83</f>
        <v>22553.9</v>
      </c>
      <c r="N83" s="10">
        <f>+'A) Base RI'!R83</f>
        <v>54943.45</v>
      </c>
      <c r="O83" s="10">
        <f t="shared" si="7"/>
        <v>497317.6</v>
      </c>
      <c r="P83" s="10">
        <f>+'A) Base RI'!M83</f>
        <v>621647</v>
      </c>
      <c r="Q83" s="413">
        <f>'A) Base RI'!Z83</f>
        <v>1.25</v>
      </c>
      <c r="R83" s="405">
        <f t="shared" si="8"/>
        <v>6774268.1051451452</v>
      </c>
      <c r="S83" s="401">
        <f>+'A) Base RI'!U83</f>
        <v>76</v>
      </c>
      <c r="T83" s="405">
        <f t="shared" si="9"/>
        <v>6239796.6051451452</v>
      </c>
      <c r="U83" s="405">
        <f t="shared" si="10"/>
        <v>89135.106646646644</v>
      </c>
      <c r="V83" s="10">
        <f>+'A) Base RI'!P83</f>
        <v>0</v>
      </c>
      <c r="W83" s="10">
        <f>+'A) Base RI'!Q83</f>
        <v>167380.95000000001</v>
      </c>
      <c r="X83" s="10">
        <f>+'A) Base RI'!S83</f>
        <v>73824.600000000006</v>
      </c>
      <c r="Y83" s="405">
        <f t="shared" si="11"/>
        <v>241205.55000000002</v>
      </c>
      <c r="Z83" s="10">
        <f>+'A) Base RI'!O83</f>
        <v>14220.2</v>
      </c>
      <c r="AA83" s="10">
        <f>'A) Base RI'!V83</f>
        <v>2638</v>
      </c>
    </row>
    <row r="84" spans="1:27" x14ac:dyDescent="0.25">
      <c r="A84" s="8">
        <f>'A) Base RI'!A84</f>
        <v>5527</v>
      </c>
      <c r="B84" s="32" t="str">
        <f>'A) Base RI'!B84</f>
        <v>Morrens</v>
      </c>
      <c r="C84" s="10">
        <f>'A) Base RI'!C84+'A) Base RI'!D84</f>
        <v>2685830.79</v>
      </c>
      <c r="D84" s="10">
        <f>'A) Base RI'!W84</f>
        <v>-14468.92</v>
      </c>
      <c r="E84" s="397">
        <f>'A) Base RI'!X84</f>
        <v>-47.65</v>
      </c>
      <c r="F84" s="397">
        <f>'A) Base RI'!Y84</f>
        <v>-82.85</v>
      </c>
      <c r="G84" s="405">
        <f t="shared" si="6"/>
        <v>2671231.37</v>
      </c>
      <c r="H84" s="10">
        <f>+'A) Base RI'!E84</f>
        <v>0</v>
      </c>
      <c r="I84" s="10">
        <f>+'A) Base RI'!F84</f>
        <v>0</v>
      </c>
      <c r="J84" s="10">
        <f>+'A) Base RI'!G84+'A) Base RI'!H84+'A) Base RI'!I84</f>
        <v>34768.999025519261</v>
      </c>
      <c r="K84" s="10">
        <f>+'A) Base RI'!J84</f>
        <v>0</v>
      </c>
      <c r="L84" s="10">
        <f>+'A) Base RI'!K84</f>
        <v>30263.48</v>
      </c>
      <c r="M84" s="10">
        <f>+'A) Base RI'!L84</f>
        <v>1930.95</v>
      </c>
      <c r="N84" s="10">
        <f>+'A) Base RI'!R84</f>
        <v>4293.16</v>
      </c>
      <c r="O84" s="10">
        <f t="shared" si="7"/>
        <v>229347.6</v>
      </c>
      <c r="P84" s="10">
        <f>+'A) Base RI'!M84</f>
        <v>229347.6</v>
      </c>
      <c r="Q84" s="413">
        <f>'A) Base RI'!Z84</f>
        <v>1</v>
      </c>
      <c r="R84" s="405">
        <f t="shared" si="8"/>
        <v>2971835.55902552</v>
      </c>
      <c r="S84" s="401">
        <f>+'A) Base RI'!U84</f>
        <v>74</v>
      </c>
      <c r="T84" s="405">
        <f t="shared" si="9"/>
        <v>2740557.0090255197</v>
      </c>
      <c r="U84" s="405">
        <f t="shared" si="10"/>
        <v>40159.939986831349</v>
      </c>
      <c r="V84" s="10">
        <f>+'A) Base RI'!P84</f>
        <v>0</v>
      </c>
      <c r="W84" s="10">
        <f>+'A) Base RI'!Q84</f>
        <v>78115</v>
      </c>
      <c r="X84" s="10">
        <f>+'A) Base RI'!S84</f>
        <v>153764.29999999999</v>
      </c>
      <c r="Y84" s="405">
        <f t="shared" si="11"/>
        <v>231879.3</v>
      </c>
      <c r="Z84" s="10">
        <f>+'A) Base RI'!O84</f>
        <v>9237.4500000000007</v>
      </c>
      <c r="AA84" s="10">
        <f>'A) Base RI'!V84</f>
        <v>1126</v>
      </c>
    </row>
    <row r="85" spans="1:27" x14ac:dyDescent="0.25">
      <c r="A85" s="8">
        <f>'A) Base RI'!A85</f>
        <v>5529</v>
      </c>
      <c r="B85" s="32" t="str">
        <f>'A) Base RI'!B85</f>
        <v>Oulens-sous-Echallens</v>
      </c>
      <c r="C85" s="10">
        <f>'A) Base RI'!C85+'A) Base RI'!D85</f>
        <v>1331221.5</v>
      </c>
      <c r="D85" s="10">
        <f>'A) Base RI'!W85</f>
        <v>-12718.16</v>
      </c>
      <c r="E85" s="397">
        <f>'A) Base RI'!X85</f>
        <v>0</v>
      </c>
      <c r="F85" s="397">
        <f>'A) Base RI'!Y85</f>
        <v>0</v>
      </c>
      <c r="G85" s="405">
        <f t="shared" si="6"/>
        <v>1318503.3400000001</v>
      </c>
      <c r="H85" s="10">
        <f>+'A) Base RI'!E85</f>
        <v>0</v>
      </c>
      <c r="I85" s="10">
        <f>+'A) Base RI'!F85</f>
        <v>0</v>
      </c>
      <c r="J85" s="10">
        <f>+'A) Base RI'!G85+'A) Base RI'!H85+'A) Base RI'!I85</f>
        <v>64008.844890705324</v>
      </c>
      <c r="K85" s="10">
        <f>+'A) Base RI'!J85</f>
        <v>0</v>
      </c>
      <c r="L85" s="10">
        <f>+'A) Base RI'!K85</f>
        <v>21140.07</v>
      </c>
      <c r="M85" s="10">
        <f>+'A) Base RI'!L85</f>
        <v>2560.25</v>
      </c>
      <c r="N85" s="10">
        <f>+'A) Base RI'!R85</f>
        <v>7125.26</v>
      </c>
      <c r="O85" s="10">
        <f t="shared" si="7"/>
        <v>120175.6</v>
      </c>
      <c r="P85" s="10">
        <f>+'A) Base RI'!M85</f>
        <v>120175.6</v>
      </c>
      <c r="Q85" s="413">
        <f>'A) Base RI'!Z85</f>
        <v>1</v>
      </c>
      <c r="R85" s="405">
        <f t="shared" si="8"/>
        <v>1533513.3648907056</v>
      </c>
      <c r="S85" s="401">
        <f>+'A) Base RI'!U85</f>
        <v>71</v>
      </c>
      <c r="T85" s="405">
        <f t="shared" si="9"/>
        <v>1410777.5148907055</v>
      </c>
      <c r="U85" s="405">
        <f t="shared" si="10"/>
        <v>21598.779787193034</v>
      </c>
      <c r="V85" s="10">
        <f>+'A) Base RI'!P85</f>
        <v>0</v>
      </c>
      <c r="W85" s="10">
        <f>+'A) Base RI'!Q85</f>
        <v>39160</v>
      </c>
      <c r="X85" s="10">
        <f>+'A) Base RI'!S85</f>
        <v>38863.550000000003</v>
      </c>
      <c r="Y85" s="405">
        <f t="shared" si="11"/>
        <v>78023.55</v>
      </c>
      <c r="Z85" s="10">
        <f>+'A) Base RI'!O85</f>
        <v>1348.8</v>
      </c>
      <c r="AA85" s="10">
        <f>'A) Base RI'!V85</f>
        <v>615</v>
      </c>
    </row>
    <row r="86" spans="1:27" x14ac:dyDescent="0.25">
      <c r="A86" s="8">
        <f>'A) Base RI'!A86</f>
        <v>5530</v>
      </c>
      <c r="B86" s="32" t="str">
        <f>'A) Base RI'!B86</f>
        <v>Pailly</v>
      </c>
      <c r="C86" s="10">
        <f>'A) Base RI'!C86+'A) Base RI'!D86</f>
        <v>1160785.6399999999</v>
      </c>
      <c r="D86" s="10">
        <f>'A) Base RI'!W86</f>
        <v>-23002.29</v>
      </c>
      <c r="E86" s="397">
        <f>'A) Base RI'!X86</f>
        <v>0</v>
      </c>
      <c r="F86" s="397">
        <f>'A) Base RI'!Y86</f>
        <v>0</v>
      </c>
      <c r="G86" s="405">
        <f t="shared" si="6"/>
        <v>1137783.3499999999</v>
      </c>
      <c r="H86" s="10">
        <f>+'A) Base RI'!E86</f>
        <v>0</v>
      </c>
      <c r="I86" s="10">
        <f>+'A) Base RI'!F86</f>
        <v>0</v>
      </c>
      <c r="J86" s="10">
        <f>+'A) Base RI'!G86+'A) Base RI'!H86+'A) Base RI'!I86</f>
        <v>85173.974245141508</v>
      </c>
      <c r="K86" s="10">
        <f>+'A) Base RI'!J86</f>
        <v>0</v>
      </c>
      <c r="L86" s="10">
        <f>+'A) Base RI'!K86</f>
        <v>16570.25</v>
      </c>
      <c r="M86" s="10">
        <f>+'A) Base RI'!L86</f>
        <v>585.5</v>
      </c>
      <c r="N86" s="10">
        <f>+'A) Base RI'!R86</f>
        <v>22256.25</v>
      </c>
      <c r="O86" s="10">
        <f t="shared" si="7"/>
        <v>102115.04166666667</v>
      </c>
      <c r="P86" s="10">
        <f>+'A) Base RI'!M86</f>
        <v>122538.05</v>
      </c>
      <c r="Q86" s="413">
        <f>'A) Base RI'!Z86</f>
        <v>1.2</v>
      </c>
      <c r="R86" s="405">
        <f t="shared" si="8"/>
        <v>1364484.3659118081</v>
      </c>
      <c r="S86" s="401">
        <f>+'A) Base RI'!U86</f>
        <v>77.5</v>
      </c>
      <c r="T86" s="405">
        <f t="shared" si="9"/>
        <v>1261783.8242451414</v>
      </c>
      <c r="U86" s="405">
        <f t="shared" si="10"/>
        <v>17606.249882733009</v>
      </c>
      <c r="V86" s="10">
        <f>+'A) Base RI'!P86</f>
        <v>1522.5</v>
      </c>
      <c r="W86" s="10">
        <f>+'A) Base RI'!Q86</f>
        <v>64014</v>
      </c>
      <c r="X86" s="10">
        <f>+'A) Base RI'!S86</f>
        <v>29945.25</v>
      </c>
      <c r="Y86" s="405">
        <f t="shared" si="11"/>
        <v>95481.75</v>
      </c>
      <c r="Z86" s="10">
        <f>+'A) Base RI'!O86</f>
        <v>17160.75</v>
      </c>
      <c r="AA86" s="10">
        <f>'A) Base RI'!V86</f>
        <v>563</v>
      </c>
    </row>
    <row r="87" spans="1:27" x14ac:dyDescent="0.25">
      <c r="A87" s="8">
        <f>'A) Base RI'!A87</f>
        <v>5531</v>
      </c>
      <c r="B87" s="32" t="str">
        <f>'A) Base RI'!B87</f>
        <v>Penthéréaz</v>
      </c>
      <c r="C87" s="10">
        <f>'A) Base RI'!C87+'A) Base RI'!D87</f>
        <v>1055285.8</v>
      </c>
      <c r="D87" s="10">
        <f>'A) Base RI'!W87</f>
        <v>-139.79</v>
      </c>
      <c r="E87" s="397">
        <f>'A) Base RI'!X87</f>
        <v>0</v>
      </c>
      <c r="F87" s="397">
        <f>'A) Base RI'!Y87</f>
        <v>-289.16000000000003</v>
      </c>
      <c r="G87" s="405">
        <f t="shared" si="6"/>
        <v>1054856.8500000001</v>
      </c>
      <c r="H87" s="10">
        <f>+'A) Base RI'!E87</f>
        <v>0</v>
      </c>
      <c r="I87" s="10">
        <f>+'A) Base RI'!F87</f>
        <v>0</v>
      </c>
      <c r="J87" s="10">
        <f>+'A) Base RI'!G87+'A) Base RI'!H87+'A) Base RI'!I87</f>
        <v>4982.5227679975042</v>
      </c>
      <c r="K87" s="10">
        <f>+'A) Base RI'!J87</f>
        <v>0</v>
      </c>
      <c r="L87" s="10">
        <f>+'A) Base RI'!K87</f>
        <v>3556.23</v>
      </c>
      <c r="M87" s="10">
        <f>+'A) Base RI'!L87</f>
        <v>887.75</v>
      </c>
      <c r="N87" s="10">
        <f>+'A) Base RI'!R87</f>
        <v>1458.35</v>
      </c>
      <c r="O87" s="10">
        <f t="shared" si="7"/>
        <v>76674.75</v>
      </c>
      <c r="P87" s="10">
        <f>+'A) Base RI'!M87</f>
        <v>76674.75</v>
      </c>
      <c r="Q87" s="413">
        <f>'A) Base RI'!Z87</f>
        <v>1</v>
      </c>
      <c r="R87" s="405">
        <f t="shared" si="8"/>
        <v>1142416.4527679977</v>
      </c>
      <c r="S87" s="401">
        <f>+'A) Base RI'!U87</f>
        <v>78</v>
      </c>
      <c r="T87" s="405">
        <f t="shared" si="9"/>
        <v>1064853.9527679977</v>
      </c>
      <c r="U87" s="405">
        <f t="shared" si="10"/>
        <v>14646.364779076894</v>
      </c>
      <c r="V87" s="10">
        <f>+'A) Base RI'!P87</f>
        <v>0</v>
      </c>
      <c r="W87" s="10">
        <f>+'A) Base RI'!Q87</f>
        <v>9718.25</v>
      </c>
      <c r="X87" s="10">
        <f>+'A) Base RI'!S87</f>
        <v>582.45000000000005</v>
      </c>
      <c r="Y87" s="405">
        <f t="shared" si="11"/>
        <v>10300.700000000001</v>
      </c>
      <c r="Z87" s="10">
        <f>+'A) Base RI'!O87</f>
        <v>6576.7</v>
      </c>
      <c r="AA87" s="10">
        <f>'A) Base RI'!V87</f>
        <v>421</v>
      </c>
    </row>
    <row r="88" spans="1:27" x14ac:dyDescent="0.25">
      <c r="A88" s="8">
        <f>'A) Base RI'!A88</f>
        <v>5533</v>
      </c>
      <c r="B88" s="32" t="str">
        <f>'A) Base RI'!B88</f>
        <v>Poliez-Pittet</v>
      </c>
      <c r="C88" s="10">
        <f>'A) Base RI'!C88+'A) Base RI'!D88</f>
        <v>1465775.6900000002</v>
      </c>
      <c r="D88" s="10">
        <f>'A) Base RI'!W88</f>
        <v>-53157.62</v>
      </c>
      <c r="E88" s="397">
        <f>'A) Base RI'!X88</f>
        <v>0</v>
      </c>
      <c r="F88" s="397">
        <f>'A) Base RI'!Y88</f>
        <v>-10.75</v>
      </c>
      <c r="G88" s="405">
        <f t="shared" si="6"/>
        <v>1412607.32</v>
      </c>
      <c r="H88" s="10">
        <f>+'A) Base RI'!E88</f>
        <v>0</v>
      </c>
      <c r="I88" s="10">
        <f>+'A) Base RI'!F88</f>
        <v>0</v>
      </c>
      <c r="J88" s="10">
        <f>+'A) Base RI'!G88+'A) Base RI'!H88+'A) Base RI'!I88</f>
        <v>-6557.3</v>
      </c>
      <c r="K88" s="10">
        <f>+'A) Base RI'!J88</f>
        <v>47228.4</v>
      </c>
      <c r="L88" s="10">
        <f>+'A) Base RI'!K88</f>
        <v>44615.56</v>
      </c>
      <c r="M88" s="10">
        <f>+'A) Base RI'!L88</f>
        <v>-3482.75</v>
      </c>
      <c r="N88" s="10">
        <f>+'A) Base RI'!R88</f>
        <v>6839.82</v>
      </c>
      <c r="O88" s="10">
        <f t="shared" si="7"/>
        <v>142687.70000000001</v>
      </c>
      <c r="P88" s="10">
        <f>+'A) Base RI'!M88</f>
        <v>142687.70000000001</v>
      </c>
      <c r="Q88" s="413">
        <f>'A) Base RI'!Z88</f>
        <v>1</v>
      </c>
      <c r="R88" s="405">
        <f t="shared" si="8"/>
        <v>1643938.75</v>
      </c>
      <c r="S88" s="401">
        <f>+'A) Base RI'!U88</f>
        <v>73</v>
      </c>
      <c r="T88" s="405">
        <f t="shared" si="9"/>
        <v>1504733.8</v>
      </c>
      <c r="U88" s="405">
        <f t="shared" si="10"/>
        <v>22519.70890410959</v>
      </c>
      <c r="V88" s="10">
        <f>+'A) Base RI'!P88</f>
        <v>0</v>
      </c>
      <c r="W88" s="10">
        <f>+'A) Base RI'!Q88</f>
        <v>130356.55</v>
      </c>
      <c r="X88" s="10">
        <f>+'A) Base RI'!S88</f>
        <v>9974.5</v>
      </c>
      <c r="Y88" s="405">
        <f t="shared" si="11"/>
        <v>140331.04999999999</v>
      </c>
      <c r="Z88" s="10">
        <f>+'A) Base RI'!O88</f>
        <v>4124.7</v>
      </c>
      <c r="AA88" s="10">
        <f>'A) Base RI'!V88</f>
        <v>829</v>
      </c>
    </row>
    <row r="89" spans="1:27" x14ac:dyDescent="0.25">
      <c r="A89" s="8">
        <f>'A) Base RI'!A89</f>
        <v>5534</v>
      </c>
      <c r="B89" s="32" t="str">
        <f>'A) Base RI'!B89</f>
        <v>Rueyres</v>
      </c>
      <c r="C89" s="10">
        <f>'A) Base RI'!C89+'A) Base RI'!D89</f>
        <v>577037.89</v>
      </c>
      <c r="D89" s="10">
        <f>'A) Base RI'!W89</f>
        <v>-2749</v>
      </c>
      <c r="E89" s="397">
        <f>'A) Base RI'!X89</f>
        <v>0</v>
      </c>
      <c r="F89" s="397">
        <f>'A) Base RI'!Y89</f>
        <v>0</v>
      </c>
      <c r="G89" s="405">
        <f t="shared" si="6"/>
        <v>574288.89</v>
      </c>
      <c r="H89" s="10">
        <f>+'A) Base RI'!E89</f>
        <v>0</v>
      </c>
      <c r="I89" s="10">
        <f>+'A) Base RI'!F89</f>
        <v>0</v>
      </c>
      <c r="J89" s="10">
        <f>+'A) Base RI'!G89+'A) Base RI'!H89+'A) Base RI'!I89</f>
        <v>96458.910175263241</v>
      </c>
      <c r="K89" s="10">
        <f>+'A) Base RI'!J89</f>
        <v>0</v>
      </c>
      <c r="L89" s="10">
        <f>+'A) Base RI'!K89</f>
        <v>5607.79</v>
      </c>
      <c r="M89" s="10">
        <f>+'A) Base RI'!L89</f>
        <v>861</v>
      </c>
      <c r="N89" s="10">
        <f>+'A) Base RI'!R89</f>
        <v>0</v>
      </c>
      <c r="O89" s="10">
        <f t="shared" si="7"/>
        <v>78799.600000000006</v>
      </c>
      <c r="P89" s="10">
        <f>+'A) Base RI'!M89</f>
        <v>78799.600000000006</v>
      </c>
      <c r="Q89" s="413">
        <f>'A) Base RI'!Z89</f>
        <v>1</v>
      </c>
      <c r="R89" s="405">
        <f t="shared" si="8"/>
        <v>756016.19017526333</v>
      </c>
      <c r="S89" s="401">
        <f>+'A) Base RI'!U89</f>
        <v>73</v>
      </c>
      <c r="T89" s="405">
        <f t="shared" si="9"/>
        <v>676355.59017526335</v>
      </c>
      <c r="U89" s="405">
        <f t="shared" si="10"/>
        <v>10356.386166784428</v>
      </c>
      <c r="V89" s="10">
        <f>+'A) Base RI'!P89</f>
        <v>0</v>
      </c>
      <c r="W89" s="10">
        <f>+'A) Base RI'!Q89</f>
        <v>14278</v>
      </c>
      <c r="X89" s="10">
        <f>+'A) Base RI'!S89</f>
        <v>16712.25</v>
      </c>
      <c r="Y89" s="405">
        <f t="shared" si="11"/>
        <v>30990.25</v>
      </c>
      <c r="Z89" s="10">
        <f>+'A) Base RI'!O89</f>
        <v>32174.75</v>
      </c>
      <c r="AA89" s="10">
        <f>'A) Base RI'!V89</f>
        <v>265</v>
      </c>
    </row>
    <row r="90" spans="1:27" x14ac:dyDescent="0.25">
      <c r="A90" s="8">
        <f>'A) Base RI'!A90</f>
        <v>5535</v>
      </c>
      <c r="B90" s="32" t="str">
        <f>'A) Base RI'!B90</f>
        <v>Saint-Barthélemy</v>
      </c>
      <c r="C90" s="10">
        <f>'A) Base RI'!C90+'A) Base RI'!D90</f>
        <v>1547267.9700000002</v>
      </c>
      <c r="D90" s="10">
        <f>'A) Base RI'!W90</f>
        <v>-18361.509999999998</v>
      </c>
      <c r="E90" s="397">
        <f>'A) Base RI'!X90</f>
        <v>0</v>
      </c>
      <c r="F90" s="397">
        <f>'A) Base RI'!Y90</f>
        <v>-8.5299999999999994</v>
      </c>
      <c r="G90" s="405">
        <f t="shared" si="6"/>
        <v>1528897.9300000002</v>
      </c>
      <c r="H90" s="10">
        <f>+'A) Base RI'!E90</f>
        <v>0</v>
      </c>
      <c r="I90" s="10">
        <f>+'A) Base RI'!F90</f>
        <v>0</v>
      </c>
      <c r="J90" s="10">
        <f>+'A) Base RI'!G90+'A) Base RI'!H90+'A) Base RI'!I90</f>
        <v>2214.673965438963</v>
      </c>
      <c r="K90" s="10">
        <f>+'A) Base RI'!J90</f>
        <v>0</v>
      </c>
      <c r="L90" s="10">
        <f>+'A) Base RI'!K90</f>
        <v>25901.040000000001</v>
      </c>
      <c r="M90" s="10">
        <f>+'A) Base RI'!L90</f>
        <v>1504.3</v>
      </c>
      <c r="N90" s="10">
        <f>+'A) Base RI'!R90</f>
        <v>22972.49</v>
      </c>
      <c r="O90" s="10">
        <f t="shared" si="7"/>
        <v>146768.1</v>
      </c>
      <c r="P90" s="10">
        <f>+'A) Base RI'!M90</f>
        <v>146768.1</v>
      </c>
      <c r="Q90" s="413">
        <f>'A) Base RI'!Z90</f>
        <v>1</v>
      </c>
      <c r="R90" s="405">
        <f t="shared" si="8"/>
        <v>1728258.5339654393</v>
      </c>
      <c r="S90" s="401">
        <f>+'A) Base RI'!U90</f>
        <v>77</v>
      </c>
      <c r="T90" s="405">
        <f t="shared" si="9"/>
        <v>1579986.1339654392</v>
      </c>
      <c r="U90" s="405">
        <f t="shared" si="10"/>
        <v>22444.916025525185</v>
      </c>
      <c r="V90" s="10">
        <f>+'A) Base RI'!P90</f>
        <v>0</v>
      </c>
      <c r="W90" s="10">
        <f>+'A) Base RI'!Q90</f>
        <v>28930</v>
      </c>
      <c r="X90" s="10">
        <f>+'A) Base RI'!S90</f>
        <v>42511.3</v>
      </c>
      <c r="Y90" s="405">
        <f t="shared" si="11"/>
        <v>71441.3</v>
      </c>
      <c r="Z90" s="10">
        <f>+'A) Base RI'!O90</f>
        <v>42181.4</v>
      </c>
      <c r="AA90" s="10">
        <f>'A) Base RI'!V90</f>
        <v>791</v>
      </c>
    </row>
    <row r="91" spans="1:27" x14ac:dyDescent="0.25">
      <c r="A91" s="8">
        <f>'A) Base RI'!A91</f>
        <v>5537</v>
      </c>
      <c r="B91" s="32" t="str">
        <f>'A) Base RI'!B91</f>
        <v>Villars-le-Terroir</v>
      </c>
      <c r="C91" s="10">
        <f>'A) Base RI'!C91+'A) Base RI'!D91</f>
        <v>2396918.67</v>
      </c>
      <c r="D91" s="10">
        <f>'A) Base RI'!W91</f>
        <v>-38908.65</v>
      </c>
      <c r="E91" s="397">
        <f>'A) Base RI'!X91</f>
        <v>0</v>
      </c>
      <c r="F91" s="397">
        <f>'A) Base RI'!Y91</f>
        <v>-24.63</v>
      </c>
      <c r="G91" s="405">
        <f t="shared" si="6"/>
        <v>2357985.39</v>
      </c>
      <c r="H91" s="10">
        <f>+'A) Base RI'!E91</f>
        <v>0</v>
      </c>
      <c r="I91" s="10">
        <f>+'A) Base RI'!F91</f>
        <v>6875</v>
      </c>
      <c r="J91" s="10">
        <f>+'A) Base RI'!G91+'A) Base RI'!H91+'A) Base RI'!I91</f>
        <v>43950.572969155313</v>
      </c>
      <c r="K91" s="10">
        <f>+'A) Base RI'!J91</f>
        <v>0</v>
      </c>
      <c r="L91" s="10">
        <f>+'A) Base RI'!K91</f>
        <v>13406.28</v>
      </c>
      <c r="M91" s="10">
        <f>+'A) Base RI'!L91</f>
        <v>2556.75</v>
      </c>
      <c r="N91" s="10">
        <f>+'A) Base RI'!R91</f>
        <v>350.7</v>
      </c>
      <c r="O91" s="10">
        <f t="shared" si="7"/>
        <v>223267.3125</v>
      </c>
      <c r="P91" s="10">
        <f>+'A) Base RI'!M91</f>
        <v>178613.85</v>
      </c>
      <c r="Q91" s="413">
        <f>'A) Base RI'!Z91</f>
        <v>0.8</v>
      </c>
      <c r="R91" s="405">
        <f t="shared" si="8"/>
        <v>2648392.0054691555</v>
      </c>
      <c r="S91" s="401">
        <f>+'A) Base RI'!U91</f>
        <v>73</v>
      </c>
      <c r="T91" s="405">
        <f t="shared" si="9"/>
        <v>2415692.9429691555</v>
      </c>
      <c r="U91" s="405">
        <f t="shared" si="10"/>
        <v>36279.342540673366</v>
      </c>
      <c r="V91" s="10">
        <f>+'A) Base RI'!P91</f>
        <v>2371.1</v>
      </c>
      <c r="W91" s="10">
        <f>+'A) Base RI'!Q91</f>
        <v>74986.2</v>
      </c>
      <c r="X91" s="10">
        <f>+'A) Base RI'!S91</f>
        <v>16821.150000000001</v>
      </c>
      <c r="Y91" s="405">
        <f t="shared" si="11"/>
        <v>94178.450000000012</v>
      </c>
      <c r="Z91" s="10">
        <f>+'A) Base RI'!O91</f>
        <v>0</v>
      </c>
      <c r="AA91" s="10">
        <f>'A) Base RI'!V91</f>
        <v>1228</v>
      </c>
    </row>
    <row r="92" spans="1:27" x14ac:dyDescent="0.25">
      <c r="A92" s="8">
        <f>'A) Base RI'!A92</f>
        <v>5539</v>
      </c>
      <c r="B92" s="32" t="str">
        <f>'A) Base RI'!B92</f>
        <v>Vuarrens</v>
      </c>
      <c r="C92" s="10">
        <f>'A) Base RI'!C92+'A) Base RI'!D92</f>
        <v>2070875.85</v>
      </c>
      <c r="D92" s="10">
        <f>'A) Base RI'!W92</f>
        <v>-59851.69</v>
      </c>
      <c r="E92" s="397">
        <f>'A) Base RI'!X92</f>
        <v>0</v>
      </c>
      <c r="F92" s="397">
        <f>'A) Base RI'!Y92</f>
        <v>-50.61</v>
      </c>
      <c r="G92" s="405">
        <f t="shared" si="6"/>
        <v>2010973.55</v>
      </c>
      <c r="H92" s="10">
        <f>+'A) Base RI'!E92</f>
        <v>0</v>
      </c>
      <c r="I92" s="10">
        <f>+'A) Base RI'!F92</f>
        <v>0</v>
      </c>
      <c r="J92" s="10">
        <f>+'A) Base RI'!G92+'A) Base RI'!H92+'A) Base RI'!I92</f>
        <v>18866.788047493057</v>
      </c>
      <c r="K92" s="10">
        <f>+'A) Base RI'!J92</f>
        <v>0</v>
      </c>
      <c r="L92" s="10">
        <f>+'A) Base RI'!K92</f>
        <v>21066.37</v>
      </c>
      <c r="M92" s="10">
        <f>+'A) Base RI'!L92</f>
        <v>4855.3999999999996</v>
      </c>
      <c r="N92" s="10">
        <f>+'A) Base RI'!R92</f>
        <v>15884.41</v>
      </c>
      <c r="O92" s="10">
        <f t="shared" si="7"/>
        <v>178485.625</v>
      </c>
      <c r="P92" s="10">
        <f>+'A) Base RI'!M92</f>
        <v>142788.5</v>
      </c>
      <c r="Q92" s="413">
        <f>'A) Base RI'!Z92</f>
        <v>0.8</v>
      </c>
      <c r="R92" s="405">
        <f t="shared" si="8"/>
        <v>2250132.143047493</v>
      </c>
      <c r="S92" s="401">
        <f>+'A) Base RI'!U92</f>
        <v>75</v>
      </c>
      <c r="T92" s="405">
        <f t="shared" si="9"/>
        <v>2066791.118047493</v>
      </c>
      <c r="U92" s="405">
        <f t="shared" si="10"/>
        <v>30001.761907299908</v>
      </c>
      <c r="V92" s="10">
        <f>+'A) Base RI'!P92</f>
        <v>0</v>
      </c>
      <c r="W92" s="10">
        <f>+'A) Base RI'!Q92</f>
        <v>160546.95000000001</v>
      </c>
      <c r="X92" s="10">
        <f>+'A) Base RI'!S92</f>
        <v>33110.800000000003</v>
      </c>
      <c r="Y92" s="405">
        <f t="shared" si="11"/>
        <v>193657.75</v>
      </c>
      <c r="Z92" s="10">
        <f>+'A) Base RI'!O92</f>
        <v>21711.65</v>
      </c>
      <c r="AA92" s="10">
        <f>'A) Base RI'!V92</f>
        <v>1054</v>
      </c>
    </row>
    <row r="93" spans="1:27" x14ac:dyDescent="0.25">
      <c r="A93" s="8">
        <f>'A) Base RI'!A93</f>
        <v>5540</v>
      </c>
      <c r="B93" s="32" t="str">
        <f>'A) Base RI'!B93</f>
        <v>Montilliez</v>
      </c>
      <c r="C93" s="10">
        <f>'A) Base RI'!C93+'A) Base RI'!D93</f>
        <v>4336206.42</v>
      </c>
      <c r="D93" s="10">
        <f>'A) Base RI'!W93</f>
        <v>-53955.62</v>
      </c>
      <c r="E93" s="397">
        <f>'A) Base RI'!X93</f>
        <v>-1675.1</v>
      </c>
      <c r="F93" s="397">
        <f>'A) Base RI'!Y93</f>
        <v>-304.41000000000003</v>
      </c>
      <c r="G93" s="405">
        <f t="shared" si="6"/>
        <v>4280271.29</v>
      </c>
      <c r="H93" s="10">
        <f>+'A) Base RI'!E93</f>
        <v>0</v>
      </c>
      <c r="I93" s="10">
        <f>+'A) Base RI'!F93</f>
        <v>0</v>
      </c>
      <c r="J93" s="10">
        <f>+'A) Base RI'!G93+'A) Base RI'!H93+'A) Base RI'!I93</f>
        <v>73371.011659799784</v>
      </c>
      <c r="K93" s="10">
        <f>+'A) Base RI'!J93</f>
        <v>0</v>
      </c>
      <c r="L93" s="10">
        <f>+'A) Base RI'!K93</f>
        <v>67900.75</v>
      </c>
      <c r="M93" s="10">
        <f>+'A) Base RI'!L93</f>
        <v>9292.85</v>
      </c>
      <c r="N93" s="10">
        <f>+'A) Base RI'!R93</f>
        <v>19583.669999999998</v>
      </c>
      <c r="O93" s="10">
        <f t="shared" si="7"/>
        <v>332766.25</v>
      </c>
      <c r="P93" s="10">
        <f>+'A) Base RI'!M93</f>
        <v>266213</v>
      </c>
      <c r="Q93" s="413">
        <f>'A) Base RI'!Z93</f>
        <v>0.8</v>
      </c>
      <c r="R93" s="405">
        <f t="shared" si="8"/>
        <v>4783185.8216597997</v>
      </c>
      <c r="S93" s="401">
        <f>+'A) Base RI'!U93</f>
        <v>74</v>
      </c>
      <c r="T93" s="405">
        <f t="shared" si="9"/>
        <v>4441126.7216598</v>
      </c>
      <c r="U93" s="405">
        <f t="shared" si="10"/>
        <v>64637.646238645939</v>
      </c>
      <c r="V93" s="10">
        <f>+'A) Base RI'!P93</f>
        <v>0</v>
      </c>
      <c r="W93" s="10">
        <f>+'A) Base RI'!Q93</f>
        <v>100167.35</v>
      </c>
      <c r="X93" s="10">
        <f>+'A) Base RI'!S93</f>
        <v>56097.35</v>
      </c>
      <c r="Y93" s="405">
        <f t="shared" si="11"/>
        <v>156264.70000000001</v>
      </c>
      <c r="Z93" s="10">
        <f>+'A) Base RI'!O93</f>
        <v>2612.8000000000002</v>
      </c>
      <c r="AA93" s="10">
        <f>'A) Base RI'!V93</f>
        <v>1819</v>
      </c>
    </row>
    <row r="94" spans="1:27" x14ac:dyDescent="0.25">
      <c r="A94" s="8">
        <f>'A) Base RI'!A94</f>
        <v>5541</v>
      </c>
      <c r="B94" s="32" t="str">
        <f>'A) Base RI'!B94</f>
        <v>Goumoëns</v>
      </c>
      <c r="C94" s="10">
        <f>'A) Base RI'!C94+'A) Base RI'!D94</f>
        <v>2603478.42</v>
      </c>
      <c r="D94" s="10">
        <f>'A) Base RI'!W94</f>
        <v>-20384.97</v>
      </c>
      <c r="E94" s="397">
        <f>'A) Base RI'!X94</f>
        <v>0</v>
      </c>
      <c r="F94" s="397">
        <f>'A) Base RI'!Y94</f>
        <v>-48.27</v>
      </c>
      <c r="G94" s="405">
        <f t="shared" si="6"/>
        <v>2583045.1799999997</v>
      </c>
      <c r="H94" s="10">
        <f>+'A) Base RI'!E94</f>
        <v>0</v>
      </c>
      <c r="I94" s="10">
        <f>+'A) Base RI'!F94</f>
        <v>0</v>
      </c>
      <c r="J94" s="10">
        <f>+'A) Base RI'!G94+'A) Base RI'!H94+'A) Base RI'!I94</f>
        <v>55737.851454066717</v>
      </c>
      <c r="K94" s="10">
        <f>+'A) Base RI'!J94</f>
        <v>0</v>
      </c>
      <c r="L94" s="10">
        <f>+'A) Base RI'!K94</f>
        <v>18747.310000000001</v>
      </c>
      <c r="M94" s="10">
        <f>+'A) Base RI'!L94</f>
        <v>1720.65</v>
      </c>
      <c r="N94" s="10">
        <f>+'A) Base RI'!R94</f>
        <v>4807.1400000000003</v>
      </c>
      <c r="O94" s="10">
        <f t="shared" si="7"/>
        <v>207147.85</v>
      </c>
      <c r="P94" s="10">
        <f>+'A) Base RI'!M94</f>
        <v>207147.85</v>
      </c>
      <c r="Q94" s="413">
        <f>'A) Base RI'!Z94</f>
        <v>1</v>
      </c>
      <c r="R94" s="405">
        <f t="shared" si="8"/>
        <v>2871205.9814540665</v>
      </c>
      <c r="S94" s="401">
        <f>+'A) Base RI'!U94</f>
        <v>77</v>
      </c>
      <c r="T94" s="405">
        <f t="shared" si="9"/>
        <v>2662337.4814540665</v>
      </c>
      <c r="U94" s="405">
        <f t="shared" si="10"/>
        <v>37288.389369533332</v>
      </c>
      <c r="V94" s="10">
        <f>+'A) Base RI'!P94</f>
        <v>129809.1</v>
      </c>
      <c r="W94" s="10">
        <f>+'A) Base RI'!Q94</f>
        <v>57813.75</v>
      </c>
      <c r="X94" s="10">
        <f>+'A) Base RI'!S94</f>
        <v>27385.35</v>
      </c>
      <c r="Y94" s="405">
        <f t="shared" si="11"/>
        <v>215008.2</v>
      </c>
      <c r="Z94" s="10">
        <f>+'A) Base RI'!O94</f>
        <v>3564.9</v>
      </c>
      <c r="AA94" s="10">
        <f>'A) Base RI'!V94</f>
        <v>1140</v>
      </c>
    </row>
    <row r="95" spans="1:27" x14ac:dyDescent="0.25">
      <c r="A95" s="8">
        <f>'A) Base RI'!A95</f>
        <v>5551</v>
      </c>
      <c r="B95" s="32" t="str">
        <f>'A) Base RI'!B95</f>
        <v>Bonvillars</v>
      </c>
      <c r="C95" s="10">
        <f>'A) Base RI'!C95+'A) Base RI'!D95</f>
        <v>869149.95</v>
      </c>
      <c r="D95" s="10">
        <f>'A) Base RI'!W95</f>
        <v>-12238.86</v>
      </c>
      <c r="E95" s="397">
        <f>'A) Base RI'!X95</f>
        <v>0</v>
      </c>
      <c r="F95" s="397">
        <f>'A) Base RI'!Y95</f>
        <v>-859.49</v>
      </c>
      <c r="G95" s="405">
        <f t="shared" si="6"/>
        <v>856051.6</v>
      </c>
      <c r="H95" s="10">
        <f>+'A) Base RI'!E95</f>
        <v>0</v>
      </c>
      <c r="I95" s="10">
        <f>+'A) Base RI'!F95</f>
        <v>0</v>
      </c>
      <c r="J95" s="10">
        <f>+'A) Base RI'!G95+'A) Base RI'!H95+'A) Base RI'!I95</f>
        <v>24495.631155525432</v>
      </c>
      <c r="K95" s="10">
        <f>+'A) Base RI'!J95</f>
        <v>0</v>
      </c>
      <c r="L95" s="10">
        <f>+'A) Base RI'!K95</f>
        <v>4469.17</v>
      </c>
      <c r="M95" s="10">
        <f>+'A) Base RI'!L95</f>
        <v>7170</v>
      </c>
      <c r="N95" s="10">
        <f>+'A) Base RI'!R95</f>
        <v>0</v>
      </c>
      <c r="O95" s="10">
        <f t="shared" si="7"/>
        <v>112532</v>
      </c>
      <c r="P95" s="10">
        <f>+'A) Base RI'!M95</f>
        <v>112532</v>
      </c>
      <c r="Q95" s="413">
        <f>'A) Base RI'!Z95</f>
        <v>1</v>
      </c>
      <c r="R95" s="405">
        <f t="shared" si="8"/>
        <v>1004718.4011555255</v>
      </c>
      <c r="S95" s="401">
        <f>+'A) Base RI'!U95</f>
        <v>55</v>
      </c>
      <c r="T95" s="405">
        <f t="shared" si="9"/>
        <v>885016.40115552547</v>
      </c>
      <c r="U95" s="405">
        <f t="shared" si="10"/>
        <v>18267.607293736826</v>
      </c>
      <c r="V95" s="10">
        <f>+'A) Base RI'!P95</f>
        <v>0</v>
      </c>
      <c r="W95" s="10">
        <f>+'A) Base RI'!Q95</f>
        <v>10530.9</v>
      </c>
      <c r="X95" s="10">
        <f>+'A) Base RI'!S95</f>
        <v>13978.6</v>
      </c>
      <c r="Y95" s="405">
        <f t="shared" si="11"/>
        <v>24509.5</v>
      </c>
      <c r="Z95" s="10">
        <f>+'A) Base RI'!O95</f>
        <v>0</v>
      </c>
      <c r="AA95" s="10">
        <f>'A) Base RI'!V95</f>
        <v>490</v>
      </c>
    </row>
    <row r="96" spans="1:27" x14ac:dyDescent="0.25">
      <c r="A96" s="8">
        <f>'A) Base RI'!A96</f>
        <v>5552</v>
      </c>
      <c r="B96" s="32" t="str">
        <f>'A) Base RI'!B96</f>
        <v>Bullet</v>
      </c>
      <c r="C96" s="10">
        <f>'A) Base RI'!C96+'A) Base RI'!D96</f>
        <v>1198586.8</v>
      </c>
      <c r="D96" s="10">
        <f>'A) Base RI'!W96</f>
        <v>-6413.84</v>
      </c>
      <c r="E96" s="397">
        <f>'A) Base RI'!X96</f>
        <v>0</v>
      </c>
      <c r="F96" s="397">
        <f>'A) Base RI'!Y96</f>
        <v>-131.47</v>
      </c>
      <c r="G96" s="405">
        <f t="shared" si="6"/>
        <v>1192041.49</v>
      </c>
      <c r="H96" s="10">
        <f>+'A) Base RI'!E96</f>
        <v>0</v>
      </c>
      <c r="I96" s="10">
        <f>+'A) Base RI'!F96</f>
        <v>0</v>
      </c>
      <c r="J96" s="10">
        <f>+'A) Base RI'!G96+'A) Base RI'!H96+'A) Base RI'!I96</f>
        <v>12081.77850018567</v>
      </c>
      <c r="K96" s="10">
        <f>+'A) Base RI'!J96</f>
        <v>0</v>
      </c>
      <c r="L96" s="10">
        <f>+'A) Base RI'!K96</f>
        <v>16355.25</v>
      </c>
      <c r="M96" s="10">
        <f>+'A) Base RI'!L96</f>
        <v>1523.3</v>
      </c>
      <c r="N96" s="10">
        <f>+'A) Base RI'!R96</f>
        <v>19.579999999999998</v>
      </c>
      <c r="O96" s="10">
        <f t="shared" si="7"/>
        <v>119008</v>
      </c>
      <c r="P96" s="10">
        <f>+'A) Base RI'!M96</f>
        <v>119008</v>
      </c>
      <c r="Q96" s="413">
        <f>'A) Base RI'!Z96</f>
        <v>1</v>
      </c>
      <c r="R96" s="405">
        <f t="shared" si="8"/>
        <v>1341029.3985001857</v>
      </c>
      <c r="S96" s="401">
        <f>+'A) Base RI'!U96</f>
        <v>73</v>
      </c>
      <c r="T96" s="405">
        <f t="shared" si="9"/>
        <v>1220498.0985001856</v>
      </c>
      <c r="U96" s="405">
        <f t="shared" si="10"/>
        <v>18370.265732879256</v>
      </c>
      <c r="V96" s="10">
        <f>+'A) Base RI'!P96</f>
        <v>0</v>
      </c>
      <c r="W96" s="10">
        <f>+'A) Base RI'!Q96</f>
        <v>62296.95</v>
      </c>
      <c r="X96" s="10">
        <f>+'A) Base RI'!S96</f>
        <v>38656</v>
      </c>
      <c r="Y96" s="405">
        <f t="shared" si="11"/>
        <v>100952.95</v>
      </c>
      <c r="Z96" s="10">
        <f>+'A) Base RI'!O96</f>
        <v>53648</v>
      </c>
      <c r="AA96" s="10">
        <f>'A) Base RI'!V96</f>
        <v>657</v>
      </c>
    </row>
    <row r="97" spans="1:27" x14ac:dyDescent="0.25">
      <c r="A97" s="8">
        <f>'A) Base RI'!A97</f>
        <v>5553</v>
      </c>
      <c r="B97" s="32" t="str">
        <f>'A) Base RI'!B97</f>
        <v>Champagne</v>
      </c>
      <c r="C97" s="10">
        <f>'A) Base RI'!C97+'A) Base RI'!D97</f>
        <v>2076497.3399999999</v>
      </c>
      <c r="D97" s="10">
        <f>'A) Base RI'!W97</f>
        <v>-30906.28</v>
      </c>
      <c r="E97" s="397">
        <f>'A) Base RI'!X97</f>
        <v>0</v>
      </c>
      <c r="F97" s="397">
        <f>'A) Base RI'!Y97</f>
        <v>-1479.55</v>
      </c>
      <c r="G97" s="405">
        <f t="shared" si="6"/>
        <v>2044111.5099999998</v>
      </c>
      <c r="H97" s="10">
        <f>+'A) Base RI'!E97</f>
        <v>0</v>
      </c>
      <c r="I97" s="10">
        <f>+'A) Base RI'!F97</f>
        <v>0</v>
      </c>
      <c r="J97" s="10">
        <f>+'A) Base RI'!G97+'A) Base RI'!H97+'A) Base RI'!I97</f>
        <v>117917.07268666007</v>
      </c>
      <c r="K97" s="10">
        <f>+'A) Base RI'!J97</f>
        <v>0</v>
      </c>
      <c r="L97" s="10">
        <f>+'A) Base RI'!K97</f>
        <v>23613.39</v>
      </c>
      <c r="M97" s="10">
        <f>+'A) Base RI'!L97</f>
        <v>31512.35</v>
      </c>
      <c r="N97" s="10">
        <f>+'A) Base RI'!R97</f>
        <v>10030.790000000001</v>
      </c>
      <c r="O97" s="10">
        <f t="shared" si="7"/>
        <v>225127.9</v>
      </c>
      <c r="P97" s="10">
        <f>+'A) Base RI'!M97</f>
        <v>225127.9</v>
      </c>
      <c r="Q97" s="413">
        <f>'A) Base RI'!Z97</f>
        <v>1</v>
      </c>
      <c r="R97" s="405">
        <f t="shared" si="8"/>
        <v>2452313.01268666</v>
      </c>
      <c r="S97" s="401">
        <f>+'A) Base RI'!U97</f>
        <v>65</v>
      </c>
      <c r="T97" s="405">
        <f t="shared" si="9"/>
        <v>2195672.76268666</v>
      </c>
      <c r="U97" s="405">
        <f t="shared" si="10"/>
        <v>37727.892502871691</v>
      </c>
      <c r="V97" s="10">
        <f>+'A) Base RI'!P97</f>
        <v>13213.5</v>
      </c>
      <c r="W97" s="10">
        <f>+'A) Base RI'!Q97</f>
        <v>71001.3</v>
      </c>
      <c r="X97" s="10">
        <f>+'A) Base RI'!S97</f>
        <v>53417.15</v>
      </c>
      <c r="Y97" s="405">
        <f t="shared" si="11"/>
        <v>137631.95000000001</v>
      </c>
      <c r="Z97" s="10">
        <f>+'A) Base RI'!O97</f>
        <v>135489</v>
      </c>
      <c r="AA97" s="10">
        <f>'A) Base RI'!V97</f>
        <v>1059</v>
      </c>
    </row>
    <row r="98" spans="1:27" x14ac:dyDescent="0.25">
      <c r="A98" s="8">
        <f>'A) Base RI'!A98</f>
        <v>5554</v>
      </c>
      <c r="B98" s="32" t="str">
        <f>'A) Base RI'!B98</f>
        <v>Concise</v>
      </c>
      <c r="C98" s="10">
        <f>'A) Base RI'!C98+'A) Base RI'!D98</f>
        <v>2255132.2000000002</v>
      </c>
      <c r="D98" s="10">
        <f>'A) Base RI'!W98</f>
        <v>-16072.26</v>
      </c>
      <c r="E98" s="397">
        <f>'A) Base RI'!X98</f>
        <v>0</v>
      </c>
      <c r="F98" s="397">
        <f>'A) Base RI'!Y98</f>
        <v>-4047.7</v>
      </c>
      <c r="G98" s="405">
        <f t="shared" si="6"/>
        <v>2235012.2400000002</v>
      </c>
      <c r="H98" s="10">
        <f>+'A) Base RI'!E98</f>
        <v>0</v>
      </c>
      <c r="I98" s="10">
        <f>+'A) Base RI'!F98</f>
        <v>0</v>
      </c>
      <c r="J98" s="10">
        <f>+'A) Base RI'!G98+'A) Base RI'!H98+'A) Base RI'!I98</f>
        <v>31208.209652970447</v>
      </c>
      <c r="K98" s="10">
        <f>+'A) Base RI'!J98</f>
        <v>0</v>
      </c>
      <c r="L98" s="10">
        <f>+'A) Base RI'!K98</f>
        <v>51195.12</v>
      </c>
      <c r="M98" s="10">
        <f>+'A) Base RI'!L98</f>
        <v>-641.54999999999995</v>
      </c>
      <c r="N98" s="10">
        <f>+'A) Base RI'!R98</f>
        <v>2725.29</v>
      </c>
      <c r="O98" s="10">
        <f t="shared" si="7"/>
        <v>176014.1</v>
      </c>
      <c r="P98" s="10">
        <f>+'A) Base RI'!M98</f>
        <v>176014.1</v>
      </c>
      <c r="Q98" s="413">
        <f>'A) Base RI'!Z98</f>
        <v>1</v>
      </c>
      <c r="R98" s="405">
        <f t="shared" si="8"/>
        <v>2495513.4096529712</v>
      </c>
      <c r="S98" s="401">
        <f>+'A) Base RI'!U98</f>
        <v>75</v>
      </c>
      <c r="T98" s="405">
        <f t="shared" si="9"/>
        <v>2320140.8596529709</v>
      </c>
      <c r="U98" s="405">
        <f t="shared" si="10"/>
        <v>33273.512128706279</v>
      </c>
      <c r="V98" s="10">
        <f>+'A) Base RI'!P98</f>
        <v>4050.8</v>
      </c>
      <c r="W98" s="10">
        <f>+'A) Base RI'!Q98</f>
        <v>235222.65</v>
      </c>
      <c r="X98" s="10">
        <f>+'A) Base RI'!S98</f>
        <v>129648.2</v>
      </c>
      <c r="Y98" s="405">
        <f t="shared" si="11"/>
        <v>368921.64999999997</v>
      </c>
      <c r="Z98" s="10">
        <f>+'A) Base RI'!O98</f>
        <v>2698.3</v>
      </c>
      <c r="AA98" s="10">
        <f>'A) Base RI'!V98</f>
        <v>1025</v>
      </c>
    </row>
    <row r="99" spans="1:27" x14ac:dyDescent="0.25">
      <c r="A99" s="8">
        <f>'A) Base RI'!A99</f>
        <v>5555</v>
      </c>
      <c r="B99" s="32" t="str">
        <f>'A) Base RI'!B99</f>
        <v>Corcelles-près-Concise</v>
      </c>
      <c r="C99" s="10">
        <f>'A) Base RI'!C99+'A) Base RI'!D99</f>
        <v>866366.52</v>
      </c>
      <c r="D99" s="10">
        <f>'A) Base RI'!W99</f>
        <v>-6902.32</v>
      </c>
      <c r="E99" s="397">
        <f>'A) Base RI'!X99</f>
        <v>0</v>
      </c>
      <c r="F99" s="397">
        <f>'A) Base RI'!Y99</f>
        <v>-128.57</v>
      </c>
      <c r="G99" s="405">
        <f t="shared" si="6"/>
        <v>859335.63000000012</v>
      </c>
      <c r="H99" s="10">
        <f>+'A) Base RI'!E99</f>
        <v>0</v>
      </c>
      <c r="I99" s="10">
        <f>+'A) Base RI'!F99</f>
        <v>0</v>
      </c>
      <c r="J99" s="10">
        <f>+'A) Base RI'!G99+'A) Base RI'!H99+'A) Base RI'!I99</f>
        <v>10355.906858949056</v>
      </c>
      <c r="K99" s="10">
        <f>+'A) Base RI'!J99</f>
        <v>0</v>
      </c>
      <c r="L99" s="10">
        <f>+'A) Base RI'!K99</f>
        <v>-1588.12</v>
      </c>
      <c r="M99" s="10">
        <f>+'A) Base RI'!L99</f>
        <v>1974.15</v>
      </c>
      <c r="N99" s="10">
        <f>+'A) Base RI'!R99</f>
        <v>0</v>
      </c>
      <c r="O99" s="10">
        <f t="shared" si="7"/>
        <v>90755.6</v>
      </c>
      <c r="P99" s="10">
        <f>+'A) Base RI'!M99</f>
        <v>90755.6</v>
      </c>
      <c r="Q99" s="413">
        <f>'A) Base RI'!Z99</f>
        <v>1</v>
      </c>
      <c r="R99" s="405">
        <f t="shared" si="8"/>
        <v>960833.16685894923</v>
      </c>
      <c r="S99" s="401">
        <f>+'A) Base RI'!U99</f>
        <v>71</v>
      </c>
      <c r="T99" s="405">
        <f t="shared" si="9"/>
        <v>868103.41685894923</v>
      </c>
      <c r="U99" s="405">
        <f t="shared" si="10"/>
        <v>13532.861505055624</v>
      </c>
      <c r="V99" s="10">
        <f>+'A) Base RI'!P99</f>
        <v>31777.3</v>
      </c>
      <c r="W99" s="10">
        <f>+'A) Base RI'!Q99</f>
        <v>34152.449999999997</v>
      </c>
      <c r="X99" s="10">
        <f>+'A) Base RI'!S99</f>
        <v>21330.5</v>
      </c>
      <c r="Y99" s="405">
        <f t="shared" si="11"/>
        <v>87260.25</v>
      </c>
      <c r="Z99" s="10">
        <f>+'A) Base RI'!O99</f>
        <v>8245.2000000000007</v>
      </c>
      <c r="AA99" s="10">
        <f>'A) Base RI'!V99</f>
        <v>401</v>
      </c>
    </row>
    <row r="100" spans="1:27" x14ac:dyDescent="0.25">
      <c r="A100" s="8">
        <f>'A) Base RI'!A100</f>
        <v>5556</v>
      </c>
      <c r="B100" s="32" t="str">
        <f>'A) Base RI'!B100</f>
        <v>Fiez</v>
      </c>
      <c r="C100" s="10">
        <f>'A) Base RI'!C100+'A) Base RI'!D100</f>
        <v>809610.51</v>
      </c>
      <c r="D100" s="10">
        <f>'A) Base RI'!W100</f>
        <v>-2067.16</v>
      </c>
      <c r="E100" s="397">
        <f>'A) Base RI'!X100</f>
        <v>0</v>
      </c>
      <c r="F100" s="397">
        <f>'A) Base RI'!Y100</f>
        <v>0</v>
      </c>
      <c r="G100" s="405">
        <f t="shared" si="6"/>
        <v>807543.35</v>
      </c>
      <c r="H100" s="10">
        <f>+'A) Base RI'!E100</f>
        <v>0</v>
      </c>
      <c r="I100" s="10">
        <f>+'A) Base RI'!F100</f>
        <v>2440</v>
      </c>
      <c r="J100" s="10">
        <f>+'A) Base RI'!G100+'A) Base RI'!H100+'A) Base RI'!I100</f>
        <v>13119.580757076506</v>
      </c>
      <c r="K100" s="10">
        <f>+'A) Base RI'!J100</f>
        <v>0</v>
      </c>
      <c r="L100" s="10">
        <f>+'A) Base RI'!K100</f>
        <v>7521.72</v>
      </c>
      <c r="M100" s="10">
        <f>+'A) Base RI'!L100</f>
        <v>580.79999999999995</v>
      </c>
      <c r="N100" s="10">
        <f>+'A) Base RI'!R100</f>
        <v>0</v>
      </c>
      <c r="O100" s="10">
        <f t="shared" si="7"/>
        <v>70302.083333333343</v>
      </c>
      <c r="P100" s="10">
        <f>+'A) Base RI'!M100</f>
        <v>84362.5</v>
      </c>
      <c r="Q100" s="413">
        <f>'A) Base RI'!Z100</f>
        <v>1.2</v>
      </c>
      <c r="R100" s="405">
        <f t="shared" si="8"/>
        <v>901507.53409040987</v>
      </c>
      <c r="S100" s="401">
        <f>+'A) Base RI'!U100</f>
        <v>69</v>
      </c>
      <c r="T100" s="405">
        <f t="shared" si="9"/>
        <v>828184.65075707645</v>
      </c>
      <c r="U100" s="405">
        <f t="shared" si="10"/>
        <v>13065.326581020432</v>
      </c>
      <c r="V100" s="10">
        <f>+'A) Base RI'!P100</f>
        <v>0</v>
      </c>
      <c r="W100" s="10">
        <f>+'A) Base RI'!Q100</f>
        <v>19005.8</v>
      </c>
      <c r="X100" s="10">
        <f>+'A) Base RI'!S100</f>
        <v>10143.299999999999</v>
      </c>
      <c r="Y100" s="405">
        <f t="shared" si="11"/>
        <v>29149.1</v>
      </c>
      <c r="Z100" s="10">
        <f>+'A) Base RI'!O100</f>
        <v>0</v>
      </c>
      <c r="AA100" s="10">
        <f>'A) Base RI'!V100</f>
        <v>445</v>
      </c>
    </row>
    <row r="101" spans="1:27" x14ac:dyDescent="0.25">
      <c r="A101" s="8">
        <f>'A) Base RI'!A101</f>
        <v>5557</v>
      </c>
      <c r="B101" s="32" t="str">
        <f>'A) Base RI'!B101</f>
        <v>Fontaines-sur-Grandson</v>
      </c>
      <c r="C101" s="10">
        <f>'A) Base RI'!C101+'A) Base RI'!D101</f>
        <v>416628.61</v>
      </c>
      <c r="D101" s="10">
        <f>'A) Base RI'!W101</f>
        <v>-9602.2000000000007</v>
      </c>
      <c r="E101" s="397">
        <f>'A) Base RI'!X101</f>
        <v>0</v>
      </c>
      <c r="F101" s="397">
        <f>'A) Base RI'!Y101</f>
        <v>-0.02</v>
      </c>
      <c r="G101" s="405">
        <f t="shared" si="6"/>
        <v>407026.38999999996</v>
      </c>
      <c r="H101" s="10">
        <f>+'A) Base RI'!E101</f>
        <v>0</v>
      </c>
      <c r="I101" s="10">
        <f>+'A) Base RI'!F101</f>
        <v>1050</v>
      </c>
      <c r="J101" s="10">
        <f>+'A) Base RI'!G101+'A) Base RI'!H101+'A) Base RI'!I101</f>
        <v>4635.4415239424661</v>
      </c>
      <c r="K101" s="10">
        <f>+'A) Base RI'!J101</f>
        <v>0</v>
      </c>
      <c r="L101" s="10">
        <f>+'A) Base RI'!K101</f>
        <v>1174.96</v>
      </c>
      <c r="M101" s="10">
        <f>+'A) Base RI'!L101</f>
        <v>936.95</v>
      </c>
      <c r="N101" s="10">
        <f>+'A) Base RI'!R101</f>
        <v>-581.37</v>
      </c>
      <c r="O101" s="10">
        <f t="shared" si="7"/>
        <v>36205</v>
      </c>
      <c r="P101" s="10">
        <f>+'A) Base RI'!M101</f>
        <v>36205</v>
      </c>
      <c r="Q101" s="413">
        <f>'A) Base RI'!Z101</f>
        <v>1</v>
      </c>
      <c r="R101" s="405">
        <f t="shared" si="8"/>
        <v>450447.37152394245</v>
      </c>
      <c r="S101" s="401">
        <f>+'A) Base RI'!U101</f>
        <v>69</v>
      </c>
      <c r="T101" s="405">
        <f t="shared" si="9"/>
        <v>412255.42152394244</v>
      </c>
      <c r="U101" s="405">
        <f t="shared" si="10"/>
        <v>6528.2227757093106</v>
      </c>
      <c r="V101" s="10">
        <f>+'A) Base RI'!P101</f>
        <v>17.100000000000001</v>
      </c>
      <c r="W101" s="10">
        <f>+'A) Base RI'!Q101</f>
        <v>4350.5</v>
      </c>
      <c r="X101" s="10">
        <f>+'A) Base RI'!S101</f>
        <v>0</v>
      </c>
      <c r="Y101" s="405">
        <f t="shared" si="11"/>
        <v>4367.6000000000004</v>
      </c>
      <c r="Z101" s="10">
        <f>+'A) Base RI'!O101</f>
        <v>0</v>
      </c>
      <c r="AA101" s="10">
        <f>'A) Base RI'!V101</f>
        <v>215</v>
      </c>
    </row>
    <row r="102" spans="1:27" x14ac:dyDescent="0.25">
      <c r="A102" s="8">
        <f>'A) Base RI'!A102</f>
        <v>5559</v>
      </c>
      <c r="B102" s="32" t="str">
        <f>'A) Base RI'!B102</f>
        <v>Giez</v>
      </c>
      <c r="C102" s="10">
        <f>'A) Base RI'!C102+'A) Base RI'!D102</f>
        <v>1165964.2</v>
      </c>
      <c r="D102" s="10">
        <f>'A) Base RI'!W102</f>
        <v>-11784.95</v>
      </c>
      <c r="E102" s="397">
        <f>'A) Base RI'!X102</f>
        <v>0</v>
      </c>
      <c r="F102" s="397">
        <f>'A) Base RI'!Y102</f>
        <v>-288.51</v>
      </c>
      <c r="G102" s="405">
        <f t="shared" si="6"/>
        <v>1153890.74</v>
      </c>
      <c r="H102" s="10">
        <f>+'A) Base RI'!E102</f>
        <v>0</v>
      </c>
      <c r="I102" s="10">
        <f>+'A) Base RI'!F102</f>
        <v>0</v>
      </c>
      <c r="J102" s="10">
        <f>+'A) Base RI'!G102+'A) Base RI'!H102+'A) Base RI'!I102</f>
        <v>120958.54698233742</v>
      </c>
      <c r="K102" s="10">
        <f>+'A) Base RI'!J102</f>
        <v>0</v>
      </c>
      <c r="L102" s="10">
        <f>+'A) Base RI'!K102</f>
        <v>12538.43</v>
      </c>
      <c r="M102" s="10">
        <f>+'A) Base RI'!L102</f>
        <v>4011.5</v>
      </c>
      <c r="N102" s="10">
        <f>+'A) Base RI'!R102</f>
        <v>1170.5999999999999</v>
      </c>
      <c r="O102" s="10">
        <f t="shared" si="7"/>
        <v>88771.1</v>
      </c>
      <c r="P102" s="10">
        <f>+'A) Base RI'!M102</f>
        <v>88771.1</v>
      </c>
      <c r="Q102" s="413">
        <f>'A) Base RI'!Z102</f>
        <v>1</v>
      </c>
      <c r="R102" s="405">
        <f t="shared" si="8"/>
        <v>1381340.9169823376</v>
      </c>
      <c r="S102" s="401">
        <f>+'A) Base RI'!U102</f>
        <v>66</v>
      </c>
      <c r="T102" s="405">
        <f t="shared" si="9"/>
        <v>1288558.3169823375</v>
      </c>
      <c r="U102" s="405">
        <f t="shared" si="10"/>
        <v>20929.407833065721</v>
      </c>
      <c r="V102" s="10">
        <f>+'A) Base RI'!P102</f>
        <v>31347.200000000001</v>
      </c>
      <c r="W102" s="10">
        <f>+'A) Base RI'!Q102</f>
        <v>18865</v>
      </c>
      <c r="X102" s="10">
        <f>+'A) Base RI'!S102</f>
        <v>21247.25</v>
      </c>
      <c r="Y102" s="405">
        <f t="shared" si="11"/>
        <v>71459.45</v>
      </c>
      <c r="Z102" s="10">
        <f>+'A) Base RI'!O102</f>
        <v>17765.05</v>
      </c>
      <c r="AA102" s="10">
        <f>'A) Base RI'!V102</f>
        <v>414</v>
      </c>
    </row>
    <row r="103" spans="1:27" x14ac:dyDescent="0.25">
      <c r="A103" s="8">
        <f>'A) Base RI'!A103</f>
        <v>5560</v>
      </c>
      <c r="B103" s="32" t="str">
        <f>'A) Base RI'!B103</f>
        <v>Grandevent</v>
      </c>
      <c r="C103" s="10">
        <f>'A) Base RI'!C103+'A) Base RI'!D103</f>
        <v>452449.35</v>
      </c>
      <c r="D103" s="10">
        <f>'A) Base RI'!W103</f>
        <v>-189.3</v>
      </c>
      <c r="E103" s="397">
        <f>'A) Base RI'!X103</f>
        <v>0</v>
      </c>
      <c r="F103" s="397">
        <f>'A) Base RI'!Y103</f>
        <v>0</v>
      </c>
      <c r="G103" s="405">
        <f t="shared" si="6"/>
        <v>452260.05</v>
      </c>
      <c r="H103" s="10">
        <f>+'A) Base RI'!E103</f>
        <v>0</v>
      </c>
      <c r="I103" s="10">
        <f>+'A) Base RI'!F103</f>
        <v>0</v>
      </c>
      <c r="J103" s="10">
        <f>+'A) Base RI'!G103+'A) Base RI'!H103+'A) Base RI'!I103</f>
        <v>7278.6637874701919</v>
      </c>
      <c r="K103" s="10">
        <f>+'A) Base RI'!J103</f>
        <v>0</v>
      </c>
      <c r="L103" s="10">
        <f>+'A) Base RI'!K103</f>
        <v>2540.09</v>
      </c>
      <c r="M103" s="10">
        <f>+'A) Base RI'!L103</f>
        <v>624.70000000000005</v>
      </c>
      <c r="N103" s="10">
        <f>+'A) Base RI'!R103</f>
        <v>0</v>
      </c>
      <c r="O103" s="10">
        <f t="shared" si="7"/>
        <v>41640.75</v>
      </c>
      <c r="P103" s="10">
        <f>+'A) Base RI'!M103</f>
        <v>41640.75</v>
      </c>
      <c r="Q103" s="413">
        <f>'A) Base RI'!Z103</f>
        <v>1</v>
      </c>
      <c r="R103" s="405">
        <f t="shared" si="8"/>
        <v>504344.25378747022</v>
      </c>
      <c r="S103" s="401">
        <f>+'A) Base RI'!U103</f>
        <v>68</v>
      </c>
      <c r="T103" s="405">
        <f t="shared" si="9"/>
        <v>462078.80378747021</v>
      </c>
      <c r="U103" s="405">
        <f t="shared" si="10"/>
        <v>7416.8272615804444</v>
      </c>
      <c r="V103" s="10">
        <f>+'A) Base RI'!P103</f>
        <v>12</v>
      </c>
      <c r="W103" s="10">
        <f>+'A) Base RI'!Q103</f>
        <v>12100</v>
      </c>
      <c r="X103" s="10">
        <f>+'A) Base RI'!S103</f>
        <v>16232.45</v>
      </c>
      <c r="Y103" s="405">
        <f t="shared" si="11"/>
        <v>28344.45</v>
      </c>
      <c r="Z103" s="10">
        <f>+'A) Base RI'!O103</f>
        <v>0</v>
      </c>
      <c r="AA103" s="10">
        <f>'A) Base RI'!V103</f>
        <v>222</v>
      </c>
    </row>
    <row r="104" spans="1:27" x14ac:dyDescent="0.25">
      <c r="A104" s="8">
        <f>'A) Base RI'!A104</f>
        <v>5561</v>
      </c>
      <c r="B104" s="32" t="str">
        <f>'A) Base RI'!B104</f>
        <v>Grandson</v>
      </c>
      <c r="C104" s="10">
        <f>'A) Base RI'!C104+'A) Base RI'!D104</f>
        <v>6835181.1699999999</v>
      </c>
      <c r="D104" s="10">
        <f>'A) Base RI'!W104</f>
        <v>-120110.19</v>
      </c>
      <c r="E104" s="397">
        <f>'A) Base RI'!X104</f>
        <v>0</v>
      </c>
      <c r="F104" s="397">
        <f>'A) Base RI'!Y104</f>
        <v>-516.75</v>
      </c>
      <c r="G104" s="405">
        <f t="shared" si="6"/>
        <v>6714554.2299999995</v>
      </c>
      <c r="H104" s="10">
        <f>+'A) Base RI'!E104</f>
        <v>0</v>
      </c>
      <c r="I104" s="10">
        <f>+'A) Base RI'!F104</f>
        <v>0</v>
      </c>
      <c r="J104" s="10">
        <f>+'A) Base RI'!G104+'A) Base RI'!H104+'A) Base RI'!I104</f>
        <v>351848.36432144174</v>
      </c>
      <c r="K104" s="10">
        <f>+'A) Base RI'!J104</f>
        <v>0</v>
      </c>
      <c r="L104" s="10">
        <f>+'A) Base RI'!K104</f>
        <v>110614.16</v>
      </c>
      <c r="M104" s="10">
        <f>+'A) Base RI'!L104</f>
        <v>33835.9</v>
      </c>
      <c r="N104" s="10">
        <f>+'A) Base RI'!R104</f>
        <v>17404.52</v>
      </c>
      <c r="O104" s="10">
        <f t="shared" si="7"/>
        <v>587592.19999999995</v>
      </c>
      <c r="P104" s="10">
        <f>+'A) Base RI'!M104</f>
        <v>587592.19999999995</v>
      </c>
      <c r="Q104" s="413">
        <f>'A) Base RI'!Z104</f>
        <v>1</v>
      </c>
      <c r="R104" s="405">
        <f t="shared" si="8"/>
        <v>7815849.3743214412</v>
      </c>
      <c r="S104" s="401">
        <f>+'A) Base RI'!U104</f>
        <v>69</v>
      </c>
      <c r="T104" s="405">
        <f t="shared" si="9"/>
        <v>7194421.2743214406</v>
      </c>
      <c r="U104" s="405">
        <f t="shared" si="10"/>
        <v>113273.1793379919</v>
      </c>
      <c r="V104" s="10">
        <f>+'A) Base RI'!P104</f>
        <v>1550963.1</v>
      </c>
      <c r="W104" s="10">
        <f>+'A) Base RI'!Q104</f>
        <v>424592</v>
      </c>
      <c r="X104" s="10">
        <f>+'A) Base RI'!S104</f>
        <v>482151.55</v>
      </c>
      <c r="Y104" s="405">
        <f t="shared" si="11"/>
        <v>2457706.65</v>
      </c>
      <c r="Z104" s="10">
        <f>+'A) Base RI'!O104</f>
        <v>297970.95</v>
      </c>
      <c r="AA104" s="10">
        <f>'A) Base RI'!V104</f>
        <v>3340</v>
      </c>
    </row>
    <row r="105" spans="1:27" x14ac:dyDescent="0.25">
      <c r="A105" s="8">
        <f>'A) Base RI'!A105</f>
        <v>5562</v>
      </c>
      <c r="B105" s="32" t="str">
        <f>'A) Base RI'!B105</f>
        <v>Mauborget</v>
      </c>
      <c r="C105" s="10">
        <f>'A) Base RI'!C105+'A) Base RI'!D105</f>
        <v>345571.95</v>
      </c>
      <c r="D105" s="10">
        <f>'A) Base RI'!W105</f>
        <v>-4328.28</v>
      </c>
      <c r="E105" s="397">
        <f>'A) Base RI'!X105</f>
        <v>0</v>
      </c>
      <c r="F105" s="397">
        <f>'A) Base RI'!Y105</f>
        <v>-9.9700000000000006</v>
      </c>
      <c r="G105" s="405">
        <f t="shared" si="6"/>
        <v>341233.7</v>
      </c>
      <c r="H105" s="10">
        <f>+'A) Base RI'!E105</f>
        <v>0</v>
      </c>
      <c r="I105" s="10">
        <f>+'A) Base RI'!F105</f>
        <v>900</v>
      </c>
      <c r="J105" s="10">
        <f>+'A) Base RI'!G105+'A) Base RI'!H105+'A) Base RI'!I105</f>
        <v>-165.1</v>
      </c>
      <c r="K105" s="10">
        <f>+'A) Base RI'!J105</f>
        <v>0</v>
      </c>
      <c r="L105" s="10">
        <f>+'A) Base RI'!K105</f>
        <v>10650.41</v>
      </c>
      <c r="M105" s="10">
        <f>+'A) Base RI'!L105</f>
        <v>1280</v>
      </c>
      <c r="N105" s="10">
        <f>+'A) Base RI'!R105</f>
        <v>0</v>
      </c>
      <c r="O105" s="10">
        <f t="shared" si="7"/>
        <v>29830.875000000004</v>
      </c>
      <c r="P105" s="10">
        <f>+'A) Base RI'!M105</f>
        <v>35797.050000000003</v>
      </c>
      <c r="Q105" s="413">
        <f>'A) Base RI'!Z105</f>
        <v>1.2</v>
      </c>
      <c r="R105" s="405">
        <f t="shared" si="8"/>
        <v>383729.88500000001</v>
      </c>
      <c r="S105" s="401">
        <f>+'A) Base RI'!U105</f>
        <v>70</v>
      </c>
      <c r="T105" s="405">
        <f t="shared" si="9"/>
        <v>351719.01</v>
      </c>
      <c r="U105" s="405">
        <f t="shared" si="10"/>
        <v>5481.8555000000006</v>
      </c>
      <c r="V105" s="10">
        <f>+'A) Base RI'!P105</f>
        <v>43.3</v>
      </c>
      <c r="W105" s="10">
        <f>+'A) Base RI'!Q105</f>
        <v>29821</v>
      </c>
      <c r="X105" s="10">
        <f>+'A) Base RI'!S105</f>
        <v>53350.15</v>
      </c>
      <c r="Y105" s="405">
        <f t="shared" si="11"/>
        <v>83214.45</v>
      </c>
      <c r="Z105" s="10">
        <f>+'A) Base RI'!O105</f>
        <v>0</v>
      </c>
      <c r="AA105" s="10">
        <f>'A) Base RI'!V105</f>
        <v>120</v>
      </c>
    </row>
    <row r="106" spans="1:27" x14ac:dyDescent="0.25">
      <c r="A106" s="8">
        <f>'A) Base RI'!A106</f>
        <v>5563</v>
      </c>
      <c r="B106" s="32" t="str">
        <f>'A) Base RI'!B106</f>
        <v>Mutrux</v>
      </c>
      <c r="C106" s="10">
        <f>'A) Base RI'!C106+'A) Base RI'!D106</f>
        <v>300916.84000000003</v>
      </c>
      <c r="D106" s="10">
        <f>'A) Base RI'!W106</f>
        <v>-4155.03</v>
      </c>
      <c r="E106" s="397">
        <f>'A) Base RI'!X106</f>
        <v>0</v>
      </c>
      <c r="F106" s="397">
        <f>'A) Base RI'!Y106</f>
        <v>-0.95</v>
      </c>
      <c r="G106" s="405">
        <f t="shared" si="6"/>
        <v>296760.86</v>
      </c>
      <c r="H106" s="10">
        <f>+'A) Base RI'!E106</f>
        <v>0</v>
      </c>
      <c r="I106" s="10">
        <f>+'A) Base RI'!F106</f>
        <v>516</v>
      </c>
      <c r="J106" s="10">
        <f>+'A) Base RI'!G106+'A) Base RI'!H106+'A) Base RI'!I106</f>
        <v>2013.9400469819047</v>
      </c>
      <c r="K106" s="10">
        <f>+'A) Base RI'!J106</f>
        <v>0</v>
      </c>
      <c r="L106" s="10">
        <f>+'A) Base RI'!K106</f>
        <v>829.92</v>
      </c>
      <c r="M106" s="10">
        <f>+'A) Base RI'!L106</f>
        <v>0</v>
      </c>
      <c r="N106" s="10">
        <f>+'A) Base RI'!R106</f>
        <v>0</v>
      </c>
      <c r="O106" s="10">
        <f t="shared" si="7"/>
        <v>21810.35</v>
      </c>
      <c r="P106" s="10">
        <f>+'A) Base RI'!M106</f>
        <v>21810.35</v>
      </c>
      <c r="Q106" s="413">
        <f>'A) Base RI'!Z106</f>
        <v>1</v>
      </c>
      <c r="R106" s="405">
        <f t="shared" si="8"/>
        <v>321931.07004698185</v>
      </c>
      <c r="S106" s="401">
        <f>+'A) Base RI'!U106</f>
        <v>80</v>
      </c>
      <c r="T106" s="405">
        <f t="shared" si="9"/>
        <v>299604.72004698188</v>
      </c>
      <c r="U106" s="405">
        <f t="shared" si="10"/>
        <v>4024.138375587273</v>
      </c>
      <c r="V106" s="10">
        <f>+'A) Base RI'!P106</f>
        <v>2722.5</v>
      </c>
      <c r="W106" s="10">
        <f>+'A) Base RI'!Q106</f>
        <v>852.5</v>
      </c>
      <c r="X106" s="10">
        <f>+'A) Base RI'!S106</f>
        <v>1170.95</v>
      </c>
      <c r="Y106" s="405">
        <f t="shared" si="11"/>
        <v>4745.95</v>
      </c>
      <c r="Z106" s="10">
        <f>+'A) Base RI'!O106</f>
        <v>0</v>
      </c>
      <c r="AA106" s="10">
        <f>'A) Base RI'!V106</f>
        <v>153</v>
      </c>
    </row>
    <row r="107" spans="1:27" x14ac:dyDescent="0.25">
      <c r="A107" s="8">
        <f>'A) Base RI'!A107</f>
        <v>5564</v>
      </c>
      <c r="B107" s="32" t="str">
        <f>'A) Base RI'!B107</f>
        <v>Novalles</v>
      </c>
      <c r="C107" s="10">
        <f>'A) Base RI'!C107+'A) Base RI'!D107</f>
        <v>159273.53</v>
      </c>
      <c r="D107" s="10">
        <f>'A) Base RI'!W107</f>
        <v>-933.84</v>
      </c>
      <c r="E107" s="397">
        <f>'A) Base RI'!X107</f>
        <v>0</v>
      </c>
      <c r="F107" s="397">
        <f>'A) Base RI'!Y107</f>
        <v>-18.37</v>
      </c>
      <c r="G107" s="405">
        <f t="shared" si="6"/>
        <v>158321.32</v>
      </c>
      <c r="H107" s="10">
        <f>+'A) Base RI'!E107</f>
        <v>0</v>
      </c>
      <c r="I107" s="10">
        <f>+'A) Base RI'!F107</f>
        <v>0</v>
      </c>
      <c r="J107" s="10">
        <f>+'A) Base RI'!G107+'A) Base RI'!H107+'A) Base RI'!I107</f>
        <v>35.712358174063525</v>
      </c>
      <c r="K107" s="10">
        <f>+'A) Base RI'!J107</f>
        <v>0</v>
      </c>
      <c r="L107" s="10">
        <f>+'A) Base RI'!K107</f>
        <v>0</v>
      </c>
      <c r="M107" s="10">
        <f>+'A) Base RI'!L107</f>
        <v>0</v>
      </c>
      <c r="N107" s="10">
        <f>+'A) Base RI'!R107</f>
        <v>0</v>
      </c>
      <c r="O107" s="10">
        <f t="shared" si="7"/>
        <v>13623.375</v>
      </c>
      <c r="P107" s="10">
        <f>+'A) Base RI'!M107</f>
        <v>10898.7</v>
      </c>
      <c r="Q107" s="413">
        <f>'A) Base RI'!Z107</f>
        <v>0.8</v>
      </c>
      <c r="R107" s="405">
        <f t="shared" si="8"/>
        <v>171980.40735817407</v>
      </c>
      <c r="S107" s="401">
        <f>+'A) Base RI'!U107</f>
        <v>76</v>
      </c>
      <c r="T107" s="405">
        <f t="shared" si="9"/>
        <v>158357.03235817407</v>
      </c>
      <c r="U107" s="405">
        <f t="shared" si="10"/>
        <v>2262.9000968180799</v>
      </c>
      <c r="V107" s="10">
        <f>+'A) Base RI'!P107</f>
        <v>0</v>
      </c>
      <c r="W107" s="10">
        <f>+'A) Base RI'!Q107</f>
        <v>19.8</v>
      </c>
      <c r="X107" s="10">
        <f>+'A) Base RI'!S107</f>
        <v>0</v>
      </c>
      <c r="Y107" s="405">
        <f t="shared" si="11"/>
        <v>19.8</v>
      </c>
      <c r="Z107" s="10">
        <f>+'A) Base RI'!O107</f>
        <v>0</v>
      </c>
      <c r="AA107" s="10">
        <f>'A) Base RI'!V107</f>
        <v>100</v>
      </c>
    </row>
    <row r="108" spans="1:27" x14ac:dyDescent="0.25">
      <c r="A108" s="8">
        <f>'A) Base RI'!A108</f>
        <v>5565</v>
      </c>
      <c r="B108" s="32" t="str">
        <f>'A) Base RI'!B108</f>
        <v>Onnens</v>
      </c>
      <c r="C108" s="10">
        <f>'A) Base RI'!C108+'A) Base RI'!D108</f>
        <v>811971.91999999993</v>
      </c>
      <c r="D108" s="10">
        <f>'A) Base RI'!W108</f>
        <v>-5554.02</v>
      </c>
      <c r="E108" s="397">
        <f>'A) Base RI'!X108</f>
        <v>0</v>
      </c>
      <c r="F108" s="397">
        <f>'A) Base RI'!Y108</f>
        <v>0</v>
      </c>
      <c r="G108" s="405">
        <f t="shared" si="6"/>
        <v>806417.89999999991</v>
      </c>
      <c r="H108" s="10">
        <f>+'A) Base RI'!E108</f>
        <v>0</v>
      </c>
      <c r="I108" s="10">
        <f>+'A) Base RI'!F108</f>
        <v>0</v>
      </c>
      <c r="J108" s="10">
        <f>+'A) Base RI'!G108+'A) Base RI'!H108+'A) Base RI'!I108</f>
        <v>248499.95915283897</v>
      </c>
      <c r="K108" s="10">
        <f>+'A) Base RI'!J108</f>
        <v>0</v>
      </c>
      <c r="L108" s="10">
        <f>+'A) Base RI'!K108</f>
        <v>5853.74</v>
      </c>
      <c r="M108" s="10">
        <f>+'A) Base RI'!L108</f>
        <v>24137.8</v>
      </c>
      <c r="N108" s="10">
        <f>+'A) Base RI'!R108</f>
        <v>755.63</v>
      </c>
      <c r="O108" s="10">
        <f t="shared" si="7"/>
        <v>127397.25</v>
      </c>
      <c r="P108" s="10">
        <f>+'A) Base RI'!M108</f>
        <v>127397.25</v>
      </c>
      <c r="Q108" s="413">
        <f>'A) Base RI'!Z108</f>
        <v>1</v>
      </c>
      <c r="R108" s="405">
        <f t="shared" si="8"/>
        <v>1213062.2791528387</v>
      </c>
      <c r="S108" s="401">
        <f>+'A) Base RI'!U108</f>
        <v>65</v>
      </c>
      <c r="T108" s="405">
        <f t="shared" si="9"/>
        <v>1061527.2291528387</v>
      </c>
      <c r="U108" s="405">
        <f t="shared" si="10"/>
        <v>18662.496602351366</v>
      </c>
      <c r="V108" s="10">
        <f>+'A) Base RI'!P108</f>
        <v>79714.8</v>
      </c>
      <c r="W108" s="10">
        <f>+'A) Base RI'!Q108</f>
        <v>53810.400000000001</v>
      </c>
      <c r="X108" s="10">
        <f>+'A) Base RI'!S108</f>
        <v>27250.15</v>
      </c>
      <c r="Y108" s="405">
        <f t="shared" si="11"/>
        <v>160775.35</v>
      </c>
      <c r="Z108" s="10">
        <f>+'A) Base RI'!O108</f>
        <v>31769.45</v>
      </c>
      <c r="AA108" s="10">
        <f>'A) Base RI'!V108</f>
        <v>497</v>
      </c>
    </row>
    <row r="109" spans="1:27" x14ac:dyDescent="0.25">
      <c r="A109" s="8">
        <f>'A) Base RI'!A109</f>
        <v>5566</v>
      </c>
      <c r="B109" s="32" t="str">
        <f>'A) Base RI'!B109</f>
        <v>Provence</v>
      </c>
      <c r="C109" s="10">
        <f>'A) Base RI'!C109+'A) Base RI'!D109</f>
        <v>603691.06999999995</v>
      </c>
      <c r="D109" s="10">
        <f>'A) Base RI'!W109</f>
        <v>-8691.17</v>
      </c>
      <c r="E109" s="397">
        <f>'A) Base RI'!X109</f>
        <v>0</v>
      </c>
      <c r="F109" s="397">
        <f>'A) Base RI'!Y109</f>
        <v>0</v>
      </c>
      <c r="G109" s="405">
        <f t="shared" si="6"/>
        <v>594999.89999999991</v>
      </c>
      <c r="H109" s="10">
        <f>+'A) Base RI'!E109</f>
        <v>0</v>
      </c>
      <c r="I109" s="10">
        <f>+'A) Base RI'!F109</f>
        <v>2590</v>
      </c>
      <c r="J109" s="10">
        <f>+'A) Base RI'!G109+'A) Base RI'!H109+'A) Base RI'!I109</f>
        <v>24439.495616215489</v>
      </c>
      <c r="K109" s="10">
        <f>+'A) Base RI'!J109</f>
        <v>0</v>
      </c>
      <c r="L109" s="10">
        <f>+'A) Base RI'!K109</f>
        <v>13059.1</v>
      </c>
      <c r="M109" s="10">
        <f>+'A) Base RI'!L109</f>
        <v>2954.9</v>
      </c>
      <c r="N109" s="10">
        <f>+'A) Base RI'!R109</f>
        <v>0</v>
      </c>
      <c r="O109" s="10">
        <f t="shared" si="7"/>
        <v>51066</v>
      </c>
      <c r="P109" s="10">
        <f>+'A) Base RI'!M109</f>
        <v>76599</v>
      </c>
      <c r="Q109" s="413">
        <f>'A) Base RI'!Z109</f>
        <v>1.5</v>
      </c>
      <c r="R109" s="405">
        <f t="shared" si="8"/>
        <v>689109.39561621542</v>
      </c>
      <c r="S109" s="401">
        <f>+'A) Base RI'!U109</f>
        <v>81</v>
      </c>
      <c r="T109" s="405">
        <f t="shared" si="9"/>
        <v>632498.4956162154</v>
      </c>
      <c r="U109" s="405">
        <f t="shared" si="10"/>
        <v>8507.523402669327</v>
      </c>
      <c r="V109" s="10">
        <f>+'A) Base RI'!P109</f>
        <v>206.2</v>
      </c>
      <c r="W109" s="10">
        <f>+'A) Base RI'!Q109</f>
        <v>44456.7</v>
      </c>
      <c r="X109" s="10">
        <f>+'A) Base RI'!S109</f>
        <v>23108.400000000001</v>
      </c>
      <c r="Y109" s="405">
        <f t="shared" si="11"/>
        <v>67771.299999999988</v>
      </c>
      <c r="Z109" s="10">
        <f>+'A) Base RI'!O109</f>
        <v>33043.65</v>
      </c>
      <c r="AA109" s="10">
        <f>'A) Base RI'!V109</f>
        <v>379</v>
      </c>
    </row>
    <row r="110" spans="1:27" x14ac:dyDescent="0.25">
      <c r="A110" s="8">
        <f>'A) Base RI'!A110</f>
        <v>5568</v>
      </c>
      <c r="B110" s="32" t="str">
        <f>'A) Base RI'!B110</f>
        <v>Sainte-Croix</v>
      </c>
      <c r="C110" s="10">
        <f>'A) Base RI'!C110+'A) Base RI'!D110</f>
        <v>6624898.1400000006</v>
      </c>
      <c r="D110" s="10">
        <f>'A) Base RI'!W110</f>
        <v>-230356.9</v>
      </c>
      <c r="E110" s="397">
        <f>'A) Base RI'!X110</f>
        <v>0</v>
      </c>
      <c r="F110" s="397">
        <f>'A) Base RI'!Y110</f>
        <v>-3267.83</v>
      </c>
      <c r="G110" s="405">
        <f t="shared" si="6"/>
        <v>6391273.4100000001</v>
      </c>
      <c r="H110" s="10">
        <f>+'A) Base RI'!E110</f>
        <v>0</v>
      </c>
      <c r="I110" s="10">
        <f>+'A) Base RI'!F110</f>
        <v>0</v>
      </c>
      <c r="J110" s="10">
        <f>+'A) Base RI'!G110+'A) Base RI'!H110+'A) Base RI'!I110</f>
        <v>450928.55030315579</v>
      </c>
      <c r="K110" s="10">
        <f>+'A) Base RI'!J110</f>
        <v>31067.05</v>
      </c>
      <c r="L110" s="10">
        <f>+'A) Base RI'!K110</f>
        <v>114101.18</v>
      </c>
      <c r="M110" s="10">
        <f>+'A) Base RI'!L110</f>
        <v>53776.05</v>
      </c>
      <c r="N110" s="10">
        <f>+'A) Base RI'!R110</f>
        <v>22074.35</v>
      </c>
      <c r="O110" s="10">
        <f t="shared" si="7"/>
        <v>597754.44999999995</v>
      </c>
      <c r="P110" s="10">
        <f>+'A) Base RI'!M110</f>
        <v>597754.44999999995</v>
      </c>
      <c r="Q110" s="413">
        <f>'A) Base RI'!Z110</f>
        <v>1</v>
      </c>
      <c r="R110" s="405">
        <f t="shared" si="8"/>
        <v>7660975.0403031548</v>
      </c>
      <c r="S110" s="401">
        <f>+'A) Base RI'!U110</f>
        <v>70</v>
      </c>
      <c r="T110" s="405">
        <f t="shared" si="9"/>
        <v>7009444.5403031548</v>
      </c>
      <c r="U110" s="405">
        <f t="shared" si="10"/>
        <v>109442.50057575936</v>
      </c>
      <c r="V110" s="10">
        <f>+'A) Base RI'!P110</f>
        <v>305285</v>
      </c>
      <c r="W110" s="10">
        <f>+'A) Base RI'!Q110</f>
        <v>507039.4</v>
      </c>
      <c r="X110" s="10">
        <f>+'A) Base RI'!S110</f>
        <v>303012</v>
      </c>
      <c r="Y110" s="405">
        <f t="shared" si="11"/>
        <v>1115336.3999999999</v>
      </c>
      <c r="Z110" s="10">
        <f>+'A) Base RI'!O110</f>
        <v>1673786.35</v>
      </c>
      <c r="AA110" s="10">
        <f>'A) Base RI'!V110</f>
        <v>4888</v>
      </c>
    </row>
    <row r="111" spans="1:27" x14ac:dyDescent="0.25">
      <c r="A111" s="8">
        <f>'A) Base RI'!A111</f>
        <v>5571</v>
      </c>
      <c r="B111" s="32" t="str">
        <f>'A) Base RI'!B111</f>
        <v>Tévenon</v>
      </c>
      <c r="C111" s="10">
        <f>'A) Base RI'!C111+'A) Base RI'!D111</f>
        <v>1644192.7</v>
      </c>
      <c r="D111" s="10">
        <f>'A) Base RI'!W111</f>
        <v>-59913.84</v>
      </c>
      <c r="E111" s="397">
        <f>'A) Base RI'!X111</f>
        <v>0</v>
      </c>
      <c r="F111" s="397">
        <f>'A) Base RI'!Y111</f>
        <v>-51.17</v>
      </c>
      <c r="G111" s="405">
        <f t="shared" si="6"/>
        <v>1584227.69</v>
      </c>
      <c r="H111" s="10">
        <f>+'A) Base RI'!E111</f>
        <v>0</v>
      </c>
      <c r="I111" s="10">
        <f>+'A) Base RI'!F111</f>
        <v>0</v>
      </c>
      <c r="J111" s="10">
        <f>+'A) Base RI'!G111+'A) Base RI'!H111+'A) Base RI'!I111</f>
        <v>5856.9959934287599</v>
      </c>
      <c r="K111" s="10">
        <f>+'A) Base RI'!J111</f>
        <v>0</v>
      </c>
      <c r="L111" s="10">
        <f>+'A) Base RI'!K111</f>
        <v>16215.75</v>
      </c>
      <c r="M111" s="10">
        <f>+'A) Base RI'!L111</f>
        <v>8507.7000000000007</v>
      </c>
      <c r="N111" s="10">
        <f>+'A) Base RI'!R111</f>
        <v>33063.4</v>
      </c>
      <c r="O111" s="10">
        <f t="shared" si="7"/>
        <v>163604.45833333334</v>
      </c>
      <c r="P111" s="10">
        <f>+'A) Base RI'!M111</f>
        <v>196325.35</v>
      </c>
      <c r="Q111" s="413">
        <f>'A) Base RI'!Z111</f>
        <v>1.2</v>
      </c>
      <c r="R111" s="405">
        <f t="shared" si="8"/>
        <v>1811475.9943267619</v>
      </c>
      <c r="S111" s="401">
        <f>+'A) Base RI'!U111</f>
        <v>73</v>
      </c>
      <c r="T111" s="405">
        <f t="shared" si="9"/>
        <v>1639363.8359934287</v>
      </c>
      <c r="U111" s="405">
        <f t="shared" si="10"/>
        <v>24814.739648311806</v>
      </c>
      <c r="V111" s="10">
        <f>+'A) Base RI'!P111</f>
        <v>31138.400000000001</v>
      </c>
      <c r="W111" s="10">
        <f>+'A) Base RI'!Q111</f>
        <v>44458.35</v>
      </c>
      <c r="X111" s="10">
        <f>+'A) Base RI'!S111</f>
        <v>35805.800000000003</v>
      </c>
      <c r="Y111" s="405">
        <f t="shared" si="11"/>
        <v>111402.55</v>
      </c>
      <c r="Z111" s="10">
        <f>+'A) Base RI'!O111</f>
        <v>46447.8</v>
      </c>
      <c r="AA111" s="10">
        <f>'A) Base RI'!V111</f>
        <v>896</v>
      </c>
    </row>
    <row r="112" spans="1:27" x14ac:dyDescent="0.25">
      <c r="A112" s="8">
        <f>'A) Base RI'!A112</f>
        <v>5581</v>
      </c>
      <c r="B112" s="32" t="str">
        <f>'A) Base RI'!B112</f>
        <v>Belmont-sur-Lausanne</v>
      </c>
      <c r="C112" s="10">
        <f>'A) Base RI'!C112+'A) Base RI'!D112</f>
        <v>12445793.550000001</v>
      </c>
      <c r="D112" s="10">
        <f>'A) Base RI'!W112</f>
        <v>-144371.24</v>
      </c>
      <c r="E112" s="397">
        <f>'A) Base RI'!X112</f>
        <v>0</v>
      </c>
      <c r="F112" s="397">
        <f>'A) Base RI'!Y112</f>
        <v>-12565.71</v>
      </c>
      <c r="G112" s="405">
        <f t="shared" si="6"/>
        <v>12288856.6</v>
      </c>
      <c r="H112" s="10">
        <f>+'A) Base RI'!E112</f>
        <v>0</v>
      </c>
      <c r="I112" s="10">
        <f>+'A) Base RI'!F112</f>
        <v>0</v>
      </c>
      <c r="J112" s="10">
        <f>+'A) Base RI'!G112+'A) Base RI'!H112+'A) Base RI'!I112</f>
        <v>-113392.84999999999</v>
      </c>
      <c r="K112" s="10">
        <f>+'A) Base RI'!J112</f>
        <v>88521.05</v>
      </c>
      <c r="L112" s="10">
        <f>+'A) Base RI'!K112</f>
        <v>274717.03000000003</v>
      </c>
      <c r="M112" s="10">
        <f>+'A) Base RI'!L112</f>
        <v>32108.45</v>
      </c>
      <c r="N112" s="10">
        <f>+'A) Base RI'!R112</f>
        <v>26112.94</v>
      </c>
      <c r="O112" s="10">
        <f t="shared" si="7"/>
        <v>895178.16666666663</v>
      </c>
      <c r="P112" s="10">
        <f>+'A) Base RI'!M112</f>
        <v>1342767.25</v>
      </c>
      <c r="Q112" s="413">
        <f>'A) Base RI'!Z112</f>
        <v>1.5</v>
      </c>
      <c r="R112" s="405">
        <f t="shared" si="8"/>
        <v>13492101.386666665</v>
      </c>
      <c r="S112" s="401">
        <f>+'A) Base RI'!U112</f>
        <v>72</v>
      </c>
      <c r="T112" s="405">
        <f t="shared" si="9"/>
        <v>12564814.77</v>
      </c>
      <c r="U112" s="405">
        <f t="shared" si="10"/>
        <v>187390.297037037</v>
      </c>
      <c r="V112" s="10">
        <f>+'A) Base RI'!P112</f>
        <v>100047.4</v>
      </c>
      <c r="W112" s="10">
        <f>+'A) Base RI'!Q112</f>
        <v>393885.15</v>
      </c>
      <c r="X112" s="10">
        <f>+'A) Base RI'!S112</f>
        <v>244763.55</v>
      </c>
      <c r="Y112" s="405">
        <f t="shared" si="11"/>
        <v>738696.10000000009</v>
      </c>
      <c r="Z112" s="10">
        <f>+'A) Base RI'!O112</f>
        <v>2747.25</v>
      </c>
      <c r="AA112" s="10">
        <f>'A) Base RI'!V112</f>
        <v>3773</v>
      </c>
    </row>
    <row r="113" spans="1:27" x14ac:dyDescent="0.25">
      <c r="A113" s="8">
        <f>'A) Base RI'!A113</f>
        <v>5582</v>
      </c>
      <c r="B113" s="32" t="str">
        <f>'A) Base RI'!B113</f>
        <v>Cheseaux-sur-Lausanne</v>
      </c>
      <c r="C113" s="10">
        <f>'A) Base RI'!C113+'A) Base RI'!D113</f>
        <v>10565301.75</v>
      </c>
      <c r="D113" s="10">
        <f>'A) Base RI'!W113</f>
        <v>-202100.63</v>
      </c>
      <c r="E113" s="397">
        <f>'A) Base RI'!X113</f>
        <v>0</v>
      </c>
      <c r="F113" s="397">
        <f>'A) Base RI'!Y113</f>
        <v>-6688.62</v>
      </c>
      <c r="G113" s="405">
        <f t="shared" si="6"/>
        <v>10356512.5</v>
      </c>
      <c r="H113" s="10">
        <f>+'A) Base RI'!E113</f>
        <v>0</v>
      </c>
      <c r="I113" s="10">
        <f>+'A) Base RI'!F113</f>
        <v>0</v>
      </c>
      <c r="J113" s="10">
        <f>+'A) Base RI'!G113+'A) Base RI'!H113+'A) Base RI'!I113</f>
        <v>850438.86479773803</v>
      </c>
      <c r="K113" s="10">
        <f>+'A) Base RI'!J113</f>
        <v>25637.35</v>
      </c>
      <c r="L113" s="10">
        <f>+'A) Base RI'!K113</f>
        <v>273052.06</v>
      </c>
      <c r="M113" s="10">
        <f>+'A) Base RI'!L113</f>
        <v>36801.699999999997</v>
      </c>
      <c r="N113" s="10">
        <f>+'A) Base RI'!R113</f>
        <v>-105661.12</v>
      </c>
      <c r="O113" s="10">
        <f t="shared" si="7"/>
        <v>900135.85</v>
      </c>
      <c r="P113" s="10">
        <f>+'A) Base RI'!M113</f>
        <v>900135.85</v>
      </c>
      <c r="Q113" s="413">
        <f>'A) Base RI'!Z113</f>
        <v>1</v>
      </c>
      <c r="R113" s="405">
        <f t="shared" si="8"/>
        <v>12336917.204797737</v>
      </c>
      <c r="S113" s="401">
        <f>+'A) Base RI'!U113</f>
        <v>74.5</v>
      </c>
      <c r="T113" s="405">
        <f t="shared" si="9"/>
        <v>11399979.654797738</v>
      </c>
      <c r="U113" s="405">
        <f t="shared" si="10"/>
        <v>165596.20409124478</v>
      </c>
      <c r="V113" s="10">
        <f>+'A) Base RI'!P113</f>
        <v>130260.7</v>
      </c>
      <c r="W113" s="10">
        <f>+'A) Base RI'!Q113</f>
        <v>331577.75</v>
      </c>
      <c r="X113" s="10">
        <f>+'A) Base RI'!S113</f>
        <v>477718.9</v>
      </c>
      <c r="Y113" s="405">
        <f t="shared" si="11"/>
        <v>939557.35000000009</v>
      </c>
      <c r="Z113" s="10">
        <f>+'A) Base RI'!O113</f>
        <v>456234.5</v>
      </c>
      <c r="AA113" s="10">
        <f>'A) Base RI'!V113</f>
        <v>4339</v>
      </c>
    </row>
    <row r="114" spans="1:27" x14ac:dyDescent="0.25">
      <c r="A114" s="8">
        <f>'A) Base RI'!A114</f>
        <v>5583</v>
      </c>
      <c r="B114" s="32" t="str">
        <f>'A) Base RI'!B114</f>
        <v>Crissier</v>
      </c>
      <c r="C114" s="10">
        <f>'A) Base RI'!C114+'A) Base RI'!D114</f>
        <v>13499111.049999999</v>
      </c>
      <c r="D114" s="10">
        <f>'A) Base RI'!W114</f>
        <v>-239520.29</v>
      </c>
      <c r="E114" s="397">
        <f>'A) Base RI'!X114</f>
        <v>0</v>
      </c>
      <c r="F114" s="397">
        <f>'A) Base RI'!Y114</f>
        <v>-1942</v>
      </c>
      <c r="G114" s="405">
        <f t="shared" si="6"/>
        <v>13257648.76</v>
      </c>
      <c r="H114" s="10">
        <f>+'A) Base RI'!E114</f>
        <v>0</v>
      </c>
      <c r="I114" s="10">
        <f>+'A) Base RI'!F114</f>
        <v>0</v>
      </c>
      <c r="J114" s="10">
        <f>+'A) Base RI'!G114+'A) Base RI'!H114+'A) Base RI'!I114</f>
        <v>3142465.4595359582</v>
      </c>
      <c r="K114" s="10">
        <f>+'A) Base RI'!J114</f>
        <v>0</v>
      </c>
      <c r="L114" s="10">
        <f>+'A) Base RI'!K114</f>
        <v>808417.71</v>
      </c>
      <c r="M114" s="10">
        <f>+'A) Base RI'!L114</f>
        <v>317099.09999999998</v>
      </c>
      <c r="N114" s="10">
        <f>+'A) Base RI'!R114</f>
        <v>90940.39</v>
      </c>
      <c r="O114" s="10">
        <f t="shared" si="7"/>
        <v>2363526.4500000002</v>
      </c>
      <c r="P114" s="10">
        <f>+'A) Base RI'!M114</f>
        <v>2363526.4500000002</v>
      </c>
      <c r="Q114" s="413">
        <f>'A) Base RI'!Z114</f>
        <v>1</v>
      </c>
      <c r="R114" s="405">
        <f t="shared" si="8"/>
        <v>19980097.86953596</v>
      </c>
      <c r="S114" s="401">
        <f>+'A) Base RI'!U114</f>
        <v>65</v>
      </c>
      <c r="T114" s="405">
        <f t="shared" si="9"/>
        <v>17299472.31953596</v>
      </c>
      <c r="U114" s="405">
        <f t="shared" si="10"/>
        <v>307386.12106978399</v>
      </c>
      <c r="V114" s="10">
        <f>+'A) Base RI'!P114</f>
        <v>95237.1</v>
      </c>
      <c r="W114" s="10">
        <f>+'A) Base RI'!Q114</f>
        <v>1294126.8500000001</v>
      </c>
      <c r="X114" s="10">
        <f>+'A) Base RI'!S114</f>
        <v>394841.7</v>
      </c>
      <c r="Y114" s="405">
        <f t="shared" si="11"/>
        <v>1784205.6500000001</v>
      </c>
      <c r="Z114" s="10">
        <f>+'A) Base RI'!O114</f>
        <v>1828974.65</v>
      </c>
      <c r="AA114" s="10">
        <f>'A) Base RI'!V114</f>
        <v>7944</v>
      </c>
    </row>
    <row r="115" spans="1:27" x14ac:dyDescent="0.25">
      <c r="A115" s="8">
        <f>'A) Base RI'!A115</f>
        <v>5584</v>
      </c>
      <c r="B115" s="32" t="str">
        <f>'A) Base RI'!B115</f>
        <v>Epalinges</v>
      </c>
      <c r="C115" s="10">
        <f>'A) Base RI'!C115+'A) Base RI'!D115</f>
        <v>27255789.600000001</v>
      </c>
      <c r="D115" s="10">
        <f>'A) Base RI'!W115</f>
        <v>-328503.65000000002</v>
      </c>
      <c r="E115" s="397">
        <f>'A) Base RI'!X115</f>
        <v>0</v>
      </c>
      <c r="F115" s="397">
        <f>'A) Base RI'!Y115</f>
        <v>-50265.46</v>
      </c>
      <c r="G115" s="405">
        <f t="shared" si="6"/>
        <v>26877020.490000002</v>
      </c>
      <c r="H115" s="10">
        <f>+'A) Base RI'!E115</f>
        <v>0</v>
      </c>
      <c r="I115" s="10">
        <f>+'A) Base RI'!F115</f>
        <v>0</v>
      </c>
      <c r="J115" s="10">
        <f>+'A) Base RI'!G115+'A) Base RI'!H115+'A) Base RI'!I115</f>
        <v>881636.62800585094</v>
      </c>
      <c r="K115" s="10">
        <f>+'A) Base RI'!J115</f>
        <v>443823.94</v>
      </c>
      <c r="L115" s="10">
        <f>+'A) Base RI'!K115</f>
        <v>533594.48</v>
      </c>
      <c r="M115" s="10">
        <f>+'A) Base RI'!L115</f>
        <v>258502.75</v>
      </c>
      <c r="N115" s="10">
        <f>+'A) Base RI'!R115</f>
        <v>97434.25</v>
      </c>
      <c r="O115" s="10">
        <f t="shared" si="7"/>
        <v>2205843.2999999998</v>
      </c>
      <c r="P115" s="10">
        <f>+'A) Base RI'!M115</f>
        <v>2205843.2999999998</v>
      </c>
      <c r="Q115" s="413">
        <f>'A) Base RI'!Z115</f>
        <v>1</v>
      </c>
      <c r="R115" s="405">
        <f t="shared" si="8"/>
        <v>31297855.838005856</v>
      </c>
      <c r="S115" s="401">
        <f>+'A) Base RI'!U115</f>
        <v>66</v>
      </c>
      <c r="T115" s="405">
        <f t="shared" si="9"/>
        <v>28833509.788005855</v>
      </c>
      <c r="U115" s="405">
        <f t="shared" si="10"/>
        <v>474209.93693948264</v>
      </c>
      <c r="V115" s="10">
        <f>+'A) Base RI'!P115</f>
        <v>559960.81999999995</v>
      </c>
      <c r="W115" s="10">
        <f>+'A) Base RI'!Q115</f>
        <v>1023124</v>
      </c>
      <c r="X115" s="10">
        <f>+'A) Base RI'!S115</f>
        <v>695415</v>
      </c>
      <c r="Y115" s="405">
        <f t="shared" si="11"/>
        <v>2278499.8199999998</v>
      </c>
      <c r="Z115" s="10">
        <f>+'A) Base RI'!O115</f>
        <v>263683.25</v>
      </c>
      <c r="AA115" s="10">
        <f>'A) Base RI'!V115</f>
        <v>9701</v>
      </c>
    </row>
    <row r="116" spans="1:27" x14ac:dyDescent="0.25">
      <c r="A116" s="8">
        <f>'A) Base RI'!A116</f>
        <v>5585</v>
      </c>
      <c r="B116" s="32" t="str">
        <f>'A) Base RI'!B116</f>
        <v>Jouxtens-Mézery</v>
      </c>
      <c r="C116" s="10">
        <f>'A) Base RI'!C116+'A) Base RI'!D116</f>
        <v>12598436.779999999</v>
      </c>
      <c r="D116" s="10">
        <f>'A) Base RI'!W116</f>
        <v>-16208.7</v>
      </c>
      <c r="E116" s="397">
        <f>'A) Base RI'!X116</f>
        <v>0</v>
      </c>
      <c r="F116" s="397">
        <f>'A) Base RI'!Y116</f>
        <v>-13252.54</v>
      </c>
      <c r="G116" s="405">
        <f t="shared" si="6"/>
        <v>12568975.540000001</v>
      </c>
      <c r="H116" s="10">
        <f>+'A) Base RI'!E116</f>
        <v>0</v>
      </c>
      <c r="I116" s="10">
        <f>+'A) Base RI'!F116</f>
        <v>0</v>
      </c>
      <c r="J116" s="10">
        <f>+'A) Base RI'!G116+'A) Base RI'!H116+'A) Base RI'!I116</f>
        <v>29338.802383728402</v>
      </c>
      <c r="K116" s="10">
        <f>+'A) Base RI'!J116</f>
        <v>424238.45</v>
      </c>
      <c r="L116" s="10">
        <f>+'A) Base RI'!K116</f>
        <v>-11838.68</v>
      </c>
      <c r="M116" s="10">
        <f>+'A) Base RI'!L116</f>
        <v>8461</v>
      </c>
      <c r="N116" s="10">
        <f>+'A) Base RI'!R116</f>
        <v>1227.6500000000001</v>
      </c>
      <c r="O116" s="10">
        <f t="shared" si="7"/>
        <v>529965.85</v>
      </c>
      <c r="P116" s="10">
        <f>+'A) Base RI'!M116</f>
        <v>529965.85</v>
      </c>
      <c r="Q116" s="413">
        <f>'A) Base RI'!Z116</f>
        <v>1</v>
      </c>
      <c r="R116" s="405">
        <f t="shared" si="8"/>
        <v>13550368.612383729</v>
      </c>
      <c r="S116" s="401">
        <f>+'A) Base RI'!U116</f>
        <v>59</v>
      </c>
      <c r="T116" s="405">
        <f t="shared" si="9"/>
        <v>13011941.762383729</v>
      </c>
      <c r="U116" s="405">
        <f t="shared" si="10"/>
        <v>229667.26461667338</v>
      </c>
      <c r="V116" s="10">
        <f>+'A) Base RI'!P116</f>
        <v>27717.8</v>
      </c>
      <c r="W116" s="10">
        <f>+'A) Base RI'!Q116</f>
        <v>171383.65</v>
      </c>
      <c r="X116" s="10">
        <f>+'A) Base RI'!S116</f>
        <v>239248.85</v>
      </c>
      <c r="Y116" s="405">
        <f t="shared" si="11"/>
        <v>438350.3</v>
      </c>
      <c r="Z116" s="10">
        <f>+'A) Base RI'!O116</f>
        <v>1587.1</v>
      </c>
      <c r="AA116" s="10">
        <f>'A) Base RI'!V116</f>
        <v>1423</v>
      </c>
    </row>
    <row r="117" spans="1:27" x14ac:dyDescent="0.25">
      <c r="A117" s="8">
        <f>'A) Base RI'!A117</f>
        <v>5586</v>
      </c>
      <c r="B117" s="32" t="str">
        <f>'A) Base RI'!B117</f>
        <v>Lausanne</v>
      </c>
      <c r="C117" s="10">
        <f>'A) Base RI'!C117+'A) Base RI'!D117</f>
        <v>355332521.44999999</v>
      </c>
      <c r="D117" s="10">
        <f>'A) Base RI'!W117</f>
        <v>-9279648.9900000002</v>
      </c>
      <c r="E117" s="397">
        <f>'A) Base RI'!X117</f>
        <v>0</v>
      </c>
      <c r="F117" s="397">
        <f>'A) Base RI'!Y117</f>
        <v>-591696.21</v>
      </c>
      <c r="G117" s="405">
        <f t="shared" si="6"/>
        <v>345461176.25</v>
      </c>
      <c r="H117" s="10">
        <f>+'A) Base RI'!E117</f>
        <v>0</v>
      </c>
      <c r="I117" s="10">
        <f>+'A) Base RI'!F117</f>
        <v>0</v>
      </c>
      <c r="J117" s="10">
        <f>+'A) Base RI'!G117+'A) Base RI'!H117+'A) Base RI'!I117</f>
        <v>59312365.022792496</v>
      </c>
      <c r="K117" s="10">
        <f>+'A) Base RI'!J117</f>
        <v>5210112.4000000004</v>
      </c>
      <c r="L117" s="10">
        <f>+'A) Base RI'!K117</f>
        <v>24839326.210000001</v>
      </c>
      <c r="M117" s="10">
        <f>+'A) Base RI'!L117</f>
        <v>5734078.9000000004</v>
      </c>
      <c r="N117" s="10">
        <f>+'A) Base RI'!R117</f>
        <v>2415500.98</v>
      </c>
      <c r="O117" s="10">
        <f t="shared" si="7"/>
        <v>24798234.766666666</v>
      </c>
      <c r="P117" s="10">
        <f>+'A) Base RI'!M117</f>
        <v>37197352.149999999</v>
      </c>
      <c r="Q117" s="413">
        <f>'A) Base RI'!Z117</f>
        <v>1.5</v>
      </c>
      <c r="R117" s="405">
        <f t="shared" si="8"/>
        <v>467770794.52945912</v>
      </c>
      <c r="S117" s="401">
        <f>+'A) Base RI'!U117</f>
        <v>79</v>
      </c>
      <c r="T117" s="405">
        <f t="shared" si="9"/>
        <v>437238480.86279249</v>
      </c>
      <c r="U117" s="405">
        <f t="shared" si="10"/>
        <v>5921149.2978412546</v>
      </c>
      <c r="V117" s="10">
        <f>+'A) Base RI'!P117</f>
        <v>15757882.5</v>
      </c>
      <c r="W117" s="10">
        <f>+'A) Base RI'!Q117</f>
        <v>8863389.5</v>
      </c>
      <c r="X117" s="10">
        <f>+'A) Base RI'!S117</f>
        <v>8816891.0500000007</v>
      </c>
      <c r="Y117" s="405">
        <f t="shared" si="11"/>
        <v>33438163.050000001</v>
      </c>
      <c r="Z117" s="10">
        <f>+'A) Base RI'!O117</f>
        <v>11639074.1</v>
      </c>
      <c r="AA117" s="10">
        <f>'A) Base RI'!V117</f>
        <v>139726</v>
      </c>
    </row>
    <row r="118" spans="1:27" x14ac:dyDescent="0.25">
      <c r="A118" s="8">
        <f>'A) Base RI'!A118</f>
        <v>5587</v>
      </c>
      <c r="B118" s="32" t="str">
        <f>'A) Base RI'!B118</f>
        <v>Le Mont-sur-Lausanne</v>
      </c>
      <c r="C118" s="10">
        <f>'A) Base RI'!C118+'A) Base RI'!D118</f>
        <v>26968345.09</v>
      </c>
      <c r="D118" s="10">
        <f>'A) Base RI'!W118</f>
        <v>-436783.94</v>
      </c>
      <c r="E118" s="397">
        <f>'A) Base RI'!X118</f>
        <v>0</v>
      </c>
      <c r="F118" s="397">
        <f>'A) Base RI'!Y118</f>
        <v>-44045.35</v>
      </c>
      <c r="G118" s="405">
        <f t="shared" si="6"/>
        <v>26487515.799999997</v>
      </c>
      <c r="H118" s="10">
        <f>+'A) Base RI'!E118</f>
        <v>0</v>
      </c>
      <c r="I118" s="10">
        <f>+'A) Base RI'!F118</f>
        <v>0</v>
      </c>
      <c r="J118" s="10">
        <f>+'A) Base RI'!G118+'A) Base RI'!H118+'A) Base RI'!I118</f>
        <v>2647295.5033941567</v>
      </c>
      <c r="K118" s="10">
        <f>+'A) Base RI'!J118</f>
        <v>253663.5</v>
      </c>
      <c r="L118" s="10">
        <f>+'A) Base RI'!K118</f>
        <v>579945.64</v>
      </c>
      <c r="M118" s="10">
        <f>+'A) Base RI'!L118</f>
        <v>244727.05</v>
      </c>
      <c r="N118" s="10">
        <f>+'A) Base RI'!R118</f>
        <v>125564.65</v>
      </c>
      <c r="O118" s="10">
        <f t="shared" si="7"/>
        <v>2310707.916666667</v>
      </c>
      <c r="P118" s="10">
        <f>+'A) Base RI'!M118</f>
        <v>2772849.5</v>
      </c>
      <c r="Q118" s="413">
        <f>'A) Base RI'!Z118</f>
        <v>1.2</v>
      </c>
      <c r="R118" s="405">
        <f t="shared" si="8"/>
        <v>32649420.060060821</v>
      </c>
      <c r="S118" s="401">
        <f>+'A) Base RI'!U118</f>
        <v>75</v>
      </c>
      <c r="T118" s="405">
        <f t="shared" si="9"/>
        <v>30093985.093394153</v>
      </c>
      <c r="U118" s="405">
        <f t="shared" si="10"/>
        <v>435325.60080081096</v>
      </c>
      <c r="V118" s="10">
        <f>+'A) Base RI'!P118</f>
        <v>178958.7</v>
      </c>
      <c r="W118" s="10">
        <f>+'A) Base RI'!Q118</f>
        <v>997443.6</v>
      </c>
      <c r="X118" s="10">
        <f>+'A) Base RI'!S118</f>
        <v>392541.2</v>
      </c>
      <c r="Y118" s="405">
        <f t="shared" si="11"/>
        <v>1568943.5</v>
      </c>
      <c r="Z118" s="10">
        <f>+'A) Base RI'!O118</f>
        <v>464277.7</v>
      </c>
      <c r="AA118" s="10">
        <f>'A) Base RI'!V118</f>
        <v>8991</v>
      </c>
    </row>
    <row r="119" spans="1:27" x14ac:dyDescent="0.25">
      <c r="A119" s="8">
        <f>'A) Base RI'!A119</f>
        <v>5588</v>
      </c>
      <c r="B119" s="32" t="str">
        <f>'A) Base RI'!B119</f>
        <v>Paudex</v>
      </c>
      <c r="C119" s="10">
        <f>'A) Base RI'!C119+'A) Base RI'!D119</f>
        <v>6929420.0700000003</v>
      </c>
      <c r="D119" s="10">
        <f>'A) Base RI'!W119</f>
        <v>-51003.55</v>
      </c>
      <c r="E119" s="397">
        <f>'A) Base RI'!X119</f>
        <v>0</v>
      </c>
      <c r="F119" s="397">
        <f>'A) Base RI'!Y119</f>
        <v>-87805.11</v>
      </c>
      <c r="G119" s="405">
        <f t="shared" si="6"/>
        <v>6790611.4100000001</v>
      </c>
      <c r="H119" s="10">
        <f>+'A) Base RI'!E119</f>
        <v>0</v>
      </c>
      <c r="I119" s="10">
        <f>+'A) Base RI'!F119</f>
        <v>0</v>
      </c>
      <c r="J119" s="10">
        <f>+'A) Base RI'!G119+'A) Base RI'!H119+'A) Base RI'!I119</f>
        <v>671857.32775781385</v>
      </c>
      <c r="K119" s="10">
        <f>+'A) Base RI'!J119</f>
        <v>685216.77</v>
      </c>
      <c r="L119" s="10">
        <f>+'A) Base RI'!K119</f>
        <v>361167.68</v>
      </c>
      <c r="M119" s="10">
        <f>+'A) Base RI'!L119</f>
        <v>18214.55</v>
      </c>
      <c r="N119" s="10">
        <f>+'A) Base RI'!R119</f>
        <v>15299.89</v>
      </c>
      <c r="O119" s="10">
        <f t="shared" si="7"/>
        <v>514599.50000000006</v>
      </c>
      <c r="P119" s="10">
        <f>+'A) Base RI'!M119</f>
        <v>360219.65</v>
      </c>
      <c r="Q119" s="413">
        <f>'A) Base RI'!Z119</f>
        <v>0.7</v>
      </c>
      <c r="R119" s="405">
        <f t="shared" si="8"/>
        <v>9056967.1277578156</v>
      </c>
      <c r="S119" s="401">
        <f>+'A) Base RI'!U119</f>
        <v>68</v>
      </c>
      <c r="T119" s="405">
        <f t="shared" si="9"/>
        <v>8524153.0777578149</v>
      </c>
      <c r="U119" s="405">
        <f t="shared" si="10"/>
        <v>133190.693055262</v>
      </c>
      <c r="V119" s="10">
        <f>+'A) Base RI'!P119</f>
        <v>2272.8000000000002</v>
      </c>
      <c r="W119" s="10">
        <f>+'A) Base RI'!Q119</f>
        <v>112495.85</v>
      </c>
      <c r="X119" s="10">
        <f>+'A) Base RI'!S119</f>
        <v>50238.7</v>
      </c>
      <c r="Y119" s="405">
        <f t="shared" si="11"/>
        <v>165007.35</v>
      </c>
      <c r="Z119" s="10">
        <f>+'A) Base RI'!O119</f>
        <v>6796.8</v>
      </c>
      <c r="AA119" s="10">
        <f>'A) Base RI'!V119</f>
        <v>1532</v>
      </c>
    </row>
    <row r="120" spans="1:27" x14ac:dyDescent="0.25">
      <c r="A120" s="8">
        <f>'A) Base RI'!A120</f>
        <v>5589</v>
      </c>
      <c r="B120" s="32" t="str">
        <f>'A) Base RI'!B120</f>
        <v>Prilly</v>
      </c>
      <c r="C120" s="10">
        <f>'A) Base RI'!C120+'A) Base RI'!D120</f>
        <v>21515878.09</v>
      </c>
      <c r="D120" s="10">
        <f>'A) Base RI'!W120</f>
        <v>-618271.66</v>
      </c>
      <c r="E120" s="397">
        <f>'A) Base RI'!X120</f>
        <v>0</v>
      </c>
      <c r="F120" s="397">
        <f>'A) Base RI'!Y120</f>
        <v>-12230.55</v>
      </c>
      <c r="G120" s="405">
        <f t="shared" si="6"/>
        <v>20885375.879999999</v>
      </c>
      <c r="H120" s="10">
        <f>+'A) Base RI'!E120</f>
        <v>0</v>
      </c>
      <c r="I120" s="10">
        <f>+'A) Base RI'!F120</f>
        <v>0</v>
      </c>
      <c r="J120" s="10">
        <f>+'A) Base RI'!G120+'A) Base RI'!H120+'A) Base RI'!I120</f>
        <v>4636151.2576957522</v>
      </c>
      <c r="K120" s="10">
        <f>+'A) Base RI'!J120</f>
        <v>220436.72</v>
      </c>
      <c r="L120" s="10">
        <f>+'A) Base RI'!K120</f>
        <v>1464985.74</v>
      </c>
      <c r="M120" s="10">
        <f>+'A) Base RI'!L120</f>
        <v>372847.75</v>
      </c>
      <c r="N120" s="10">
        <f>+'A) Base RI'!R120</f>
        <v>168095.45</v>
      </c>
      <c r="O120" s="10">
        <f t="shared" si="7"/>
        <v>2130244.3846153845</v>
      </c>
      <c r="P120" s="10">
        <f>+'A) Base RI'!M120</f>
        <v>2769317.7</v>
      </c>
      <c r="Q120" s="413">
        <f>'A) Base RI'!Z120</f>
        <v>1.3</v>
      </c>
      <c r="R120" s="405">
        <f t="shared" si="8"/>
        <v>29878137.182311133</v>
      </c>
      <c r="S120" s="401">
        <f>+'A) Base RI'!U120</f>
        <v>73.5</v>
      </c>
      <c r="T120" s="405">
        <f t="shared" si="9"/>
        <v>27375045.047695749</v>
      </c>
      <c r="U120" s="405">
        <f t="shared" si="10"/>
        <v>406505.26778654603</v>
      </c>
      <c r="V120" s="10">
        <f>+'A) Base RI'!P120</f>
        <v>334470.8</v>
      </c>
      <c r="W120" s="10">
        <f>+'A) Base RI'!Q120</f>
        <v>602913.05000000005</v>
      </c>
      <c r="X120" s="10">
        <f>+'A) Base RI'!S120</f>
        <v>578732.75</v>
      </c>
      <c r="Y120" s="405">
        <f t="shared" si="11"/>
        <v>1516116.6</v>
      </c>
      <c r="Z120" s="10">
        <f>+'A) Base RI'!O120</f>
        <v>1109829.25</v>
      </c>
      <c r="AA120" s="10">
        <f>'A) Base RI'!V120</f>
        <v>12423</v>
      </c>
    </row>
    <row r="121" spans="1:27" x14ac:dyDescent="0.25">
      <c r="A121" s="8">
        <f>'A) Base RI'!A121</f>
        <v>5590</v>
      </c>
      <c r="B121" s="32" t="str">
        <f>'A) Base RI'!B121</f>
        <v>Pully</v>
      </c>
      <c r="C121" s="10">
        <f>'A) Base RI'!C121+'A) Base RI'!D121</f>
        <v>79682528.329999998</v>
      </c>
      <c r="D121" s="10">
        <f>'A) Base RI'!W121</f>
        <v>-638237.35</v>
      </c>
      <c r="E121" s="397">
        <f>'A) Base RI'!X121</f>
        <v>0</v>
      </c>
      <c r="F121" s="397">
        <f>'A) Base RI'!Y121</f>
        <v>-504571.96</v>
      </c>
      <c r="G121" s="405">
        <f t="shared" si="6"/>
        <v>78539719.020000011</v>
      </c>
      <c r="H121" s="10">
        <f>+'A) Base RI'!E121</f>
        <v>0</v>
      </c>
      <c r="I121" s="10">
        <f>+'A) Base RI'!F121</f>
        <v>0</v>
      </c>
      <c r="J121" s="10">
        <f>+'A) Base RI'!G121+'A) Base RI'!H121+'A) Base RI'!I121</f>
        <v>4481982.7564047705</v>
      </c>
      <c r="K121" s="10">
        <f>+'A) Base RI'!J121</f>
        <v>3301288.37</v>
      </c>
      <c r="L121" s="10">
        <f>+'A) Base RI'!K121</f>
        <v>1186437.55</v>
      </c>
      <c r="M121" s="10">
        <f>+'A) Base RI'!L121</f>
        <v>414725.95</v>
      </c>
      <c r="N121" s="10">
        <f>+'A) Base RI'!R121</f>
        <v>153991.18</v>
      </c>
      <c r="O121" s="10">
        <f t="shared" si="7"/>
        <v>4955221.4285714291</v>
      </c>
      <c r="P121" s="10">
        <f>+'A) Base RI'!M121</f>
        <v>3468655</v>
      </c>
      <c r="Q121" s="413">
        <f>'A) Base RI'!Z121</f>
        <v>0.7</v>
      </c>
      <c r="R121" s="405">
        <f t="shared" si="8"/>
        <v>93033366.254976228</v>
      </c>
      <c r="S121" s="401">
        <f>+'A) Base RI'!U121</f>
        <v>61</v>
      </c>
      <c r="T121" s="405">
        <f t="shared" si="9"/>
        <v>87663418.876404792</v>
      </c>
      <c r="U121" s="405">
        <f t="shared" si="10"/>
        <v>1525137.1517209217</v>
      </c>
      <c r="V121" s="10">
        <f>+'A) Base RI'!P121</f>
        <v>4380266.4000000004</v>
      </c>
      <c r="W121" s="10">
        <f>+'A) Base RI'!Q121</f>
        <v>3501253.45</v>
      </c>
      <c r="X121" s="10">
        <f>+'A) Base RI'!S121</f>
        <v>2027511.3</v>
      </c>
      <c r="Y121" s="405">
        <f t="shared" si="11"/>
        <v>9909031.1500000004</v>
      </c>
      <c r="Z121" s="10">
        <f>+'A) Base RI'!O121</f>
        <v>164601.25</v>
      </c>
      <c r="AA121" s="10">
        <f>'A) Base RI'!V121</f>
        <v>18495</v>
      </c>
    </row>
    <row r="122" spans="1:27" x14ac:dyDescent="0.25">
      <c r="A122" s="8">
        <f>'A) Base RI'!A122</f>
        <v>5591</v>
      </c>
      <c r="B122" s="32" t="str">
        <f>'A) Base RI'!B122</f>
        <v>Renens</v>
      </c>
      <c r="C122" s="10">
        <f>'A) Base RI'!C122+'A) Base RI'!D122</f>
        <v>33358787.299999997</v>
      </c>
      <c r="D122" s="10">
        <f>'A) Base RI'!W122</f>
        <v>-1702671.9</v>
      </c>
      <c r="E122" s="397">
        <f>'A) Base RI'!X122</f>
        <v>0</v>
      </c>
      <c r="F122" s="397">
        <f>'A) Base RI'!Y122</f>
        <v>-5717.87</v>
      </c>
      <c r="G122" s="405">
        <f t="shared" si="6"/>
        <v>31650397.529999997</v>
      </c>
      <c r="H122" s="10">
        <f>+'A) Base RI'!E122</f>
        <v>0</v>
      </c>
      <c r="I122" s="10">
        <f>+'A) Base RI'!F122</f>
        <v>0</v>
      </c>
      <c r="J122" s="10">
        <f>+'A) Base RI'!G122+'A) Base RI'!H122+'A) Base RI'!I122</f>
        <v>5407583.9489513841</v>
      </c>
      <c r="K122" s="10">
        <f>+'A) Base RI'!J122</f>
        <v>0</v>
      </c>
      <c r="L122" s="10">
        <f>+'A) Base RI'!K122</f>
        <v>2461175.16</v>
      </c>
      <c r="M122" s="10">
        <f>+'A) Base RI'!L122</f>
        <v>652885.94999999995</v>
      </c>
      <c r="N122" s="10">
        <f>+'A) Base RI'!R122</f>
        <v>230692.33</v>
      </c>
      <c r="O122" s="10">
        <f t="shared" si="7"/>
        <v>3627521.6785714286</v>
      </c>
      <c r="P122" s="10">
        <f>+'A) Base RI'!M122</f>
        <v>5078530.3499999996</v>
      </c>
      <c r="Q122" s="413">
        <f>'A) Base RI'!Z122</f>
        <v>1.4</v>
      </c>
      <c r="R122" s="405">
        <f t="shared" si="8"/>
        <v>44030256.597522803</v>
      </c>
      <c r="S122" s="401">
        <f>+'A) Base RI'!U122</f>
        <v>78.5</v>
      </c>
      <c r="T122" s="405">
        <f t="shared" si="9"/>
        <v>39749848.968951374</v>
      </c>
      <c r="U122" s="405">
        <f t="shared" si="10"/>
        <v>560894.98850347521</v>
      </c>
      <c r="V122" s="10">
        <f>+'A) Base RI'!P122</f>
        <v>921785.2</v>
      </c>
      <c r="W122" s="10">
        <f>+'A) Base RI'!Q122</f>
        <v>1260308.05</v>
      </c>
      <c r="X122" s="10">
        <f>+'A) Base RI'!S122</f>
        <v>608267.94999999995</v>
      </c>
      <c r="Y122" s="405">
        <f t="shared" si="11"/>
        <v>2790361.2</v>
      </c>
      <c r="Z122" s="10">
        <f>+'A) Base RI'!O122</f>
        <v>1922457.75</v>
      </c>
      <c r="AA122" s="10">
        <f>'A) Base RI'!V122</f>
        <v>20928</v>
      </c>
    </row>
    <row r="123" spans="1:27" x14ac:dyDescent="0.25">
      <c r="A123" s="8">
        <f>'A) Base RI'!A123</f>
        <v>5592</v>
      </c>
      <c r="B123" s="32" t="str">
        <f>'A) Base RI'!B123</f>
        <v>Romanel-sur-Lausanne</v>
      </c>
      <c r="C123" s="10">
        <f>'A) Base RI'!C123+'A) Base RI'!D123</f>
        <v>6539151.0599999996</v>
      </c>
      <c r="D123" s="10">
        <f>'A) Base RI'!W123</f>
        <v>-100338.42</v>
      </c>
      <c r="E123" s="397">
        <f>'A) Base RI'!X123</f>
        <v>0</v>
      </c>
      <c r="F123" s="397">
        <f>'A) Base RI'!Y123</f>
        <v>-6801.54</v>
      </c>
      <c r="G123" s="405">
        <f t="shared" si="6"/>
        <v>6432011.0999999996</v>
      </c>
      <c r="H123" s="10">
        <f>+'A) Base RI'!E123</f>
        <v>0</v>
      </c>
      <c r="I123" s="10">
        <f>+'A) Base RI'!F123</f>
        <v>0</v>
      </c>
      <c r="J123" s="10">
        <f>+'A) Base RI'!G123+'A) Base RI'!H123+'A) Base RI'!I123</f>
        <v>469798.31114773708</v>
      </c>
      <c r="K123" s="10">
        <f>+'A) Base RI'!J123</f>
        <v>43700.4</v>
      </c>
      <c r="L123" s="10">
        <f>+'A) Base RI'!K123</f>
        <v>162880.34</v>
      </c>
      <c r="M123" s="10">
        <f>+'A) Base RI'!L123</f>
        <v>161439.85</v>
      </c>
      <c r="N123" s="10">
        <f>+'A) Base RI'!R123</f>
        <v>41231</v>
      </c>
      <c r="O123" s="10">
        <f t="shared" si="7"/>
        <v>795470.32000000007</v>
      </c>
      <c r="P123" s="10">
        <f>+'A) Base RI'!M123</f>
        <v>994337.9</v>
      </c>
      <c r="Q123" s="413">
        <f>'A) Base RI'!Z123</f>
        <v>1.25</v>
      </c>
      <c r="R123" s="405">
        <f t="shared" si="8"/>
        <v>8106531.3211477371</v>
      </c>
      <c r="S123" s="401">
        <f>+'A) Base RI'!U123</f>
        <v>72</v>
      </c>
      <c r="T123" s="405">
        <f t="shared" si="9"/>
        <v>7149621.1511477372</v>
      </c>
      <c r="U123" s="405">
        <f t="shared" si="10"/>
        <v>112590.71279371857</v>
      </c>
      <c r="V123" s="10">
        <f>+'A) Base RI'!P123</f>
        <v>380218</v>
      </c>
      <c r="W123" s="10">
        <f>+'A) Base RI'!Q123</f>
        <v>121950.1</v>
      </c>
      <c r="X123" s="10">
        <f>+'A) Base RI'!S123</f>
        <v>94441</v>
      </c>
      <c r="Y123" s="405">
        <f t="shared" si="11"/>
        <v>596609.1</v>
      </c>
      <c r="Z123" s="10">
        <f>+'A) Base RI'!O123</f>
        <v>201383</v>
      </c>
      <c r="AA123" s="10">
        <f>'A) Base RI'!V123</f>
        <v>3294</v>
      </c>
    </row>
    <row r="124" spans="1:27" x14ac:dyDescent="0.25">
      <c r="A124" s="8">
        <f>'A) Base RI'!A124</f>
        <v>5601</v>
      </c>
      <c r="B124" s="32" t="str">
        <f>'A) Base RI'!B124</f>
        <v>Chexbres</v>
      </c>
      <c r="C124" s="10">
        <f>'A) Base RI'!C124+'A) Base RI'!D124</f>
        <v>6433289.5999999996</v>
      </c>
      <c r="D124" s="10">
        <f>'A) Base RI'!W124</f>
        <v>-57692.12</v>
      </c>
      <c r="E124" s="397">
        <f>'A) Base RI'!X124</f>
        <v>0</v>
      </c>
      <c r="F124" s="397">
        <f>'A) Base RI'!Y124</f>
        <v>-9677.6</v>
      </c>
      <c r="G124" s="405">
        <f t="shared" si="6"/>
        <v>6365919.8799999999</v>
      </c>
      <c r="H124" s="10">
        <f>+'A) Base RI'!E124</f>
        <v>0</v>
      </c>
      <c r="I124" s="10">
        <f>+'A) Base RI'!F124</f>
        <v>0</v>
      </c>
      <c r="J124" s="10">
        <f>+'A) Base RI'!G124+'A) Base RI'!H124+'A) Base RI'!I124</f>
        <v>102651.42179912038</v>
      </c>
      <c r="K124" s="10">
        <f>+'A) Base RI'!J124</f>
        <v>64727.199999999997</v>
      </c>
      <c r="L124" s="10">
        <f>+'A) Base RI'!K124</f>
        <v>103715.89</v>
      </c>
      <c r="M124" s="10">
        <f>+'A) Base RI'!L124</f>
        <v>17302.2</v>
      </c>
      <c r="N124" s="10">
        <f>+'A) Base RI'!R124</f>
        <v>2989.27</v>
      </c>
      <c r="O124" s="10">
        <f t="shared" si="7"/>
        <v>469284.35</v>
      </c>
      <c r="P124" s="10">
        <f>+'A) Base RI'!M124</f>
        <v>469284.35</v>
      </c>
      <c r="Q124" s="413">
        <f>'A) Base RI'!Z124</f>
        <v>1</v>
      </c>
      <c r="R124" s="405">
        <f t="shared" si="8"/>
        <v>7126590.2117991196</v>
      </c>
      <c r="S124" s="401">
        <f>+'A) Base RI'!U124</f>
        <v>69</v>
      </c>
      <c r="T124" s="405">
        <f t="shared" si="9"/>
        <v>6640003.6617991198</v>
      </c>
      <c r="U124" s="405">
        <f t="shared" si="10"/>
        <v>103283.91611303072</v>
      </c>
      <c r="V124" s="10">
        <f>+'A) Base RI'!P124</f>
        <v>256324.27</v>
      </c>
      <c r="W124" s="10">
        <f>+'A) Base RI'!Q124</f>
        <v>311922.5</v>
      </c>
      <c r="X124" s="10">
        <f>+'A) Base RI'!S124</f>
        <v>247739.15</v>
      </c>
      <c r="Y124" s="405">
        <f t="shared" si="11"/>
        <v>815985.92</v>
      </c>
      <c r="Z124" s="10">
        <f>+'A) Base RI'!O124</f>
        <v>57507.3</v>
      </c>
      <c r="AA124" s="10">
        <f>'A) Base RI'!V124</f>
        <v>2235</v>
      </c>
    </row>
    <row r="125" spans="1:27" x14ac:dyDescent="0.25">
      <c r="A125" s="8">
        <f>'A) Base RI'!A125</f>
        <v>5604</v>
      </c>
      <c r="B125" s="32" t="str">
        <f>'A) Base RI'!B125</f>
        <v>Forel (Lavaux)</v>
      </c>
      <c r="C125" s="10">
        <f>'A) Base RI'!C125+'A) Base RI'!D125</f>
        <v>4358457.34</v>
      </c>
      <c r="D125" s="10">
        <f>'A) Base RI'!W125</f>
        <v>-45194.54</v>
      </c>
      <c r="E125" s="397">
        <f>'A) Base RI'!X125</f>
        <v>0</v>
      </c>
      <c r="F125" s="397">
        <f>'A) Base RI'!Y125</f>
        <v>-2048.46</v>
      </c>
      <c r="G125" s="405">
        <f t="shared" si="6"/>
        <v>4311214.34</v>
      </c>
      <c r="H125" s="10">
        <f>+'A) Base RI'!E125</f>
        <v>0</v>
      </c>
      <c r="I125" s="10">
        <f>+'A) Base RI'!F125</f>
        <v>0</v>
      </c>
      <c r="J125" s="10">
        <f>+'A) Base RI'!G125+'A) Base RI'!H125+'A) Base RI'!I125</f>
        <v>367707.07730870624</v>
      </c>
      <c r="K125" s="10">
        <f>+'A) Base RI'!J125</f>
        <v>-51604.83</v>
      </c>
      <c r="L125" s="10">
        <f>+'A) Base RI'!K125</f>
        <v>89157.26</v>
      </c>
      <c r="M125" s="10">
        <f>+'A) Base RI'!L125</f>
        <v>35285.199999999997</v>
      </c>
      <c r="N125" s="10">
        <f>+'A) Base RI'!R125</f>
        <v>9002.76</v>
      </c>
      <c r="O125" s="10">
        <f t="shared" si="7"/>
        <v>395619</v>
      </c>
      <c r="P125" s="10">
        <f>+'A) Base RI'!M125</f>
        <v>395619</v>
      </c>
      <c r="Q125" s="413">
        <f>'A) Base RI'!Z125</f>
        <v>1</v>
      </c>
      <c r="R125" s="405">
        <f t="shared" si="8"/>
        <v>5156380.8073087055</v>
      </c>
      <c r="S125" s="401">
        <f>+'A) Base RI'!U125</f>
        <v>70</v>
      </c>
      <c r="T125" s="405">
        <f t="shared" si="9"/>
        <v>4725476.6073087053</v>
      </c>
      <c r="U125" s="405">
        <f t="shared" si="10"/>
        <v>73662.582961552936</v>
      </c>
      <c r="V125" s="10">
        <f>+'A) Base RI'!P125</f>
        <v>0</v>
      </c>
      <c r="W125" s="10">
        <f>+'A) Base RI'!Q125</f>
        <v>184340.3</v>
      </c>
      <c r="X125" s="10">
        <f>+'A) Base RI'!S125</f>
        <v>160109.79999999999</v>
      </c>
      <c r="Y125" s="405">
        <f t="shared" si="11"/>
        <v>344450.1</v>
      </c>
      <c r="Z125" s="10">
        <f>+'A) Base RI'!O125</f>
        <v>86564.800000000003</v>
      </c>
      <c r="AA125" s="10">
        <f>'A) Base RI'!V125</f>
        <v>2064</v>
      </c>
    </row>
    <row r="126" spans="1:27" x14ac:dyDescent="0.25">
      <c r="A126" s="8">
        <f>'A) Base RI'!A126</f>
        <v>5606</v>
      </c>
      <c r="B126" s="32" t="str">
        <f>'A) Base RI'!B126</f>
        <v>Lutry</v>
      </c>
      <c r="C126" s="10">
        <f>'A) Base RI'!C126+'A) Base RI'!D126</f>
        <v>38208729.310000002</v>
      </c>
      <c r="D126" s="10">
        <f>'A) Base RI'!W126</f>
        <v>-303794.59999999998</v>
      </c>
      <c r="E126" s="397">
        <f>'A) Base RI'!X126</f>
        <v>0</v>
      </c>
      <c r="F126" s="397">
        <f>'A) Base RI'!Y126</f>
        <v>-159766.5</v>
      </c>
      <c r="G126" s="405">
        <f t="shared" si="6"/>
        <v>37745168.210000001</v>
      </c>
      <c r="H126" s="10">
        <f>+'A) Base RI'!E126</f>
        <v>0</v>
      </c>
      <c r="I126" s="10">
        <f>+'A) Base RI'!F126</f>
        <v>0</v>
      </c>
      <c r="J126" s="10">
        <f>+'A) Base RI'!G126+'A) Base RI'!H126+'A) Base RI'!I126</f>
        <v>2431292.2669037748</v>
      </c>
      <c r="K126" s="10">
        <f>+'A) Base RI'!J126</f>
        <v>661389.89</v>
      </c>
      <c r="L126" s="10">
        <f>+'A) Base RI'!K126</f>
        <v>732958.03</v>
      </c>
      <c r="M126" s="10">
        <f>+'A) Base RI'!L126</f>
        <v>15175.75</v>
      </c>
      <c r="N126" s="10">
        <f>+'A) Base RI'!R126</f>
        <v>154093.64000000001</v>
      </c>
      <c r="O126" s="10">
        <f t="shared" si="7"/>
        <v>3100254.8571428573</v>
      </c>
      <c r="P126" s="10">
        <f>+'A) Base RI'!M126</f>
        <v>2170178.4</v>
      </c>
      <c r="Q126" s="413">
        <f>'A) Base RI'!Z126</f>
        <v>0.7</v>
      </c>
      <c r="R126" s="405">
        <f t="shared" si="8"/>
        <v>44840332.644046634</v>
      </c>
      <c r="S126" s="401">
        <f>+'A) Base RI'!U126</f>
        <v>55.5</v>
      </c>
      <c r="T126" s="405">
        <f t="shared" si="9"/>
        <v>41724902.036903776</v>
      </c>
      <c r="U126" s="405">
        <f t="shared" si="10"/>
        <v>807933.92151435383</v>
      </c>
      <c r="V126" s="10">
        <f>+'A) Base RI'!P126</f>
        <v>3701485.1</v>
      </c>
      <c r="W126" s="10">
        <f>+'A) Base RI'!Q126</f>
        <v>1961135.05</v>
      </c>
      <c r="X126" s="10">
        <f>+'A) Base RI'!S126</f>
        <v>1637609.95</v>
      </c>
      <c r="Y126" s="405">
        <f t="shared" si="11"/>
        <v>7300230.1000000006</v>
      </c>
      <c r="Z126" s="10">
        <f>+'A) Base RI'!O126</f>
        <v>105724.85</v>
      </c>
      <c r="AA126" s="10">
        <f>'A) Base RI'!V126</f>
        <v>10357</v>
      </c>
    </row>
    <row r="127" spans="1:27" x14ac:dyDescent="0.25">
      <c r="A127" s="8">
        <f>'A) Base RI'!A127</f>
        <v>5607</v>
      </c>
      <c r="B127" s="32" t="str">
        <f>'A) Base RI'!B127</f>
        <v>Puidoux</v>
      </c>
      <c r="C127" s="10">
        <f>'A) Base RI'!C127+'A) Base RI'!D127</f>
        <v>5569760.0300000003</v>
      </c>
      <c r="D127" s="10">
        <f>'A) Base RI'!W127</f>
        <v>-74781.320000000007</v>
      </c>
      <c r="E127" s="397">
        <f>'A) Base RI'!X127</f>
        <v>0</v>
      </c>
      <c r="F127" s="397">
        <f>'A) Base RI'!Y127</f>
        <v>-5345.3</v>
      </c>
      <c r="G127" s="405">
        <f t="shared" si="6"/>
        <v>5489633.4100000001</v>
      </c>
      <c r="H127" s="10">
        <f>+'A) Base RI'!E127</f>
        <v>0</v>
      </c>
      <c r="I127" s="10">
        <f>+'A) Base RI'!F127</f>
        <v>0</v>
      </c>
      <c r="J127" s="10">
        <f>+'A) Base RI'!G127+'A) Base RI'!H127+'A) Base RI'!I127</f>
        <v>620711.75834269251</v>
      </c>
      <c r="K127" s="10">
        <f>+'A) Base RI'!J127</f>
        <v>316.95</v>
      </c>
      <c r="L127" s="10">
        <f>+'A) Base RI'!K127</f>
        <v>161595.10999999999</v>
      </c>
      <c r="M127" s="10">
        <f>+'A) Base RI'!L127</f>
        <v>87492.800000000003</v>
      </c>
      <c r="N127" s="10">
        <f>+'A) Base RI'!R127</f>
        <v>8091.47</v>
      </c>
      <c r="O127" s="10">
        <f t="shared" si="7"/>
        <v>627275.95652173914</v>
      </c>
      <c r="P127" s="10">
        <f>+'A) Base RI'!M127</f>
        <v>721367.35</v>
      </c>
      <c r="Q127" s="413">
        <f>'A) Base RI'!Z127</f>
        <v>1.1499999999999999</v>
      </c>
      <c r="R127" s="405">
        <f t="shared" si="8"/>
        <v>6995117.4548644321</v>
      </c>
      <c r="S127" s="401">
        <f>+'A) Base RI'!U127</f>
        <v>70</v>
      </c>
      <c r="T127" s="405">
        <f t="shared" si="9"/>
        <v>6280348.698342693</v>
      </c>
      <c r="U127" s="405">
        <f t="shared" si="10"/>
        <v>99930.249355206179</v>
      </c>
      <c r="V127" s="10">
        <f>+'A) Base RI'!P127</f>
        <v>15639.5</v>
      </c>
      <c r="W127" s="10">
        <f>+'A) Base RI'!Q127</f>
        <v>175089.25</v>
      </c>
      <c r="X127" s="10">
        <f>+'A) Base RI'!S127</f>
        <v>53142.6</v>
      </c>
      <c r="Y127" s="405">
        <f t="shared" si="11"/>
        <v>243871.35</v>
      </c>
      <c r="Z127" s="10">
        <f>+'A) Base RI'!O127</f>
        <v>204335.45</v>
      </c>
      <c r="AA127" s="10">
        <f>'A) Base RI'!V127</f>
        <v>2881</v>
      </c>
    </row>
    <row r="128" spans="1:27" x14ac:dyDescent="0.25">
      <c r="A128" s="8">
        <f>'A) Base RI'!A128</f>
        <v>5609</v>
      </c>
      <c r="B128" s="32" t="str">
        <f>'A) Base RI'!B128</f>
        <v>Rivaz</v>
      </c>
      <c r="C128" s="10">
        <f>'A) Base RI'!C128+'A) Base RI'!D128</f>
        <v>780419.38</v>
      </c>
      <c r="D128" s="10">
        <f>'A) Base RI'!W128</f>
        <v>186.16</v>
      </c>
      <c r="E128" s="397">
        <f>'A) Base RI'!X128</f>
        <v>0</v>
      </c>
      <c r="F128" s="397">
        <f>'A) Base RI'!Y128</f>
        <v>-797.53</v>
      </c>
      <c r="G128" s="405">
        <f t="shared" si="6"/>
        <v>779808.01</v>
      </c>
      <c r="H128" s="10">
        <f>+'A) Base RI'!E128</f>
        <v>0</v>
      </c>
      <c r="I128" s="10">
        <f>+'A) Base RI'!F128</f>
        <v>0</v>
      </c>
      <c r="J128" s="10">
        <f>+'A) Base RI'!G128+'A) Base RI'!H128+'A) Base RI'!I128</f>
        <v>32029.979630586233</v>
      </c>
      <c r="K128" s="10">
        <f>+'A) Base RI'!J128</f>
        <v>0</v>
      </c>
      <c r="L128" s="10">
        <f>+'A) Base RI'!K128</f>
        <v>1962.36</v>
      </c>
      <c r="M128" s="10">
        <f>+'A) Base RI'!L128</f>
        <v>-2215.1</v>
      </c>
      <c r="N128" s="10">
        <f>+'A) Base RI'!R128</f>
        <v>0</v>
      </c>
      <c r="O128" s="10">
        <f t="shared" si="7"/>
        <v>56532.35</v>
      </c>
      <c r="P128" s="10">
        <f>+'A) Base RI'!M128</f>
        <v>56532.35</v>
      </c>
      <c r="Q128" s="413">
        <f>'A) Base RI'!Z128</f>
        <v>1</v>
      </c>
      <c r="R128" s="405">
        <f t="shared" si="8"/>
        <v>868117.59963058622</v>
      </c>
      <c r="S128" s="401">
        <f>+'A) Base RI'!U128</f>
        <v>63.5</v>
      </c>
      <c r="T128" s="405">
        <f t="shared" si="9"/>
        <v>813800.34963058622</v>
      </c>
      <c r="U128" s="405">
        <f t="shared" si="10"/>
        <v>13671.143301269074</v>
      </c>
      <c r="V128" s="10">
        <f>+'A) Base RI'!P128</f>
        <v>0</v>
      </c>
      <c r="W128" s="10">
        <f>+'A) Base RI'!Q128</f>
        <v>37235</v>
      </c>
      <c r="X128" s="10">
        <f>+'A) Base RI'!S128</f>
        <v>0</v>
      </c>
      <c r="Y128" s="405">
        <f t="shared" si="11"/>
        <v>37235</v>
      </c>
      <c r="Z128" s="10">
        <f>+'A) Base RI'!O128</f>
        <v>0</v>
      </c>
      <c r="AA128" s="10">
        <f>'A) Base RI'!V128</f>
        <v>342</v>
      </c>
    </row>
    <row r="129" spans="1:27" x14ac:dyDescent="0.25">
      <c r="A129" s="8">
        <f>'A) Base RI'!A129</f>
        <v>5610</v>
      </c>
      <c r="B129" s="32" t="str">
        <f>'A) Base RI'!B129</f>
        <v>St-Saphorin (Lavaux)</v>
      </c>
      <c r="C129" s="10">
        <f>'A) Base RI'!C129+'A) Base RI'!D129</f>
        <v>1330390.55</v>
      </c>
      <c r="D129" s="10">
        <f>'A) Base RI'!W129</f>
        <v>-3365.87</v>
      </c>
      <c r="E129" s="397">
        <f>'A) Base RI'!X129</f>
        <v>0</v>
      </c>
      <c r="F129" s="397">
        <f>'A) Base RI'!Y129</f>
        <v>-2770.18</v>
      </c>
      <c r="G129" s="405">
        <f t="shared" si="6"/>
        <v>1324254.5</v>
      </c>
      <c r="H129" s="10">
        <f>+'A) Base RI'!E129</f>
        <v>0</v>
      </c>
      <c r="I129" s="10">
        <f>+'A) Base RI'!F129</f>
        <v>0</v>
      </c>
      <c r="J129" s="10">
        <f>+'A) Base RI'!G129+'A) Base RI'!H129+'A) Base RI'!I129</f>
        <v>11624.062288706717</v>
      </c>
      <c r="K129" s="10">
        <f>+'A) Base RI'!J129</f>
        <v>50381</v>
      </c>
      <c r="L129" s="10">
        <f>+'A) Base RI'!K129</f>
        <v>34295.31</v>
      </c>
      <c r="M129" s="10">
        <f>+'A) Base RI'!L129</f>
        <v>6538.15</v>
      </c>
      <c r="N129" s="10">
        <f>+'A) Base RI'!R129</f>
        <v>14240.1</v>
      </c>
      <c r="O129" s="10">
        <f t="shared" si="7"/>
        <v>117784.25</v>
      </c>
      <c r="P129" s="10">
        <f>+'A) Base RI'!M129</f>
        <v>117784.25</v>
      </c>
      <c r="Q129" s="413">
        <f>'A) Base RI'!Z129</f>
        <v>1</v>
      </c>
      <c r="R129" s="405">
        <f t="shared" si="8"/>
        <v>1559117.3722887067</v>
      </c>
      <c r="S129" s="401">
        <f>+'A) Base RI'!U129</f>
        <v>70</v>
      </c>
      <c r="T129" s="405">
        <f t="shared" si="9"/>
        <v>1434794.9722887068</v>
      </c>
      <c r="U129" s="405">
        <f t="shared" si="10"/>
        <v>22273.105318410097</v>
      </c>
      <c r="V129" s="10">
        <f>+'A) Base RI'!P129</f>
        <v>86</v>
      </c>
      <c r="W129" s="10">
        <f>+'A) Base RI'!Q129</f>
        <v>22836</v>
      </c>
      <c r="X129" s="10">
        <f>+'A) Base RI'!S129</f>
        <v>10880.35</v>
      </c>
      <c r="Y129" s="405">
        <f t="shared" si="11"/>
        <v>33802.35</v>
      </c>
      <c r="Z129" s="10">
        <f>+'A) Base RI'!O129</f>
        <v>0</v>
      </c>
      <c r="AA129" s="10">
        <f>'A) Base RI'!V129</f>
        <v>384</v>
      </c>
    </row>
    <row r="130" spans="1:27" x14ac:dyDescent="0.25">
      <c r="A130" s="8">
        <f>'A) Base RI'!A130</f>
        <v>5611</v>
      </c>
      <c r="B130" s="32" t="str">
        <f>'A) Base RI'!B130</f>
        <v>Savigny</v>
      </c>
      <c r="C130" s="10">
        <f>'A) Base RI'!C130+'A) Base RI'!D130</f>
        <v>7996856.1799999997</v>
      </c>
      <c r="D130" s="10">
        <f>'A) Base RI'!W130</f>
        <v>-86054.84</v>
      </c>
      <c r="E130" s="397">
        <f>'A) Base RI'!X130</f>
        <v>0</v>
      </c>
      <c r="F130" s="397">
        <f>'A) Base RI'!Y130</f>
        <v>-2681.59</v>
      </c>
      <c r="G130" s="405">
        <f t="shared" si="6"/>
        <v>7908119.75</v>
      </c>
      <c r="H130" s="10">
        <f>+'A) Base RI'!E130</f>
        <v>0</v>
      </c>
      <c r="I130" s="10">
        <f>+'A) Base RI'!F130</f>
        <v>0</v>
      </c>
      <c r="J130" s="10">
        <f>+'A) Base RI'!G130+'A) Base RI'!H130+'A) Base RI'!I130</f>
        <v>366752.1525465353</v>
      </c>
      <c r="K130" s="10">
        <f>+'A) Base RI'!J130</f>
        <v>190349.05</v>
      </c>
      <c r="L130" s="10">
        <f>+'A) Base RI'!K130</f>
        <v>80537.88</v>
      </c>
      <c r="M130" s="10">
        <f>+'A) Base RI'!L130</f>
        <v>21559.95</v>
      </c>
      <c r="N130" s="10">
        <f>+'A) Base RI'!R130</f>
        <v>60029.8</v>
      </c>
      <c r="O130" s="10">
        <f t="shared" si="7"/>
        <v>653971.375</v>
      </c>
      <c r="P130" s="10">
        <f>+'A) Base RI'!M130</f>
        <v>784765.65</v>
      </c>
      <c r="Q130" s="413">
        <f>'A) Base RI'!Z130</f>
        <v>1.2</v>
      </c>
      <c r="R130" s="405">
        <f t="shared" si="8"/>
        <v>9281319.9575465359</v>
      </c>
      <c r="S130" s="401">
        <f>+'A) Base RI'!U130</f>
        <v>69</v>
      </c>
      <c r="T130" s="405">
        <f t="shared" si="9"/>
        <v>8605788.6325465366</v>
      </c>
      <c r="U130" s="405">
        <f t="shared" si="10"/>
        <v>134511.88344270343</v>
      </c>
      <c r="V130" s="10">
        <f>+'A) Base RI'!P130</f>
        <v>464859.4</v>
      </c>
      <c r="W130" s="10">
        <f>+'A) Base RI'!Q130</f>
        <v>449852.7</v>
      </c>
      <c r="X130" s="10">
        <f>+'A) Base RI'!S130</f>
        <v>327873.59999999998</v>
      </c>
      <c r="Y130" s="405">
        <f t="shared" si="11"/>
        <v>1242585.7000000002</v>
      </c>
      <c r="Z130" s="10">
        <f>+'A) Base RI'!O130</f>
        <v>112933.35</v>
      </c>
      <c r="AA130" s="10">
        <f>'A) Base RI'!V130</f>
        <v>3359</v>
      </c>
    </row>
    <row r="131" spans="1:27" x14ac:dyDescent="0.25">
      <c r="A131" s="8">
        <f>'A) Base RI'!A131</f>
        <v>5613</v>
      </c>
      <c r="B131" s="32" t="str">
        <f>'A) Base RI'!B131</f>
        <v>Bourg-en-Lavaux</v>
      </c>
      <c r="C131" s="10">
        <f>'A) Base RI'!C131+'A) Base RI'!D131</f>
        <v>19493009.640000001</v>
      </c>
      <c r="D131" s="10">
        <f>'A) Base RI'!W131</f>
        <v>-152033.82999999999</v>
      </c>
      <c r="E131" s="397">
        <f>'A) Base RI'!X131</f>
        <v>0</v>
      </c>
      <c r="F131" s="397">
        <f>'A) Base RI'!Y131</f>
        <v>-34937.79</v>
      </c>
      <c r="G131" s="405">
        <f t="shared" si="6"/>
        <v>19306038.020000003</v>
      </c>
      <c r="H131" s="10">
        <f>+'A) Base RI'!E131</f>
        <v>0</v>
      </c>
      <c r="I131" s="10">
        <f>+'A) Base RI'!F131</f>
        <v>0</v>
      </c>
      <c r="J131" s="10">
        <f>+'A) Base RI'!G131+'A) Base RI'!H131+'A) Base RI'!I131</f>
        <v>217728.54395534442</v>
      </c>
      <c r="K131" s="10">
        <f>+'A) Base RI'!J131</f>
        <v>58526.3</v>
      </c>
      <c r="L131" s="10">
        <f>+'A) Base RI'!K131</f>
        <v>287131.86</v>
      </c>
      <c r="M131" s="10">
        <f>+'A) Base RI'!L131</f>
        <v>13872.85</v>
      </c>
      <c r="N131" s="10">
        <f>+'A) Base RI'!R131</f>
        <v>18206.759999999998</v>
      </c>
      <c r="O131" s="10">
        <f t="shared" si="7"/>
        <v>1406167.7</v>
      </c>
      <c r="P131" s="10">
        <f>+'A) Base RI'!M131</f>
        <v>2109251.5499999998</v>
      </c>
      <c r="Q131" s="413">
        <f>'A) Base RI'!Z131</f>
        <v>1.5</v>
      </c>
      <c r="R131" s="405">
        <f t="shared" si="8"/>
        <v>21307672.033955351</v>
      </c>
      <c r="S131" s="401">
        <f>+'A) Base RI'!U131</f>
        <v>64</v>
      </c>
      <c r="T131" s="405">
        <f t="shared" si="9"/>
        <v>19887631.48395535</v>
      </c>
      <c r="U131" s="405">
        <f t="shared" si="10"/>
        <v>332932.37553055235</v>
      </c>
      <c r="V131" s="10">
        <f>+'A) Base RI'!P131</f>
        <v>86891.4</v>
      </c>
      <c r="W131" s="10">
        <f>+'A) Base RI'!Q131</f>
        <v>900803.75</v>
      </c>
      <c r="X131" s="10">
        <f>+'A) Base RI'!S131</f>
        <v>975496.75</v>
      </c>
      <c r="Y131" s="405">
        <f t="shared" si="11"/>
        <v>1963191.9</v>
      </c>
      <c r="Z131" s="10">
        <f>+'A) Base RI'!O131</f>
        <v>39562.800000000003</v>
      </c>
      <c r="AA131" s="10">
        <f>'A) Base RI'!V131</f>
        <v>5345</v>
      </c>
    </row>
    <row r="132" spans="1:27" x14ac:dyDescent="0.25">
      <c r="A132" s="8">
        <f>'A) Base RI'!A132</f>
        <v>5621</v>
      </c>
      <c r="B132" s="32" t="str">
        <f>'A) Base RI'!B132</f>
        <v>Aclens</v>
      </c>
      <c r="C132" s="10">
        <f>'A) Base RI'!C132+'A) Base RI'!D132</f>
        <v>1175623.92</v>
      </c>
      <c r="D132" s="10">
        <f>'A) Base RI'!W132</f>
        <v>-231875.29</v>
      </c>
      <c r="E132" s="397">
        <f>'A) Base RI'!X132</f>
        <v>0</v>
      </c>
      <c r="F132" s="397">
        <f>'A) Base RI'!Y132</f>
        <v>-1477.67</v>
      </c>
      <c r="G132" s="405">
        <f t="shared" si="6"/>
        <v>942270.95999999985</v>
      </c>
      <c r="H132" s="10">
        <f>+'A) Base RI'!E132</f>
        <v>0</v>
      </c>
      <c r="I132" s="10">
        <f>+'A) Base RI'!F132</f>
        <v>0</v>
      </c>
      <c r="J132" s="10">
        <f>+'A) Base RI'!G132+'A) Base RI'!H132+'A) Base RI'!I132</f>
        <v>348729.65429378924</v>
      </c>
      <c r="K132" s="10">
        <f>+'A) Base RI'!J132</f>
        <v>0</v>
      </c>
      <c r="L132" s="10">
        <f>+'A) Base RI'!K132</f>
        <v>71331.09</v>
      </c>
      <c r="M132" s="10">
        <f>+'A) Base RI'!L132</f>
        <v>24888.65</v>
      </c>
      <c r="N132" s="10">
        <f>+'A) Base RI'!R132</f>
        <v>34.49</v>
      </c>
      <c r="O132" s="10">
        <f t="shared" si="7"/>
        <v>287452.63636363635</v>
      </c>
      <c r="P132" s="10">
        <f>+'A) Base RI'!M132</f>
        <v>316197.90000000002</v>
      </c>
      <c r="Q132" s="413">
        <f>'A) Base RI'!Z132</f>
        <v>1.1000000000000001</v>
      </c>
      <c r="R132" s="405">
        <f t="shared" si="8"/>
        <v>1674707.4806574252</v>
      </c>
      <c r="S132" s="401">
        <f>+'A) Base RI'!U132</f>
        <v>62</v>
      </c>
      <c r="T132" s="405">
        <f t="shared" si="9"/>
        <v>1362366.1942937891</v>
      </c>
      <c r="U132" s="405">
        <f t="shared" si="10"/>
        <v>27011.410978345568</v>
      </c>
      <c r="V132" s="10">
        <f>+'A) Base RI'!P132</f>
        <v>43551</v>
      </c>
      <c r="W132" s="10">
        <f>+'A) Base RI'!Q132</f>
        <v>118046.65</v>
      </c>
      <c r="X132" s="10">
        <f>+'A) Base RI'!S132</f>
        <v>25159.75</v>
      </c>
      <c r="Y132" s="405">
        <f t="shared" si="11"/>
        <v>186757.4</v>
      </c>
      <c r="Z132" s="10">
        <f>+'A) Base RI'!O132</f>
        <v>163883.20000000001</v>
      </c>
      <c r="AA132" s="10">
        <f>'A) Base RI'!V132</f>
        <v>539</v>
      </c>
    </row>
    <row r="133" spans="1:27" x14ac:dyDescent="0.25">
      <c r="A133" s="8">
        <f>'A) Base RI'!A133</f>
        <v>5622</v>
      </c>
      <c r="B133" s="32" t="str">
        <f>'A) Base RI'!B133</f>
        <v>Bremblens</v>
      </c>
      <c r="C133" s="10">
        <f>'A) Base RI'!C133+'A) Base RI'!D133</f>
        <v>1685899.49</v>
      </c>
      <c r="D133" s="10">
        <f>'A) Base RI'!W133</f>
        <v>-14399.56</v>
      </c>
      <c r="E133" s="397">
        <f>'A) Base RI'!X133</f>
        <v>0</v>
      </c>
      <c r="F133" s="397">
        <f>'A) Base RI'!Y133</f>
        <v>-66.39</v>
      </c>
      <c r="G133" s="405">
        <f t="shared" si="6"/>
        <v>1671433.54</v>
      </c>
      <c r="H133" s="10">
        <f>+'A) Base RI'!E133</f>
        <v>0</v>
      </c>
      <c r="I133" s="10">
        <f>+'A) Base RI'!F133</f>
        <v>0</v>
      </c>
      <c r="J133" s="10">
        <f>+'A) Base RI'!G133+'A) Base RI'!H133+'A) Base RI'!I133</f>
        <v>-44389.65</v>
      </c>
      <c r="K133" s="10">
        <f>+'A) Base RI'!J133</f>
        <v>0</v>
      </c>
      <c r="L133" s="10">
        <f>+'A) Base RI'!K133</f>
        <v>606.11</v>
      </c>
      <c r="M133" s="10">
        <f>+'A) Base RI'!L133</f>
        <v>5229</v>
      </c>
      <c r="N133" s="10">
        <f>+'A) Base RI'!R133</f>
        <v>56.41</v>
      </c>
      <c r="O133" s="10">
        <f t="shared" si="7"/>
        <v>144929.4</v>
      </c>
      <c r="P133" s="10">
        <f>+'A) Base RI'!M133</f>
        <v>144929.4</v>
      </c>
      <c r="Q133" s="413">
        <f>'A) Base RI'!Z133</f>
        <v>1</v>
      </c>
      <c r="R133" s="405">
        <f t="shared" si="8"/>
        <v>1777864.81</v>
      </c>
      <c r="S133" s="401">
        <f>+'A) Base RI'!U133</f>
        <v>66</v>
      </c>
      <c r="T133" s="405">
        <f t="shared" si="9"/>
        <v>1627706.4100000001</v>
      </c>
      <c r="U133" s="405">
        <f t="shared" si="10"/>
        <v>26937.345606060608</v>
      </c>
      <c r="V133" s="10">
        <f>+'A) Base RI'!P133</f>
        <v>0</v>
      </c>
      <c r="W133" s="10">
        <f>+'A) Base RI'!Q133</f>
        <v>103342.3</v>
      </c>
      <c r="X133" s="10">
        <f>+'A) Base RI'!S133</f>
        <v>123840.05</v>
      </c>
      <c r="Y133" s="405">
        <f t="shared" si="11"/>
        <v>227182.35</v>
      </c>
      <c r="Z133" s="10">
        <f>+'A) Base RI'!O133</f>
        <v>25229.55</v>
      </c>
      <c r="AA133" s="10">
        <f>'A) Base RI'!V133</f>
        <v>577</v>
      </c>
    </row>
    <row r="134" spans="1:27" x14ac:dyDescent="0.25">
      <c r="A134" s="8">
        <f>'A) Base RI'!A134</f>
        <v>5623</v>
      </c>
      <c r="B134" s="32" t="str">
        <f>'A) Base RI'!B134</f>
        <v>Buchillon</v>
      </c>
      <c r="C134" s="10">
        <f>'A) Base RI'!C134+'A) Base RI'!D134</f>
        <v>4108402.6</v>
      </c>
      <c r="D134" s="10">
        <f>'A) Base RI'!W134</f>
        <v>-14018.87</v>
      </c>
      <c r="E134" s="397">
        <f>'A) Base RI'!X134</f>
        <v>0</v>
      </c>
      <c r="F134" s="397">
        <f>'A) Base RI'!Y134</f>
        <v>-30316.97</v>
      </c>
      <c r="G134" s="405">
        <f t="shared" si="6"/>
        <v>4064066.76</v>
      </c>
      <c r="H134" s="10">
        <f>+'A) Base RI'!E134</f>
        <v>0</v>
      </c>
      <c r="I134" s="10">
        <f>+'A) Base RI'!F134</f>
        <v>0</v>
      </c>
      <c r="J134" s="10">
        <f>+'A) Base RI'!G134+'A) Base RI'!H134+'A) Base RI'!I134</f>
        <v>139573.54315853375</v>
      </c>
      <c r="K134" s="10">
        <f>+'A) Base RI'!J134</f>
        <v>218773.05</v>
      </c>
      <c r="L134" s="10">
        <f>+'A) Base RI'!K134</f>
        <v>-25990.65</v>
      </c>
      <c r="M134" s="10">
        <f>+'A) Base RI'!L134</f>
        <v>2749</v>
      </c>
      <c r="N134" s="10">
        <f>+'A) Base RI'!R134</f>
        <v>0</v>
      </c>
      <c r="O134" s="10">
        <f t="shared" si="7"/>
        <v>342307.8</v>
      </c>
      <c r="P134" s="10">
        <f>+'A) Base RI'!M134</f>
        <v>342307.8</v>
      </c>
      <c r="Q134" s="413">
        <f>'A) Base RI'!Z134</f>
        <v>1</v>
      </c>
      <c r="R134" s="405">
        <f t="shared" si="8"/>
        <v>4741479.503158533</v>
      </c>
      <c r="S134" s="401">
        <f>+'A) Base RI'!U134</f>
        <v>53</v>
      </c>
      <c r="T134" s="405">
        <f t="shared" si="9"/>
        <v>4396422.7031585332</v>
      </c>
      <c r="U134" s="405">
        <f t="shared" si="10"/>
        <v>89461.877418085525</v>
      </c>
      <c r="V134" s="10">
        <f>+'A) Base RI'!P134</f>
        <v>0</v>
      </c>
      <c r="W134" s="10">
        <f>+'A) Base RI'!Q134</f>
        <v>252395.05</v>
      </c>
      <c r="X134" s="10">
        <f>+'A) Base RI'!S134</f>
        <v>213419.05</v>
      </c>
      <c r="Y134" s="405">
        <f t="shared" si="11"/>
        <v>465814.1</v>
      </c>
      <c r="Z134" s="10">
        <f>+'A) Base RI'!O134</f>
        <v>1708.45</v>
      </c>
      <c r="AA134" s="10">
        <f>'A) Base RI'!V134</f>
        <v>686</v>
      </c>
    </row>
    <row r="135" spans="1:27" x14ac:dyDescent="0.25">
      <c r="A135" s="8">
        <f>'A) Base RI'!A135</f>
        <v>5624</v>
      </c>
      <c r="B135" s="32" t="str">
        <f>'A) Base RI'!B135</f>
        <v>Bussigny</v>
      </c>
      <c r="C135" s="10">
        <f>'A) Base RI'!C135+'A) Base RI'!D135</f>
        <v>15421170.73</v>
      </c>
      <c r="D135" s="10">
        <f>'A) Base RI'!W135</f>
        <v>-387152.82</v>
      </c>
      <c r="E135" s="397">
        <f>'A) Base RI'!X135</f>
        <v>0</v>
      </c>
      <c r="F135" s="397">
        <f>'A) Base RI'!Y135</f>
        <v>-335600.95</v>
      </c>
      <c r="G135" s="405">
        <f t="shared" ref="G135:G198" si="12">SUM(C135:F135)</f>
        <v>14698416.960000001</v>
      </c>
      <c r="H135" s="10">
        <f>+'A) Base RI'!E135</f>
        <v>0</v>
      </c>
      <c r="I135" s="10">
        <f>+'A) Base RI'!F135</f>
        <v>0</v>
      </c>
      <c r="J135" s="10">
        <f>+'A) Base RI'!G135+'A) Base RI'!H135+'A) Base RI'!I135</f>
        <v>7793798.8700306276</v>
      </c>
      <c r="K135" s="10">
        <f>+'A) Base RI'!J135</f>
        <v>0</v>
      </c>
      <c r="L135" s="10">
        <f>+'A) Base RI'!K135</f>
        <v>740012.36</v>
      </c>
      <c r="M135" s="10">
        <f>+'A) Base RI'!L135</f>
        <v>378271.35</v>
      </c>
      <c r="N135" s="10">
        <f>+'A) Base RI'!R135</f>
        <v>78504.429999999993</v>
      </c>
      <c r="O135" s="10">
        <f t="shared" ref="O135:O198" si="13">(P135/Q135)*1</f>
        <v>1935962.92</v>
      </c>
      <c r="P135" s="10">
        <f>+'A) Base RI'!M135</f>
        <v>2419953.65</v>
      </c>
      <c r="Q135" s="413">
        <f>'A) Base RI'!Z135</f>
        <v>1.25</v>
      </c>
      <c r="R135" s="405">
        <f t="shared" ref="R135:R198" si="14">SUM(G135:O135)</f>
        <v>25624966.89003063</v>
      </c>
      <c r="S135" s="401">
        <f>+'A) Base RI'!U135</f>
        <v>64</v>
      </c>
      <c r="T135" s="405">
        <f t="shared" ref="T135:T198" si="15">(G135+H135+J135+K135+L135+N135)</f>
        <v>23310732.620030627</v>
      </c>
      <c r="U135" s="405">
        <f t="shared" ref="U135:U198" si="16">R135/S135</f>
        <v>400390.10765672859</v>
      </c>
      <c r="V135" s="10">
        <f>+'A) Base RI'!P135</f>
        <v>105709.2</v>
      </c>
      <c r="W135" s="10">
        <f>+'A) Base RI'!Q135</f>
        <v>1641700.45</v>
      </c>
      <c r="X135" s="10">
        <f>+'A) Base RI'!S135</f>
        <v>1435197.45</v>
      </c>
      <c r="Y135" s="405">
        <f t="shared" ref="Y135:Y198" si="17">SUM(V135:X135)</f>
        <v>3182607.0999999996</v>
      </c>
      <c r="Z135" s="10">
        <f>+'A) Base RI'!O135</f>
        <v>1135079.8999999999</v>
      </c>
      <c r="AA135" s="10">
        <f>'A) Base RI'!V135</f>
        <v>8962</v>
      </c>
    </row>
    <row r="136" spans="1:27" x14ac:dyDescent="0.25">
      <c r="A136" s="8">
        <f>'A) Base RI'!A136</f>
        <v>5625</v>
      </c>
      <c r="B136" s="32" t="str">
        <f>'A) Base RI'!B136</f>
        <v>Bussy-Chardonney</v>
      </c>
      <c r="C136" s="10">
        <f>'A) Base RI'!C136+'A) Base RI'!D136</f>
        <v>1088672.23</v>
      </c>
      <c r="D136" s="10">
        <f>'A) Base RI'!W136</f>
        <v>-1509.34</v>
      </c>
      <c r="E136" s="397">
        <f>'A) Base RI'!X136</f>
        <v>0</v>
      </c>
      <c r="F136" s="397">
        <f>'A) Base RI'!Y136</f>
        <v>0</v>
      </c>
      <c r="G136" s="405">
        <f t="shared" si="12"/>
        <v>1087162.8899999999</v>
      </c>
      <c r="H136" s="10">
        <f>+'A) Base RI'!E136</f>
        <v>0</v>
      </c>
      <c r="I136" s="10">
        <f>+'A) Base RI'!F136</f>
        <v>0</v>
      </c>
      <c r="J136" s="10">
        <f>+'A) Base RI'!G136+'A) Base RI'!H136+'A) Base RI'!I136</f>
        <v>23250.8326235309</v>
      </c>
      <c r="K136" s="10">
        <f>+'A) Base RI'!J136</f>
        <v>49113.7</v>
      </c>
      <c r="L136" s="10">
        <f>+'A) Base RI'!K136</f>
        <v>34954.1</v>
      </c>
      <c r="M136" s="10">
        <f>+'A) Base RI'!L136</f>
        <v>6069.5</v>
      </c>
      <c r="N136" s="10">
        <f>+'A) Base RI'!R136</f>
        <v>0</v>
      </c>
      <c r="O136" s="10">
        <f t="shared" si="13"/>
        <v>94213.833333333343</v>
      </c>
      <c r="P136" s="10">
        <f>+'A) Base RI'!M136</f>
        <v>113056.6</v>
      </c>
      <c r="Q136" s="413">
        <f>'A) Base RI'!Z136</f>
        <v>1.2</v>
      </c>
      <c r="R136" s="405">
        <f t="shared" si="14"/>
        <v>1294764.8559568641</v>
      </c>
      <c r="S136" s="401">
        <f>+'A) Base RI'!U136</f>
        <v>77</v>
      </c>
      <c r="T136" s="405">
        <f t="shared" si="15"/>
        <v>1194481.5226235308</v>
      </c>
      <c r="U136" s="405">
        <f t="shared" si="16"/>
        <v>16815.127999439792</v>
      </c>
      <c r="V136" s="10">
        <f>+'A) Base RI'!P136</f>
        <v>19338</v>
      </c>
      <c r="W136" s="10">
        <f>+'A) Base RI'!Q136</f>
        <v>64394.5</v>
      </c>
      <c r="X136" s="10">
        <f>+'A) Base RI'!S136</f>
        <v>3389.35</v>
      </c>
      <c r="Y136" s="405">
        <f t="shared" si="17"/>
        <v>87121.85</v>
      </c>
      <c r="Z136" s="10">
        <f>+'A) Base RI'!O136</f>
        <v>0</v>
      </c>
      <c r="AA136" s="10">
        <f>'A) Base RI'!V136</f>
        <v>384</v>
      </c>
    </row>
    <row r="137" spans="1:27" x14ac:dyDescent="0.25">
      <c r="A137" s="8">
        <f>'A) Base RI'!A137</f>
        <v>5627</v>
      </c>
      <c r="B137" s="32" t="str">
        <f>'A) Base RI'!B137</f>
        <v>Chavannes-près-Renens</v>
      </c>
      <c r="C137" s="10">
        <f>'A) Base RI'!C137+'A) Base RI'!D137</f>
        <v>11033725.75</v>
      </c>
      <c r="D137" s="10">
        <f>'A) Base RI'!W137</f>
        <v>-492020.83</v>
      </c>
      <c r="E137" s="397">
        <f>'A) Base RI'!X137</f>
        <v>0</v>
      </c>
      <c r="F137" s="397">
        <f>'A) Base RI'!Y137</f>
        <v>-445.13</v>
      </c>
      <c r="G137" s="405">
        <f t="shared" si="12"/>
        <v>10541259.789999999</v>
      </c>
      <c r="H137" s="10">
        <f>+'A) Base RI'!E137</f>
        <v>0</v>
      </c>
      <c r="I137" s="10">
        <f>+'A) Base RI'!F137</f>
        <v>0</v>
      </c>
      <c r="J137" s="10">
        <f>+'A) Base RI'!G137+'A) Base RI'!H137+'A) Base RI'!I137</f>
        <v>4163824.4604015485</v>
      </c>
      <c r="K137" s="10">
        <f>+'A) Base RI'!J137</f>
        <v>0</v>
      </c>
      <c r="L137" s="10">
        <f>+'A) Base RI'!K137</f>
        <v>780514.01</v>
      </c>
      <c r="M137" s="10">
        <f>+'A) Base RI'!L137</f>
        <v>300233.40000000002</v>
      </c>
      <c r="N137" s="10">
        <f>+'A) Base RI'!R137</f>
        <v>90439.6</v>
      </c>
      <c r="O137" s="10">
        <f t="shared" si="13"/>
        <v>1056491.8666666667</v>
      </c>
      <c r="P137" s="10">
        <f>+'A) Base RI'!M137</f>
        <v>1584737.8</v>
      </c>
      <c r="Q137" s="413">
        <f>'A) Base RI'!Z137</f>
        <v>1.5</v>
      </c>
      <c r="R137" s="405">
        <f t="shared" si="14"/>
        <v>16932763.127068214</v>
      </c>
      <c r="S137" s="401">
        <f>+'A) Base RI'!U137</f>
        <v>79</v>
      </c>
      <c r="T137" s="405">
        <f t="shared" si="15"/>
        <v>15576037.860401547</v>
      </c>
      <c r="U137" s="405">
        <f t="shared" si="16"/>
        <v>214338.77376035714</v>
      </c>
      <c r="V137" s="10">
        <f>+'A) Base RI'!P137</f>
        <v>77730</v>
      </c>
      <c r="W137" s="10">
        <f>+'A) Base RI'!Q137</f>
        <v>2063922.8</v>
      </c>
      <c r="X137" s="10">
        <f>+'A) Base RI'!S137</f>
        <v>508679.1</v>
      </c>
      <c r="Y137" s="405">
        <f t="shared" si="17"/>
        <v>2650331.9</v>
      </c>
      <c r="Z137" s="10">
        <f>+'A) Base RI'!O137</f>
        <v>311973.45</v>
      </c>
      <c r="AA137" s="10">
        <f>'A) Base RI'!V137</f>
        <v>7887</v>
      </c>
    </row>
    <row r="138" spans="1:27" x14ac:dyDescent="0.25">
      <c r="A138" s="8">
        <f>'A) Base RI'!A138</f>
        <v>5628</v>
      </c>
      <c r="B138" s="32" t="str">
        <f>'A) Base RI'!B138</f>
        <v>Chigny</v>
      </c>
      <c r="C138" s="10">
        <f>'A) Base RI'!C138+'A) Base RI'!D138</f>
        <v>1274527.1000000001</v>
      </c>
      <c r="D138" s="10">
        <f>'A) Base RI'!W138</f>
        <v>-4872.49</v>
      </c>
      <c r="E138" s="397">
        <f>'A) Base RI'!X138</f>
        <v>0</v>
      </c>
      <c r="F138" s="397">
        <f>'A) Base RI'!Y138</f>
        <v>0</v>
      </c>
      <c r="G138" s="405">
        <f t="shared" si="12"/>
        <v>1269654.6100000001</v>
      </c>
      <c r="H138" s="10">
        <f>+'A) Base RI'!E138</f>
        <v>0</v>
      </c>
      <c r="I138" s="10">
        <f>+'A) Base RI'!F138</f>
        <v>0</v>
      </c>
      <c r="J138" s="10">
        <f>+'A) Base RI'!G138+'A) Base RI'!H138+'A) Base RI'!I138</f>
        <v>-686.94999999999993</v>
      </c>
      <c r="K138" s="10">
        <f>+'A) Base RI'!J138</f>
        <v>0</v>
      </c>
      <c r="L138" s="10">
        <f>+'A) Base RI'!K138</f>
        <v>22632.46</v>
      </c>
      <c r="M138" s="10">
        <f>+'A) Base RI'!L138</f>
        <v>859.5</v>
      </c>
      <c r="N138" s="10">
        <f>+'A) Base RI'!R138</f>
        <v>0</v>
      </c>
      <c r="O138" s="10">
        <f t="shared" si="13"/>
        <v>94605.7</v>
      </c>
      <c r="P138" s="10">
        <f>+'A) Base RI'!M138</f>
        <v>94605.7</v>
      </c>
      <c r="Q138" s="413">
        <f>'A) Base RI'!Z138</f>
        <v>1</v>
      </c>
      <c r="R138" s="405">
        <f t="shared" si="14"/>
        <v>1387065.32</v>
      </c>
      <c r="S138" s="401">
        <f>+'A) Base RI'!U138</f>
        <v>62</v>
      </c>
      <c r="T138" s="405">
        <f t="shared" si="15"/>
        <v>1291600.1200000001</v>
      </c>
      <c r="U138" s="405">
        <f t="shared" si="16"/>
        <v>22372.02129032258</v>
      </c>
      <c r="V138" s="10">
        <f>+'A) Base RI'!P138</f>
        <v>2488.6999999999998</v>
      </c>
      <c r="W138" s="10">
        <f>+'A) Base RI'!Q138</f>
        <v>84964.65</v>
      </c>
      <c r="X138" s="10">
        <f>+'A) Base RI'!S138</f>
        <v>64963.1</v>
      </c>
      <c r="Y138" s="405">
        <f t="shared" si="17"/>
        <v>152416.44999999998</v>
      </c>
      <c r="Z138" s="10">
        <f>+'A) Base RI'!O138</f>
        <v>11124.5</v>
      </c>
      <c r="AA138" s="10">
        <f>'A) Base RI'!V138</f>
        <v>382</v>
      </c>
    </row>
    <row r="139" spans="1:27" x14ac:dyDescent="0.25">
      <c r="A139" s="8">
        <f>'A) Base RI'!A139</f>
        <v>5629</v>
      </c>
      <c r="B139" s="32" t="str">
        <f>'A) Base RI'!B139</f>
        <v>Clarmont</v>
      </c>
      <c r="C139" s="10">
        <f>'A) Base RI'!C139+'A) Base RI'!D139</f>
        <v>455336.49</v>
      </c>
      <c r="D139" s="10">
        <f>'A) Base RI'!W139</f>
        <v>-2964.76</v>
      </c>
      <c r="E139" s="397">
        <f>'A) Base RI'!X139</f>
        <v>0</v>
      </c>
      <c r="F139" s="397">
        <f>'A) Base RI'!Y139</f>
        <v>0</v>
      </c>
      <c r="G139" s="405">
        <f t="shared" si="12"/>
        <v>452371.73</v>
      </c>
      <c r="H139" s="10">
        <f>+'A) Base RI'!E139</f>
        <v>0</v>
      </c>
      <c r="I139" s="10">
        <f>+'A) Base RI'!F139</f>
        <v>0</v>
      </c>
      <c r="J139" s="10">
        <f>+'A) Base RI'!G139+'A) Base RI'!H139+'A) Base RI'!I139</f>
        <v>-328.40000000000003</v>
      </c>
      <c r="K139" s="10">
        <f>+'A) Base RI'!J139</f>
        <v>0</v>
      </c>
      <c r="L139" s="10">
        <f>+'A) Base RI'!K139</f>
        <v>16923.8</v>
      </c>
      <c r="M139" s="10">
        <f>+'A) Base RI'!L139</f>
        <v>715.55</v>
      </c>
      <c r="N139" s="10">
        <f>+'A) Base RI'!R139</f>
        <v>0</v>
      </c>
      <c r="O139" s="10">
        <f t="shared" si="13"/>
        <v>36561.1</v>
      </c>
      <c r="P139" s="10">
        <f>+'A) Base RI'!M139</f>
        <v>36561.1</v>
      </c>
      <c r="Q139" s="413">
        <f>'A) Base RI'!Z139</f>
        <v>1</v>
      </c>
      <c r="R139" s="405">
        <f t="shared" si="14"/>
        <v>506243.77999999991</v>
      </c>
      <c r="S139" s="401">
        <f>+'A) Base RI'!U139</f>
        <v>75</v>
      </c>
      <c r="T139" s="405">
        <f t="shared" si="15"/>
        <v>468967.12999999995</v>
      </c>
      <c r="U139" s="405">
        <f t="shared" si="16"/>
        <v>6749.9170666666651</v>
      </c>
      <c r="V139" s="10">
        <f>+'A) Base RI'!P139</f>
        <v>3209.4</v>
      </c>
      <c r="W139" s="10">
        <f>+'A) Base RI'!Q139</f>
        <v>34505.599999999999</v>
      </c>
      <c r="X139" s="10">
        <f>+'A) Base RI'!S139</f>
        <v>64977.95</v>
      </c>
      <c r="Y139" s="405">
        <f t="shared" si="17"/>
        <v>102692.95</v>
      </c>
      <c r="Z139" s="10">
        <f>+'A) Base RI'!O139</f>
        <v>0</v>
      </c>
      <c r="AA139" s="10">
        <f>'A) Base RI'!V139</f>
        <v>191</v>
      </c>
    </row>
    <row r="140" spans="1:27" x14ac:dyDescent="0.25">
      <c r="A140" s="8">
        <f>'A) Base RI'!A140</f>
        <v>5631</v>
      </c>
      <c r="B140" s="32" t="str">
        <f>'A) Base RI'!B140</f>
        <v>Denens</v>
      </c>
      <c r="C140" s="10">
        <f>'A) Base RI'!C140+'A) Base RI'!D140</f>
        <v>3283331.19</v>
      </c>
      <c r="D140" s="10">
        <f>'A) Base RI'!W140</f>
        <v>-39463.47</v>
      </c>
      <c r="E140" s="397">
        <f>'A) Base RI'!X140</f>
        <v>0</v>
      </c>
      <c r="F140" s="397">
        <f>'A) Base RI'!Y140</f>
        <v>-14790.27</v>
      </c>
      <c r="G140" s="405">
        <f t="shared" si="12"/>
        <v>3229077.4499999997</v>
      </c>
      <c r="H140" s="10">
        <f>+'A) Base RI'!E140</f>
        <v>0</v>
      </c>
      <c r="I140" s="10">
        <f>+'A) Base RI'!F140</f>
        <v>0</v>
      </c>
      <c r="J140" s="10">
        <f>+'A) Base RI'!G140+'A) Base RI'!H140+'A) Base RI'!I140</f>
        <v>-143.75</v>
      </c>
      <c r="K140" s="10">
        <f>+'A) Base RI'!J140</f>
        <v>101041.75</v>
      </c>
      <c r="L140" s="10">
        <f>+'A) Base RI'!K140</f>
        <v>60445.14</v>
      </c>
      <c r="M140" s="10">
        <f>+'A) Base RI'!L140</f>
        <v>2363.65</v>
      </c>
      <c r="N140" s="10">
        <f>+'A) Base RI'!R140</f>
        <v>0</v>
      </c>
      <c r="O140" s="10">
        <f t="shared" si="13"/>
        <v>203402.45</v>
      </c>
      <c r="P140" s="10">
        <f>+'A) Base RI'!M140</f>
        <v>203402.45</v>
      </c>
      <c r="Q140" s="413">
        <f>'A) Base RI'!Z140</f>
        <v>1</v>
      </c>
      <c r="R140" s="405">
        <f t="shared" si="14"/>
        <v>3596186.69</v>
      </c>
      <c r="S140" s="401">
        <f>+'A) Base RI'!U140</f>
        <v>70</v>
      </c>
      <c r="T140" s="405">
        <f t="shared" si="15"/>
        <v>3390420.59</v>
      </c>
      <c r="U140" s="405">
        <f t="shared" si="16"/>
        <v>51374.095571428574</v>
      </c>
      <c r="V140" s="10">
        <f>+'A) Base RI'!P140</f>
        <v>3647.2</v>
      </c>
      <c r="W140" s="10">
        <f>+'A) Base RI'!Q140</f>
        <v>73340.05</v>
      </c>
      <c r="X140" s="10">
        <f>+'A) Base RI'!S140</f>
        <v>27032.35</v>
      </c>
      <c r="Y140" s="405">
        <f t="shared" si="17"/>
        <v>104019.6</v>
      </c>
      <c r="Z140" s="10">
        <f>+'A) Base RI'!O140</f>
        <v>0</v>
      </c>
      <c r="AA140" s="10">
        <f>'A) Base RI'!V140</f>
        <v>742</v>
      </c>
    </row>
    <row r="141" spans="1:27" x14ac:dyDescent="0.25">
      <c r="A141" s="8">
        <f>'A) Base RI'!A141</f>
        <v>5632</v>
      </c>
      <c r="B141" s="32" t="str">
        <f>'A) Base RI'!B141</f>
        <v>Denges</v>
      </c>
      <c r="C141" s="10">
        <f>'A) Base RI'!C141+'A) Base RI'!D141</f>
        <v>3731334.0799999991</v>
      </c>
      <c r="D141" s="10">
        <f>'A) Base RI'!W141</f>
        <v>-76071.17</v>
      </c>
      <c r="E141" s="397">
        <f>'A) Base RI'!X141</f>
        <v>0</v>
      </c>
      <c r="F141" s="397">
        <f>'A) Base RI'!Y141</f>
        <v>-2538.1799999999998</v>
      </c>
      <c r="G141" s="405">
        <f t="shared" si="12"/>
        <v>3652724.7299999991</v>
      </c>
      <c r="H141" s="10">
        <f>+'A) Base RI'!E141</f>
        <v>0</v>
      </c>
      <c r="I141" s="10">
        <f>+'A) Base RI'!F141</f>
        <v>0</v>
      </c>
      <c r="J141" s="10">
        <f>+'A) Base RI'!G141+'A) Base RI'!H141+'A) Base RI'!I141</f>
        <v>333887.28214718384</v>
      </c>
      <c r="K141" s="10">
        <f>+'A) Base RI'!J141</f>
        <v>0</v>
      </c>
      <c r="L141" s="10">
        <f>+'A) Base RI'!K141</f>
        <v>177144.53</v>
      </c>
      <c r="M141" s="10">
        <f>+'A) Base RI'!L141</f>
        <v>28386.3</v>
      </c>
      <c r="N141" s="10">
        <f>+'A) Base RI'!R141</f>
        <v>5392.71</v>
      </c>
      <c r="O141" s="10">
        <f t="shared" si="13"/>
        <v>338397.1</v>
      </c>
      <c r="P141" s="10">
        <f>+'A) Base RI'!M141</f>
        <v>338397.1</v>
      </c>
      <c r="Q141" s="413">
        <f>'A) Base RI'!Z141</f>
        <v>1</v>
      </c>
      <c r="R141" s="405">
        <f t="shared" si="14"/>
        <v>4535932.6521471823</v>
      </c>
      <c r="S141" s="401">
        <f>+'A) Base RI'!U141</f>
        <v>62</v>
      </c>
      <c r="T141" s="405">
        <f t="shared" si="15"/>
        <v>4169149.2521471828</v>
      </c>
      <c r="U141" s="405">
        <f t="shared" si="16"/>
        <v>73160.20406689003</v>
      </c>
      <c r="V141" s="10">
        <f>+'A) Base RI'!P141</f>
        <v>2487.1</v>
      </c>
      <c r="W141" s="10">
        <f>+'A) Base RI'!Q141</f>
        <v>224497.25</v>
      </c>
      <c r="X141" s="10">
        <f>+'A) Base RI'!S141</f>
        <v>89055.9</v>
      </c>
      <c r="Y141" s="405">
        <f t="shared" si="17"/>
        <v>316040.25</v>
      </c>
      <c r="Z141" s="10">
        <f>+'A) Base RI'!O141</f>
        <v>46752.800000000003</v>
      </c>
      <c r="AA141" s="10">
        <f>'A) Base RI'!V141</f>
        <v>1609</v>
      </c>
    </row>
    <row r="142" spans="1:27" x14ac:dyDescent="0.25">
      <c r="A142" s="8">
        <f>'A) Base RI'!A142</f>
        <v>5633</v>
      </c>
      <c r="B142" s="32" t="str">
        <f>'A) Base RI'!B142</f>
        <v>Echandens</v>
      </c>
      <c r="C142" s="10">
        <f>'A) Base RI'!C142+'A) Base RI'!D142</f>
        <v>8500137.4000000004</v>
      </c>
      <c r="D142" s="10">
        <f>'A) Base RI'!W142</f>
        <v>-101237.96</v>
      </c>
      <c r="E142" s="397">
        <f>'A) Base RI'!X142</f>
        <v>0</v>
      </c>
      <c r="F142" s="397">
        <f>'A) Base RI'!Y142</f>
        <v>0</v>
      </c>
      <c r="G142" s="405">
        <f t="shared" si="12"/>
        <v>8398899.4399999995</v>
      </c>
      <c r="H142" s="10">
        <f>+'A) Base RI'!E142</f>
        <v>0</v>
      </c>
      <c r="I142" s="10">
        <f>+'A) Base RI'!F142</f>
        <v>0</v>
      </c>
      <c r="J142" s="10">
        <f>+'A) Base RI'!G142+'A) Base RI'!H142+'A) Base RI'!I142</f>
        <v>552825.46253390389</v>
      </c>
      <c r="K142" s="10">
        <f>+'A) Base RI'!J142</f>
        <v>0</v>
      </c>
      <c r="L142" s="10">
        <f>+'A) Base RI'!K142</f>
        <v>313881.11</v>
      </c>
      <c r="M142" s="10">
        <f>+'A) Base RI'!L142</f>
        <v>28810.7</v>
      </c>
      <c r="N142" s="10">
        <f>+'A) Base RI'!R142</f>
        <v>-320.33999999999997</v>
      </c>
      <c r="O142" s="10">
        <f t="shared" si="13"/>
        <v>633023.19999999995</v>
      </c>
      <c r="P142" s="10">
        <f>+'A) Base RI'!M142</f>
        <v>633023.19999999995</v>
      </c>
      <c r="Q142" s="413">
        <f>'A) Base RI'!Z142</f>
        <v>1</v>
      </c>
      <c r="R142" s="405">
        <f t="shared" si="14"/>
        <v>9927119.5725339018</v>
      </c>
      <c r="S142" s="401">
        <f>+'A) Base RI'!U142</f>
        <v>62</v>
      </c>
      <c r="T142" s="405">
        <f t="shared" si="15"/>
        <v>9265285.6725339033</v>
      </c>
      <c r="U142" s="405">
        <f t="shared" si="16"/>
        <v>160114.83181506293</v>
      </c>
      <c r="V142" s="10">
        <f>+'A) Base RI'!P142</f>
        <v>50467</v>
      </c>
      <c r="W142" s="10">
        <f>+'A) Base RI'!Q142</f>
        <v>197033.5</v>
      </c>
      <c r="X142" s="10">
        <f>+'A) Base RI'!S142</f>
        <v>227823.38</v>
      </c>
      <c r="Y142" s="405">
        <f t="shared" si="17"/>
        <v>475323.88</v>
      </c>
      <c r="Z142" s="10">
        <f>+'A) Base RI'!O142</f>
        <v>224162.65</v>
      </c>
      <c r="AA142" s="10">
        <f>'A) Base RI'!V142</f>
        <v>2739</v>
      </c>
    </row>
    <row r="143" spans="1:27" x14ac:dyDescent="0.25">
      <c r="A143" s="8">
        <f>'A) Base RI'!A143</f>
        <v>5634</v>
      </c>
      <c r="B143" s="32" t="str">
        <f>'A) Base RI'!B143</f>
        <v>Echichens</v>
      </c>
      <c r="C143" s="10">
        <f>'A) Base RI'!C143+'A) Base RI'!D143</f>
        <v>10529712.300000001</v>
      </c>
      <c r="D143" s="10">
        <f>'A) Base RI'!W143</f>
        <v>-53301.96</v>
      </c>
      <c r="E143" s="397">
        <f>'A) Base RI'!X143</f>
        <v>0</v>
      </c>
      <c r="F143" s="397">
        <f>'A) Base RI'!Y143</f>
        <v>-6746.24</v>
      </c>
      <c r="G143" s="405">
        <f t="shared" si="12"/>
        <v>10469664.1</v>
      </c>
      <c r="H143" s="10">
        <f>+'A) Base RI'!E143</f>
        <v>0</v>
      </c>
      <c r="I143" s="10">
        <f>+'A) Base RI'!F143</f>
        <v>0</v>
      </c>
      <c r="J143" s="10">
        <f>+'A) Base RI'!G143+'A) Base RI'!H143+'A) Base RI'!I143</f>
        <v>557882.26753614307</v>
      </c>
      <c r="K143" s="10">
        <f>+'A) Base RI'!J143</f>
        <v>95607.55</v>
      </c>
      <c r="L143" s="10">
        <f>+'A) Base RI'!K143</f>
        <v>62649.75</v>
      </c>
      <c r="M143" s="10">
        <f>+'A) Base RI'!L143</f>
        <v>-9073.4</v>
      </c>
      <c r="N143" s="10">
        <f>+'A) Base RI'!R143</f>
        <v>23807.08</v>
      </c>
      <c r="O143" s="10">
        <f t="shared" si="13"/>
        <v>623912.19999999995</v>
      </c>
      <c r="P143" s="10">
        <f>+'A) Base RI'!M143</f>
        <v>623912.19999999995</v>
      </c>
      <c r="Q143" s="413">
        <f>'A) Base RI'!Z143</f>
        <v>1</v>
      </c>
      <c r="R143" s="405">
        <f t="shared" si="14"/>
        <v>11824449.547536142</v>
      </c>
      <c r="S143" s="401">
        <f>+'A) Base RI'!U143</f>
        <v>68</v>
      </c>
      <c r="T143" s="405">
        <f t="shared" si="15"/>
        <v>11209610.747536143</v>
      </c>
      <c r="U143" s="405">
        <f t="shared" si="16"/>
        <v>173888.96393435504</v>
      </c>
      <c r="V143" s="10">
        <f>+'A) Base RI'!P143</f>
        <v>830901.1</v>
      </c>
      <c r="W143" s="10">
        <f>+'A) Base RI'!Q143</f>
        <v>245669.95</v>
      </c>
      <c r="X143" s="10">
        <f>+'A) Base RI'!S143</f>
        <v>215107.85</v>
      </c>
      <c r="Y143" s="405">
        <f t="shared" si="17"/>
        <v>1291678.9000000001</v>
      </c>
      <c r="Z143" s="10">
        <f>+'A) Base RI'!O143</f>
        <v>32250.05</v>
      </c>
      <c r="AA143" s="10">
        <f>'A) Base RI'!V143</f>
        <v>3077</v>
      </c>
    </row>
    <row r="144" spans="1:27" x14ac:dyDescent="0.25">
      <c r="A144" s="8">
        <f>'A) Base RI'!A144</f>
        <v>5635</v>
      </c>
      <c r="B144" s="32" t="str">
        <f>'A) Base RI'!B144</f>
        <v>Ecublens</v>
      </c>
      <c r="C144" s="10">
        <f>'A) Base RI'!C144+'A) Base RI'!D144</f>
        <v>22029675.939999998</v>
      </c>
      <c r="D144" s="10">
        <f>'A) Base RI'!W144</f>
        <v>-664495.43999999994</v>
      </c>
      <c r="E144" s="397">
        <f>'A) Base RI'!X144</f>
        <v>0</v>
      </c>
      <c r="F144" s="397">
        <f>'A) Base RI'!Y144</f>
        <v>-18039.45</v>
      </c>
      <c r="G144" s="405">
        <f t="shared" si="12"/>
        <v>21347141.049999997</v>
      </c>
      <c r="H144" s="10">
        <f>+'A) Base RI'!E144</f>
        <v>0</v>
      </c>
      <c r="I144" s="10">
        <f>+'A) Base RI'!F144</f>
        <v>0</v>
      </c>
      <c r="J144" s="10">
        <f>+'A) Base RI'!G144+'A) Base RI'!H144+'A) Base RI'!I144</f>
        <v>4934525.302193936</v>
      </c>
      <c r="K144" s="10">
        <f>+'A) Base RI'!J144</f>
        <v>0</v>
      </c>
      <c r="L144" s="10">
        <f>+'A) Base RI'!K144</f>
        <v>2019376.32</v>
      </c>
      <c r="M144" s="10">
        <f>+'A) Base RI'!L144</f>
        <v>456449.65</v>
      </c>
      <c r="N144" s="10">
        <f>+'A) Base RI'!R144</f>
        <v>226915.32</v>
      </c>
      <c r="O144" s="10">
        <f t="shared" si="13"/>
        <v>2280086.875</v>
      </c>
      <c r="P144" s="10">
        <f>+'A) Base RI'!M144</f>
        <v>2736104.25</v>
      </c>
      <c r="Q144" s="413">
        <f>'A) Base RI'!Z144</f>
        <v>1.2</v>
      </c>
      <c r="R144" s="405">
        <f t="shared" si="14"/>
        <v>31264494.517193932</v>
      </c>
      <c r="S144" s="401">
        <f>+'A) Base RI'!U144</f>
        <v>64</v>
      </c>
      <c r="T144" s="405">
        <f t="shared" si="15"/>
        <v>28527957.992193934</v>
      </c>
      <c r="U144" s="405">
        <f t="shared" si="16"/>
        <v>488507.72683115519</v>
      </c>
      <c r="V144" s="10">
        <f>+'A) Base RI'!P144</f>
        <v>365998.6</v>
      </c>
      <c r="W144" s="10">
        <f>+'A) Base RI'!Q144</f>
        <v>1139430.6499999999</v>
      </c>
      <c r="X144" s="10">
        <f>+'A) Base RI'!S144</f>
        <v>768928.25</v>
      </c>
      <c r="Y144" s="405">
        <f t="shared" si="17"/>
        <v>2274357.5</v>
      </c>
      <c r="Z144" s="10">
        <f>+'A) Base RI'!O144</f>
        <v>2637319.7000000002</v>
      </c>
      <c r="AA144" s="10">
        <f>'A) Base RI'!V144</f>
        <v>13089</v>
      </c>
    </row>
    <row r="145" spans="1:27" x14ac:dyDescent="0.25">
      <c r="A145" s="8">
        <f>'A) Base RI'!A145</f>
        <v>5636</v>
      </c>
      <c r="B145" s="32" t="str">
        <f>'A) Base RI'!B145</f>
        <v>Etoy</v>
      </c>
      <c r="C145" s="10">
        <f>'A) Base RI'!C145+'A) Base RI'!D145</f>
        <v>6726814.04</v>
      </c>
      <c r="D145" s="10">
        <f>'A) Base RI'!W145</f>
        <v>-205987.35</v>
      </c>
      <c r="E145" s="397">
        <f>'A) Base RI'!X145</f>
        <v>0</v>
      </c>
      <c r="F145" s="397">
        <f>'A) Base RI'!Y145</f>
        <v>-4752.66</v>
      </c>
      <c r="G145" s="405">
        <f t="shared" si="12"/>
        <v>6516074.0300000003</v>
      </c>
      <c r="H145" s="10">
        <f>+'A) Base RI'!E145</f>
        <v>0</v>
      </c>
      <c r="I145" s="10">
        <f>+'A) Base RI'!F145</f>
        <v>0</v>
      </c>
      <c r="J145" s="10">
        <f>+'A) Base RI'!G145+'A) Base RI'!H145+'A) Base RI'!I145</f>
        <v>2419754.8056731988</v>
      </c>
      <c r="K145" s="10">
        <f>+'A) Base RI'!J145</f>
        <v>32257.9</v>
      </c>
      <c r="L145" s="10">
        <f>+'A) Base RI'!K145</f>
        <v>373806.47</v>
      </c>
      <c r="M145" s="10">
        <f>+'A) Base RI'!L145</f>
        <v>263230.15000000002</v>
      </c>
      <c r="N145" s="10">
        <f>+'A) Base RI'!R145</f>
        <v>8232.76</v>
      </c>
      <c r="O145" s="10">
        <f t="shared" si="13"/>
        <v>1173372.95</v>
      </c>
      <c r="P145" s="10">
        <f>+'A) Base RI'!M145</f>
        <v>1173372.95</v>
      </c>
      <c r="Q145" s="413">
        <f>'A) Base RI'!Z145</f>
        <v>1</v>
      </c>
      <c r="R145" s="405">
        <f t="shared" si="14"/>
        <v>10786729.065673199</v>
      </c>
      <c r="S145" s="401">
        <f>+'A) Base RI'!U145</f>
        <v>61</v>
      </c>
      <c r="T145" s="405">
        <f t="shared" si="15"/>
        <v>9350125.9656731989</v>
      </c>
      <c r="U145" s="405">
        <f t="shared" si="16"/>
        <v>176831.6240274295</v>
      </c>
      <c r="V145" s="10">
        <f>+'A) Base RI'!P145</f>
        <v>447133.8</v>
      </c>
      <c r="W145" s="10">
        <f>+'A) Base RI'!Q145</f>
        <v>474254.5</v>
      </c>
      <c r="X145" s="10">
        <f>+'A) Base RI'!S145</f>
        <v>124298.95</v>
      </c>
      <c r="Y145" s="405">
        <f t="shared" si="17"/>
        <v>1045687.25</v>
      </c>
      <c r="Z145" s="10">
        <f>+'A) Base RI'!O145</f>
        <v>399939.55</v>
      </c>
      <c r="AA145" s="10">
        <f>'A) Base RI'!V145</f>
        <v>2933</v>
      </c>
    </row>
    <row r="146" spans="1:27" x14ac:dyDescent="0.25">
      <c r="A146" s="8">
        <f>'A) Base RI'!A146</f>
        <v>5637</v>
      </c>
      <c r="B146" s="32" t="str">
        <f>'A) Base RI'!B146</f>
        <v>Lavigny</v>
      </c>
      <c r="C146" s="10">
        <f>'A) Base RI'!C146+'A) Base RI'!D146</f>
        <v>2537040.0300000003</v>
      </c>
      <c r="D146" s="10">
        <f>'A) Base RI'!W146</f>
        <v>-29860.47</v>
      </c>
      <c r="E146" s="397">
        <f>'A) Base RI'!X146</f>
        <v>0</v>
      </c>
      <c r="F146" s="397">
        <f>'A) Base RI'!Y146</f>
        <v>-927.84</v>
      </c>
      <c r="G146" s="405">
        <f t="shared" si="12"/>
        <v>2506251.7200000002</v>
      </c>
      <c r="H146" s="10">
        <f>+'A) Base RI'!E146</f>
        <v>0</v>
      </c>
      <c r="I146" s="10">
        <f>+'A) Base RI'!F146</f>
        <v>0</v>
      </c>
      <c r="J146" s="10">
        <f>+'A) Base RI'!G146+'A) Base RI'!H146+'A) Base RI'!I146</f>
        <v>40745.205465743915</v>
      </c>
      <c r="K146" s="10">
        <f>+'A) Base RI'!J146</f>
        <v>0</v>
      </c>
      <c r="L146" s="10">
        <f>+'A) Base RI'!K146</f>
        <v>11133.04</v>
      </c>
      <c r="M146" s="10">
        <f>+'A) Base RI'!L146</f>
        <v>5192.3500000000004</v>
      </c>
      <c r="N146" s="10">
        <f>+'A) Base RI'!R146</f>
        <v>13718.99</v>
      </c>
      <c r="O146" s="10">
        <f t="shared" si="13"/>
        <v>189716.03333333333</v>
      </c>
      <c r="P146" s="10">
        <f>+'A) Base RI'!M146</f>
        <v>284574.05</v>
      </c>
      <c r="Q146" s="413">
        <f>'A) Base RI'!Z146</f>
        <v>1.5</v>
      </c>
      <c r="R146" s="405">
        <f t="shared" si="14"/>
        <v>2766757.3387990776</v>
      </c>
      <c r="S146" s="401">
        <f>+'A) Base RI'!U146</f>
        <v>74.5</v>
      </c>
      <c r="T146" s="405">
        <f t="shared" si="15"/>
        <v>2571848.9554657442</v>
      </c>
      <c r="U146" s="405">
        <f t="shared" si="16"/>
        <v>37137.682399987621</v>
      </c>
      <c r="V146" s="10">
        <f>+'A) Base RI'!P146</f>
        <v>3108.3</v>
      </c>
      <c r="W146" s="10">
        <f>+'A) Base RI'!Q146</f>
        <v>90394.05</v>
      </c>
      <c r="X146" s="10">
        <f>+'A) Base RI'!S146</f>
        <v>21970.65</v>
      </c>
      <c r="Y146" s="405">
        <f t="shared" si="17"/>
        <v>115473</v>
      </c>
      <c r="Z146" s="10">
        <f>+'A) Base RI'!O146</f>
        <v>207758.15</v>
      </c>
      <c r="AA146" s="10">
        <f>'A) Base RI'!V146</f>
        <v>992</v>
      </c>
    </row>
    <row r="147" spans="1:27" x14ac:dyDescent="0.25">
      <c r="A147" s="8">
        <f>'A) Base RI'!A147</f>
        <v>5638</v>
      </c>
      <c r="B147" s="32" t="str">
        <f>'A) Base RI'!B147</f>
        <v>Lonay</v>
      </c>
      <c r="C147" s="10">
        <f>'A) Base RI'!C147+'A) Base RI'!D147</f>
        <v>7076589.29</v>
      </c>
      <c r="D147" s="10">
        <f>'A) Base RI'!W147</f>
        <v>-107181.02</v>
      </c>
      <c r="E147" s="397">
        <f>'A) Base RI'!X147</f>
        <v>0</v>
      </c>
      <c r="F147" s="397">
        <f>'A) Base RI'!Y147</f>
        <v>-12185.43</v>
      </c>
      <c r="G147" s="405">
        <f t="shared" si="12"/>
        <v>6957222.8400000008</v>
      </c>
      <c r="H147" s="10">
        <f>+'A) Base RI'!E147</f>
        <v>0</v>
      </c>
      <c r="I147" s="10">
        <f>+'A) Base RI'!F147</f>
        <v>0</v>
      </c>
      <c r="J147" s="10">
        <f>+'A) Base RI'!G147+'A) Base RI'!H147+'A) Base RI'!I147</f>
        <v>497865.42112834519</v>
      </c>
      <c r="K147" s="10">
        <f>+'A) Base RI'!J147</f>
        <v>212486.2</v>
      </c>
      <c r="L147" s="10">
        <f>+'A) Base RI'!K147</f>
        <v>130473.22</v>
      </c>
      <c r="M147" s="10">
        <f>+'A) Base RI'!L147</f>
        <v>62974.15</v>
      </c>
      <c r="N147" s="10">
        <f>+'A) Base RI'!R147</f>
        <v>8379.7900000000009</v>
      </c>
      <c r="O147" s="10">
        <f t="shared" si="13"/>
        <v>644454.9</v>
      </c>
      <c r="P147" s="10">
        <f>+'A) Base RI'!M147</f>
        <v>644454.9</v>
      </c>
      <c r="Q147" s="413">
        <f>'A) Base RI'!Z147</f>
        <v>1</v>
      </c>
      <c r="R147" s="405">
        <f t="shared" si="14"/>
        <v>8513856.5211283453</v>
      </c>
      <c r="S147" s="401">
        <f>+'A) Base RI'!U147</f>
        <v>55</v>
      </c>
      <c r="T147" s="405">
        <f t="shared" si="15"/>
        <v>7806427.4711283455</v>
      </c>
      <c r="U147" s="405">
        <f t="shared" si="16"/>
        <v>154797.39129324263</v>
      </c>
      <c r="V147" s="10">
        <f>+'A) Base RI'!P147</f>
        <v>2114261</v>
      </c>
      <c r="W147" s="10">
        <f>+'A) Base RI'!Q147</f>
        <v>596402.05000000005</v>
      </c>
      <c r="X147" s="10">
        <f>+'A) Base RI'!S147</f>
        <v>436565.85</v>
      </c>
      <c r="Y147" s="405">
        <f t="shared" si="17"/>
        <v>3147228.9</v>
      </c>
      <c r="Z147" s="10">
        <f>+'A) Base RI'!O147</f>
        <v>214877.05</v>
      </c>
      <c r="AA147" s="10">
        <f>'A) Base RI'!V147</f>
        <v>2676</v>
      </c>
    </row>
    <row r="148" spans="1:27" x14ac:dyDescent="0.25">
      <c r="A148" s="8">
        <f>'A) Base RI'!A148</f>
        <v>5639</v>
      </c>
      <c r="B148" s="32" t="str">
        <f>'A) Base RI'!B148</f>
        <v>Lully</v>
      </c>
      <c r="C148" s="10">
        <f>'A) Base RI'!C148+'A) Base RI'!D148</f>
        <v>2656508.1800000002</v>
      </c>
      <c r="D148" s="10">
        <f>'A) Base RI'!W148</f>
        <v>-14999.26</v>
      </c>
      <c r="E148" s="397">
        <f>'A) Base RI'!X148</f>
        <v>0</v>
      </c>
      <c r="F148" s="397">
        <f>'A) Base RI'!Y148</f>
        <v>0</v>
      </c>
      <c r="G148" s="405">
        <f t="shared" si="12"/>
        <v>2641508.9200000004</v>
      </c>
      <c r="H148" s="10">
        <f>+'A) Base RI'!E148</f>
        <v>0</v>
      </c>
      <c r="I148" s="10">
        <f>+'A) Base RI'!F148</f>
        <v>0</v>
      </c>
      <c r="J148" s="10">
        <f>+'A) Base RI'!G148+'A) Base RI'!H148+'A) Base RI'!I148</f>
        <v>5277.58695954623</v>
      </c>
      <c r="K148" s="10">
        <f>+'A) Base RI'!J148</f>
        <v>0</v>
      </c>
      <c r="L148" s="10">
        <f>+'A) Base RI'!K148</f>
        <v>20138.64</v>
      </c>
      <c r="M148" s="10">
        <f>+'A) Base RI'!L148</f>
        <v>2899.85</v>
      </c>
      <c r="N148" s="10">
        <f>+'A) Base RI'!R148</f>
        <v>0</v>
      </c>
      <c r="O148" s="10">
        <f t="shared" si="13"/>
        <v>196594.88</v>
      </c>
      <c r="P148" s="10">
        <f>+'A) Base RI'!M148</f>
        <v>245743.6</v>
      </c>
      <c r="Q148" s="413">
        <f>'A) Base RI'!Z148</f>
        <v>1.25</v>
      </c>
      <c r="R148" s="405">
        <f t="shared" si="14"/>
        <v>2866419.8769595469</v>
      </c>
      <c r="S148" s="401">
        <f>+'A) Base RI'!U148</f>
        <v>61</v>
      </c>
      <c r="T148" s="405">
        <f t="shared" si="15"/>
        <v>2666925.146959547</v>
      </c>
      <c r="U148" s="405">
        <f t="shared" si="16"/>
        <v>46990.489786222082</v>
      </c>
      <c r="V148" s="10">
        <f>+'A) Base RI'!P148</f>
        <v>26199.7</v>
      </c>
      <c r="W148" s="10">
        <f>+'A) Base RI'!Q148</f>
        <v>19754.650000000001</v>
      </c>
      <c r="X148" s="10">
        <f>+'A) Base RI'!S148</f>
        <v>72627.05</v>
      </c>
      <c r="Y148" s="405">
        <f t="shared" si="17"/>
        <v>118581.40000000001</v>
      </c>
      <c r="Z148" s="10">
        <f>+'A) Base RI'!O148</f>
        <v>19523.8</v>
      </c>
      <c r="AA148" s="10">
        <f>'A) Base RI'!V148</f>
        <v>818</v>
      </c>
    </row>
    <row r="149" spans="1:27" x14ac:dyDescent="0.25">
      <c r="A149" s="8">
        <f>'A) Base RI'!A149</f>
        <v>5640</v>
      </c>
      <c r="B149" s="32" t="str">
        <f>'A) Base RI'!B149</f>
        <v>Lussy-sur-Morges</v>
      </c>
      <c r="C149" s="10">
        <f>'A) Base RI'!C149+'A) Base RI'!D149</f>
        <v>3713958.83</v>
      </c>
      <c r="D149" s="10">
        <f>'A) Base RI'!W149</f>
        <v>-16185.91</v>
      </c>
      <c r="E149" s="397">
        <f>'A) Base RI'!X149</f>
        <v>0</v>
      </c>
      <c r="F149" s="397">
        <f>'A) Base RI'!Y149</f>
        <v>-20264.330000000002</v>
      </c>
      <c r="G149" s="405">
        <f t="shared" si="12"/>
        <v>3677508.59</v>
      </c>
      <c r="H149" s="10">
        <f>+'A) Base RI'!E149</f>
        <v>0</v>
      </c>
      <c r="I149" s="10">
        <f>+'A) Base RI'!F149</f>
        <v>0</v>
      </c>
      <c r="J149" s="10">
        <f>+'A) Base RI'!G149+'A) Base RI'!H149+'A) Base RI'!I149</f>
        <v>8913.9287190266514</v>
      </c>
      <c r="K149" s="10">
        <f>+'A) Base RI'!J149</f>
        <v>119895.5</v>
      </c>
      <c r="L149" s="10">
        <f>+'A) Base RI'!K149</f>
        <v>18504.43</v>
      </c>
      <c r="M149" s="10">
        <f>+'A) Base RI'!L149</f>
        <v>3117.85</v>
      </c>
      <c r="N149" s="10">
        <f>+'A) Base RI'!R149</f>
        <v>28.27</v>
      </c>
      <c r="O149" s="10">
        <f t="shared" si="13"/>
        <v>193586.65</v>
      </c>
      <c r="P149" s="10">
        <f>+'A) Base RI'!M149</f>
        <v>193586.65</v>
      </c>
      <c r="Q149" s="413">
        <f>'A) Base RI'!Z149</f>
        <v>1</v>
      </c>
      <c r="R149" s="405">
        <f t="shared" si="14"/>
        <v>4021555.2187190265</v>
      </c>
      <c r="S149" s="401">
        <f>+'A) Base RI'!U149</f>
        <v>66</v>
      </c>
      <c r="T149" s="405">
        <f t="shared" si="15"/>
        <v>3824850.7187190265</v>
      </c>
      <c r="U149" s="405">
        <f t="shared" si="16"/>
        <v>60932.654829076157</v>
      </c>
      <c r="V149" s="10">
        <f>+'A) Base RI'!P149</f>
        <v>113753.3</v>
      </c>
      <c r="W149" s="10">
        <f>+'A) Base RI'!Q149</f>
        <v>195804.35</v>
      </c>
      <c r="X149" s="10">
        <f>+'A) Base RI'!S149</f>
        <v>143142.1</v>
      </c>
      <c r="Y149" s="405">
        <f t="shared" si="17"/>
        <v>452699.75</v>
      </c>
      <c r="Z149" s="10">
        <f>+'A) Base RI'!O149</f>
        <v>15620.7</v>
      </c>
      <c r="AA149" s="10">
        <f>'A) Base RI'!V149</f>
        <v>696</v>
      </c>
    </row>
    <row r="150" spans="1:27" x14ac:dyDescent="0.25">
      <c r="A150" s="8">
        <f>'A) Base RI'!A150</f>
        <v>5642</v>
      </c>
      <c r="B150" s="32" t="str">
        <f>'A) Base RI'!B150</f>
        <v>Morges</v>
      </c>
      <c r="C150" s="10">
        <f>'A) Base RI'!C150+'A) Base RI'!D150</f>
        <v>43655049.599999994</v>
      </c>
      <c r="D150" s="10">
        <f>'A) Base RI'!W150</f>
        <v>-926252.95</v>
      </c>
      <c r="E150" s="397">
        <f>'A) Base RI'!X150</f>
        <v>0</v>
      </c>
      <c r="F150" s="397">
        <f>'A) Base RI'!Y150</f>
        <v>-71725.69</v>
      </c>
      <c r="G150" s="405">
        <f t="shared" si="12"/>
        <v>42657070.959999993</v>
      </c>
      <c r="H150" s="10">
        <f>+'A) Base RI'!E150</f>
        <v>0</v>
      </c>
      <c r="I150" s="10">
        <f>+'A) Base RI'!F150</f>
        <v>0</v>
      </c>
      <c r="J150" s="10">
        <f>+'A) Base RI'!G150+'A) Base RI'!H150+'A) Base RI'!I150</f>
        <v>10990893.853424296</v>
      </c>
      <c r="K150" s="10">
        <f>+'A) Base RI'!J150</f>
        <v>386281.49</v>
      </c>
      <c r="L150" s="10">
        <f>+'A) Base RI'!K150</f>
        <v>974774.53</v>
      </c>
      <c r="M150" s="10">
        <f>+'A) Base RI'!L150</f>
        <v>469443.35</v>
      </c>
      <c r="N150" s="10">
        <f>+'A) Base RI'!R150</f>
        <v>248701.47</v>
      </c>
      <c r="O150" s="10">
        <f t="shared" si="13"/>
        <v>3187867.1</v>
      </c>
      <c r="P150" s="10">
        <f>+'A) Base RI'!M150</f>
        <v>3187867.1</v>
      </c>
      <c r="Q150" s="413">
        <f>'A) Base RI'!Z150</f>
        <v>1</v>
      </c>
      <c r="R150" s="405">
        <f t="shared" si="14"/>
        <v>58915032.753424294</v>
      </c>
      <c r="S150" s="401">
        <f>+'A) Base RI'!U150</f>
        <v>68.5</v>
      </c>
      <c r="T150" s="405">
        <f t="shared" si="15"/>
        <v>55257722.303424291</v>
      </c>
      <c r="U150" s="405">
        <f t="shared" si="16"/>
        <v>860073.47085290938</v>
      </c>
      <c r="V150" s="10">
        <f>+'A) Base RI'!P150</f>
        <v>3595802.8</v>
      </c>
      <c r="W150" s="10">
        <f>+'A) Base RI'!Q150</f>
        <v>1515678.2</v>
      </c>
      <c r="X150" s="10">
        <f>+'A) Base RI'!S150</f>
        <v>866803.05</v>
      </c>
      <c r="Y150" s="405">
        <f t="shared" si="17"/>
        <v>5978284.0499999998</v>
      </c>
      <c r="Z150" s="10">
        <f>+'A) Base RI'!O150</f>
        <v>1302438.1000000001</v>
      </c>
      <c r="AA150" s="10">
        <f>'A) Base RI'!V150</f>
        <v>15862</v>
      </c>
    </row>
    <row r="151" spans="1:27" x14ac:dyDescent="0.25">
      <c r="A151" s="8">
        <f>'A) Base RI'!A151</f>
        <v>5643</v>
      </c>
      <c r="B151" s="32" t="str">
        <f>'A) Base RI'!B151</f>
        <v>Préverenges</v>
      </c>
      <c r="C151" s="10">
        <f>'A) Base RI'!C151+'A) Base RI'!D151</f>
        <v>14056898.890000001</v>
      </c>
      <c r="D151" s="10">
        <f>'A) Base RI'!W151</f>
        <v>-192147.49</v>
      </c>
      <c r="E151" s="397">
        <f>'A) Base RI'!X151</f>
        <v>0</v>
      </c>
      <c r="F151" s="397">
        <f>'A) Base RI'!Y151</f>
        <v>-32210.31</v>
      </c>
      <c r="G151" s="405">
        <f t="shared" si="12"/>
        <v>13832541.09</v>
      </c>
      <c r="H151" s="10">
        <f>+'A) Base RI'!E151</f>
        <v>0</v>
      </c>
      <c r="I151" s="10">
        <f>+'A) Base RI'!F151</f>
        <v>0</v>
      </c>
      <c r="J151" s="10">
        <f>+'A) Base RI'!G151+'A) Base RI'!H151+'A) Base RI'!I151</f>
        <v>842634.95289873471</v>
      </c>
      <c r="K151" s="10">
        <f>+'A) Base RI'!J151</f>
        <v>358888.1</v>
      </c>
      <c r="L151" s="10">
        <f>+'A) Base RI'!K151</f>
        <v>295460.8</v>
      </c>
      <c r="M151" s="10">
        <f>+'A) Base RI'!L151</f>
        <v>108921.35</v>
      </c>
      <c r="N151" s="10">
        <f>+'A) Base RI'!R151</f>
        <v>16539.09</v>
      </c>
      <c r="O151" s="10">
        <f t="shared" si="13"/>
        <v>1105116.3</v>
      </c>
      <c r="P151" s="10">
        <f>+'A) Base RI'!M151</f>
        <v>1105116.3</v>
      </c>
      <c r="Q151" s="413">
        <f>'A) Base RI'!Z151</f>
        <v>1</v>
      </c>
      <c r="R151" s="405">
        <f t="shared" si="14"/>
        <v>16560101.682898736</v>
      </c>
      <c r="S151" s="401">
        <f>+'A) Base RI'!U151</f>
        <v>64</v>
      </c>
      <c r="T151" s="405">
        <f t="shared" si="15"/>
        <v>15346064.032898735</v>
      </c>
      <c r="U151" s="405">
        <f t="shared" si="16"/>
        <v>258751.58879529274</v>
      </c>
      <c r="V151" s="10">
        <f>+'A) Base RI'!P151</f>
        <v>1167339</v>
      </c>
      <c r="W151" s="10">
        <f>+'A) Base RI'!Q151</f>
        <v>344960.75</v>
      </c>
      <c r="X151" s="10">
        <f>+'A) Base RI'!S151</f>
        <v>267113.75</v>
      </c>
      <c r="Y151" s="405">
        <f t="shared" si="17"/>
        <v>1779413.5</v>
      </c>
      <c r="Z151" s="10">
        <f>+'A) Base RI'!O151</f>
        <v>126106.3</v>
      </c>
      <c r="AA151" s="10">
        <f>'A) Base RI'!V151</f>
        <v>5243</v>
      </c>
    </row>
    <row r="152" spans="1:27" x14ac:dyDescent="0.25">
      <c r="A152" s="8">
        <f>'A) Base RI'!A152</f>
        <v>5644</v>
      </c>
      <c r="B152" s="32" t="str">
        <f>'A) Base RI'!B152</f>
        <v>Reverolle</v>
      </c>
      <c r="C152" s="10">
        <f>'A) Base RI'!C152+'A) Base RI'!D152</f>
        <v>1159504.8799999999</v>
      </c>
      <c r="D152" s="10">
        <f>'A) Base RI'!W152</f>
        <v>-2568.08</v>
      </c>
      <c r="E152" s="397">
        <f>'A) Base RI'!X152</f>
        <v>0</v>
      </c>
      <c r="F152" s="397">
        <f>'A) Base RI'!Y152</f>
        <v>-461.69</v>
      </c>
      <c r="G152" s="405">
        <f t="shared" si="12"/>
        <v>1156475.1099999999</v>
      </c>
      <c r="H152" s="10">
        <f>+'A) Base RI'!E152</f>
        <v>0</v>
      </c>
      <c r="I152" s="10">
        <f>+'A) Base RI'!F152</f>
        <v>0</v>
      </c>
      <c r="J152" s="10">
        <f>+'A) Base RI'!G152+'A) Base RI'!H152+'A) Base RI'!I152</f>
        <v>11402.228177584417</v>
      </c>
      <c r="K152" s="10">
        <f>+'A) Base RI'!J152</f>
        <v>0</v>
      </c>
      <c r="L152" s="10">
        <f>+'A) Base RI'!K152</f>
        <v>29983.67</v>
      </c>
      <c r="M152" s="10">
        <f>+'A) Base RI'!L152</f>
        <v>0</v>
      </c>
      <c r="N152" s="10">
        <f>+'A) Base RI'!R152</f>
        <v>0</v>
      </c>
      <c r="O152" s="10">
        <f t="shared" si="13"/>
        <v>79397.45</v>
      </c>
      <c r="P152" s="10">
        <f>+'A) Base RI'!M152</f>
        <v>79397.45</v>
      </c>
      <c r="Q152" s="413">
        <f>'A) Base RI'!Z152</f>
        <v>1</v>
      </c>
      <c r="R152" s="405">
        <f t="shared" si="14"/>
        <v>1277258.4581775842</v>
      </c>
      <c r="S152" s="401">
        <f>+'A) Base RI'!U152</f>
        <v>76</v>
      </c>
      <c r="T152" s="405">
        <f t="shared" si="15"/>
        <v>1197861.0081775843</v>
      </c>
      <c r="U152" s="405">
        <f t="shared" si="16"/>
        <v>16806.032344441897</v>
      </c>
      <c r="V152" s="10">
        <f>+'A) Base RI'!P152</f>
        <v>5382.7</v>
      </c>
      <c r="W152" s="10">
        <f>+'A) Base RI'!Q152</f>
        <v>27356.9</v>
      </c>
      <c r="X152" s="10">
        <f>+'A) Base RI'!S152</f>
        <v>45609.55</v>
      </c>
      <c r="Y152" s="405">
        <f t="shared" si="17"/>
        <v>78349.150000000009</v>
      </c>
      <c r="Z152" s="10">
        <f>+'A) Base RI'!O152</f>
        <v>5384.9</v>
      </c>
      <c r="AA152" s="10">
        <f>'A) Base RI'!V152</f>
        <v>413</v>
      </c>
    </row>
    <row r="153" spans="1:27" x14ac:dyDescent="0.25">
      <c r="A153" s="8">
        <f>'A) Base RI'!A153</f>
        <v>5645</v>
      </c>
      <c r="B153" s="32" t="str">
        <f>'A) Base RI'!B153</f>
        <v>Romanel-sur-Morges</v>
      </c>
      <c r="C153" s="10">
        <f>'A) Base RI'!C153+'A) Base RI'!D153</f>
        <v>1192505.8</v>
      </c>
      <c r="D153" s="10">
        <f>'A) Base RI'!W153</f>
        <v>-31008.32</v>
      </c>
      <c r="E153" s="397">
        <f>'A) Base RI'!X153</f>
        <v>0</v>
      </c>
      <c r="F153" s="397">
        <f>'A) Base RI'!Y153</f>
        <v>-3331.97</v>
      </c>
      <c r="G153" s="405">
        <f t="shared" si="12"/>
        <v>1158165.51</v>
      </c>
      <c r="H153" s="10">
        <f>+'A) Base RI'!E153</f>
        <v>0</v>
      </c>
      <c r="I153" s="10">
        <f>+'A) Base RI'!F153</f>
        <v>0</v>
      </c>
      <c r="J153" s="10">
        <f>+'A) Base RI'!G153+'A) Base RI'!H153+'A) Base RI'!I153</f>
        <v>305952.45514028036</v>
      </c>
      <c r="K153" s="10">
        <f>+'A) Base RI'!J153</f>
        <v>0</v>
      </c>
      <c r="L153" s="10">
        <f>+'A) Base RI'!K153</f>
        <v>43274.31</v>
      </c>
      <c r="M153" s="10">
        <f>+'A) Base RI'!L153</f>
        <v>20606.599999999999</v>
      </c>
      <c r="N153" s="10">
        <f>+'A) Base RI'!R153</f>
        <v>27.15</v>
      </c>
      <c r="O153" s="10">
        <f t="shared" si="13"/>
        <v>157832.95000000001</v>
      </c>
      <c r="P153" s="10">
        <f>+'A) Base RI'!M153</f>
        <v>157832.95000000001</v>
      </c>
      <c r="Q153" s="413">
        <f>'A) Base RI'!Z153</f>
        <v>1</v>
      </c>
      <c r="R153" s="405">
        <f t="shared" si="14"/>
        <v>1685858.9751402803</v>
      </c>
      <c r="S153" s="401">
        <f>+'A) Base RI'!U153</f>
        <v>56</v>
      </c>
      <c r="T153" s="405">
        <f t="shared" si="15"/>
        <v>1507419.4251402803</v>
      </c>
      <c r="U153" s="405">
        <f t="shared" si="16"/>
        <v>30104.624556076433</v>
      </c>
      <c r="V153" s="10">
        <f>+'A) Base RI'!P153</f>
        <v>27306.7</v>
      </c>
      <c r="W153" s="10">
        <f>+'A) Base RI'!Q153</f>
        <v>76500.899999999994</v>
      </c>
      <c r="X153" s="10">
        <f>+'A) Base RI'!S153</f>
        <v>34024.15</v>
      </c>
      <c r="Y153" s="405">
        <f t="shared" si="17"/>
        <v>137831.75</v>
      </c>
      <c r="Z153" s="10">
        <f>+'A) Base RI'!O153</f>
        <v>70369.600000000006</v>
      </c>
      <c r="AA153" s="10">
        <f>'A) Base RI'!V153</f>
        <v>470</v>
      </c>
    </row>
    <row r="154" spans="1:27" x14ac:dyDescent="0.25">
      <c r="A154" s="8">
        <f>'A) Base RI'!A154</f>
        <v>5646</v>
      </c>
      <c r="B154" s="32" t="str">
        <f>'A) Base RI'!B154</f>
        <v>Saint-Prex</v>
      </c>
      <c r="C154" s="10">
        <f>'A) Base RI'!C154+'A) Base RI'!D154</f>
        <v>14240417.700000001</v>
      </c>
      <c r="D154" s="10">
        <f>'A) Base RI'!W154</f>
        <v>-231208.23</v>
      </c>
      <c r="E154" s="397">
        <f>'A) Base RI'!X154</f>
        <v>0</v>
      </c>
      <c r="F154" s="397">
        <f>'A) Base RI'!Y154</f>
        <v>-32363.4</v>
      </c>
      <c r="G154" s="405">
        <f t="shared" si="12"/>
        <v>13976846.07</v>
      </c>
      <c r="H154" s="10">
        <f>+'A) Base RI'!E154</f>
        <v>0</v>
      </c>
      <c r="I154" s="10">
        <f>+'A) Base RI'!F154</f>
        <v>0</v>
      </c>
      <c r="J154" s="10">
        <f>+'A) Base RI'!G154+'A) Base RI'!H154+'A) Base RI'!I154</f>
        <v>5747790.8179372381</v>
      </c>
      <c r="K154" s="10">
        <f>+'A) Base RI'!J154</f>
        <v>714109.59</v>
      </c>
      <c r="L154" s="10">
        <f>+'A) Base RI'!K154</f>
        <v>418996.58</v>
      </c>
      <c r="M154" s="10">
        <f>+'A) Base RI'!L154</f>
        <v>94264.9</v>
      </c>
      <c r="N154" s="10">
        <f>+'A) Base RI'!R154</f>
        <v>15012.8</v>
      </c>
      <c r="O154" s="10">
        <f t="shared" si="13"/>
        <v>1632300.65</v>
      </c>
      <c r="P154" s="10">
        <f>+'A) Base RI'!M154</f>
        <v>1632300.65</v>
      </c>
      <c r="Q154" s="413">
        <f>'A) Base RI'!Z154</f>
        <v>1</v>
      </c>
      <c r="R154" s="405">
        <f t="shared" si="14"/>
        <v>22599321.407937236</v>
      </c>
      <c r="S154" s="401">
        <f>+'A) Base RI'!U154</f>
        <v>55</v>
      </c>
      <c r="T154" s="405">
        <f t="shared" si="15"/>
        <v>20872755.857937239</v>
      </c>
      <c r="U154" s="405">
        <f t="shared" si="16"/>
        <v>410896.75287158613</v>
      </c>
      <c r="V154" s="10">
        <f>+'A) Base RI'!P154</f>
        <v>967461.4</v>
      </c>
      <c r="W154" s="10">
        <f>+'A) Base RI'!Q154</f>
        <v>582807.35</v>
      </c>
      <c r="X154" s="10">
        <f>+'A) Base RI'!S154</f>
        <v>216281.25</v>
      </c>
      <c r="Y154" s="405">
        <f t="shared" si="17"/>
        <v>1766550</v>
      </c>
      <c r="Z154" s="10">
        <f>+'A) Base RI'!O154</f>
        <v>176250.1</v>
      </c>
      <c r="AA154" s="10">
        <f>'A) Base RI'!V154</f>
        <v>5774</v>
      </c>
    </row>
    <row r="155" spans="1:27" x14ac:dyDescent="0.25">
      <c r="A155" s="8">
        <f>'A) Base RI'!A155</f>
        <v>5648</v>
      </c>
      <c r="B155" s="32" t="str">
        <f>'A) Base RI'!B155</f>
        <v>Saint-Sulpice</v>
      </c>
      <c r="C155" s="10">
        <f>'A) Base RI'!C155+'A) Base RI'!D155</f>
        <v>17568753.870000001</v>
      </c>
      <c r="D155" s="10">
        <f>'A) Base RI'!W155</f>
        <v>-136579.99</v>
      </c>
      <c r="E155" s="397">
        <f>'A) Base RI'!X155</f>
        <v>0</v>
      </c>
      <c r="F155" s="397">
        <f>'A) Base RI'!Y155</f>
        <v>-46984.38</v>
      </c>
      <c r="G155" s="405">
        <f t="shared" si="12"/>
        <v>17385189.500000004</v>
      </c>
      <c r="H155" s="10">
        <f>+'A) Base RI'!E155</f>
        <v>0</v>
      </c>
      <c r="I155" s="10">
        <f>+'A) Base RI'!F155</f>
        <v>0</v>
      </c>
      <c r="J155" s="10">
        <f>+'A) Base RI'!G155+'A) Base RI'!H155+'A) Base RI'!I155</f>
        <v>1198323.4958676235</v>
      </c>
      <c r="K155" s="10">
        <f>+'A) Base RI'!J155</f>
        <v>334616.83</v>
      </c>
      <c r="L155" s="10">
        <f>+'A) Base RI'!K155</f>
        <v>510702.23</v>
      </c>
      <c r="M155" s="10">
        <f>+'A) Base RI'!L155</f>
        <v>107669.8</v>
      </c>
      <c r="N155" s="10">
        <f>+'A) Base RI'!R155</f>
        <v>11460.43</v>
      </c>
      <c r="O155" s="10">
        <f t="shared" si="13"/>
        <v>1500589.2</v>
      </c>
      <c r="P155" s="10">
        <f>+'A) Base RI'!M155</f>
        <v>1200471.3600000001</v>
      </c>
      <c r="Q155" s="413">
        <f>'A) Base RI'!Z155</f>
        <v>0.8</v>
      </c>
      <c r="R155" s="405">
        <f t="shared" si="14"/>
        <v>21048551.485867627</v>
      </c>
      <c r="S155" s="401">
        <f>+'A) Base RI'!U155</f>
        <v>55</v>
      </c>
      <c r="T155" s="405">
        <f t="shared" si="15"/>
        <v>19440292.485867627</v>
      </c>
      <c r="U155" s="405">
        <f t="shared" si="16"/>
        <v>382700.93610668415</v>
      </c>
      <c r="V155" s="10">
        <f>+'A) Base RI'!P155</f>
        <v>432571.95</v>
      </c>
      <c r="W155" s="10">
        <f>+'A) Base RI'!Q155</f>
        <v>1019805.4</v>
      </c>
      <c r="X155" s="10">
        <f>+'A) Base RI'!S155</f>
        <v>877498.95</v>
      </c>
      <c r="Y155" s="405">
        <f t="shared" si="17"/>
        <v>2329876.2999999998</v>
      </c>
      <c r="Z155" s="10">
        <f>+'A) Base RI'!O155</f>
        <v>78291.899999999994</v>
      </c>
      <c r="AA155" s="10">
        <f>'A) Base RI'!V155</f>
        <v>4717</v>
      </c>
    </row>
    <row r="156" spans="1:27" x14ac:dyDescent="0.25">
      <c r="A156" s="8">
        <f>'A) Base RI'!A156</f>
        <v>5649</v>
      </c>
      <c r="B156" s="32" t="str">
        <f>'A) Base RI'!B156</f>
        <v>Tolochenaz</v>
      </c>
      <c r="C156" s="10">
        <f>'A) Base RI'!C156+'A) Base RI'!D156</f>
        <v>4824305.59</v>
      </c>
      <c r="D156" s="10">
        <f>'A) Base RI'!W156</f>
        <v>-79452.100000000006</v>
      </c>
      <c r="E156" s="397">
        <f>'A) Base RI'!X156</f>
        <v>0</v>
      </c>
      <c r="F156" s="397">
        <f>'A) Base RI'!Y156</f>
        <v>-5271.85</v>
      </c>
      <c r="G156" s="405">
        <f t="shared" si="12"/>
        <v>4739581.6400000006</v>
      </c>
      <c r="H156" s="10">
        <f>+'A) Base RI'!E156</f>
        <v>0</v>
      </c>
      <c r="I156" s="10">
        <f>+'A) Base RI'!F156</f>
        <v>0</v>
      </c>
      <c r="J156" s="10">
        <f>+'A) Base RI'!G156+'A) Base RI'!H156+'A) Base RI'!I156</f>
        <v>971246.21253851696</v>
      </c>
      <c r="K156" s="10">
        <f>+'A) Base RI'!J156</f>
        <v>-56037.05</v>
      </c>
      <c r="L156" s="10">
        <f>+'A) Base RI'!K156</f>
        <v>410441.92</v>
      </c>
      <c r="M156" s="10">
        <f>+'A) Base RI'!L156</f>
        <v>62475.1</v>
      </c>
      <c r="N156" s="10">
        <f>+'A) Base RI'!R156</f>
        <v>-5078.16</v>
      </c>
      <c r="O156" s="10">
        <f t="shared" si="13"/>
        <v>556264.69999999995</v>
      </c>
      <c r="P156" s="10">
        <f>+'A) Base RI'!M156</f>
        <v>556264.69999999995</v>
      </c>
      <c r="Q156" s="413">
        <f>'A) Base RI'!Z156</f>
        <v>1</v>
      </c>
      <c r="R156" s="405">
        <f t="shared" si="14"/>
        <v>6678894.3625385175</v>
      </c>
      <c r="S156" s="401">
        <f>+'A) Base RI'!U156</f>
        <v>65</v>
      </c>
      <c r="T156" s="405">
        <f t="shared" si="15"/>
        <v>6060154.5625385176</v>
      </c>
      <c r="U156" s="405">
        <f t="shared" si="16"/>
        <v>102752.22096213103</v>
      </c>
      <c r="V156" s="10">
        <f>+'A) Base RI'!P156</f>
        <v>22152.799999999999</v>
      </c>
      <c r="W156" s="10">
        <f>+'A) Base RI'!Q156</f>
        <v>70804.3</v>
      </c>
      <c r="X156" s="10">
        <f>+'A) Base RI'!S156</f>
        <v>60016.75</v>
      </c>
      <c r="Y156" s="405">
        <f t="shared" si="17"/>
        <v>152973.85</v>
      </c>
      <c r="Z156" s="10">
        <f>+'A) Base RI'!O156</f>
        <v>359125.2</v>
      </c>
      <c r="AA156" s="10">
        <f>'A) Base RI'!V156</f>
        <v>1907</v>
      </c>
    </row>
    <row r="157" spans="1:27" x14ac:dyDescent="0.25">
      <c r="A157" s="8">
        <f>'A) Base RI'!A157</f>
        <v>5650</v>
      </c>
      <c r="B157" s="32" t="str">
        <f>'A) Base RI'!B157</f>
        <v>Vaux-sur-Morges</v>
      </c>
      <c r="C157" s="10">
        <f>'A) Base RI'!C157+'A) Base RI'!D157</f>
        <v>5000000</v>
      </c>
      <c r="D157" s="10">
        <f>'A) Base RI'!W157</f>
        <v>-3418.06</v>
      </c>
      <c r="E157" s="397">
        <f>'A) Base RI'!X157</f>
        <v>0</v>
      </c>
      <c r="F157" s="397">
        <f>'A) Base RI'!Y157</f>
        <v>0</v>
      </c>
      <c r="G157" s="405">
        <f t="shared" si="12"/>
        <v>4996581.9400000004</v>
      </c>
      <c r="H157" s="10">
        <f>+'A) Base RI'!E157</f>
        <v>0</v>
      </c>
      <c r="I157" s="10">
        <f>+'A) Base RI'!F157</f>
        <v>0</v>
      </c>
      <c r="J157" s="10">
        <f>+'A) Base RI'!G157+'A) Base RI'!H157+'A) Base RI'!I157</f>
        <v>-3240.65</v>
      </c>
      <c r="K157" s="10">
        <f>+'A) Base RI'!J157</f>
        <v>0</v>
      </c>
      <c r="L157" s="10">
        <f>+'A) Base RI'!K157</f>
        <v>78605.399999999994</v>
      </c>
      <c r="M157" s="10">
        <f>+'A) Base RI'!L157</f>
        <v>0</v>
      </c>
      <c r="N157" s="10">
        <f>+'A) Base RI'!R157</f>
        <v>0</v>
      </c>
      <c r="O157" s="10">
        <f t="shared" si="13"/>
        <v>44257</v>
      </c>
      <c r="P157" s="10">
        <f>+'A) Base RI'!M157</f>
        <v>55321.25</v>
      </c>
      <c r="Q157" s="413">
        <f>'A) Base RI'!Z157</f>
        <v>1.25</v>
      </c>
      <c r="R157" s="405">
        <f t="shared" si="14"/>
        <v>5116203.6900000004</v>
      </c>
      <c r="S157" s="401">
        <f>+'A) Base RI'!U157</f>
        <v>56</v>
      </c>
      <c r="T157" s="405">
        <f t="shared" si="15"/>
        <v>5071946.6900000004</v>
      </c>
      <c r="U157" s="405">
        <f t="shared" si="16"/>
        <v>91360.78017857144</v>
      </c>
      <c r="V157" s="10">
        <f>+'A) Base RI'!P157</f>
        <v>0</v>
      </c>
      <c r="W157" s="10">
        <f>+'A) Base RI'!Q157</f>
        <v>13849</v>
      </c>
      <c r="X157" s="10">
        <f>+'A) Base RI'!S157</f>
        <v>0</v>
      </c>
      <c r="Y157" s="405">
        <f t="shared" si="17"/>
        <v>13849</v>
      </c>
      <c r="Z157" s="10">
        <f>+'A) Base RI'!O157</f>
        <v>0</v>
      </c>
      <c r="AA157" s="10">
        <f>'A) Base RI'!V157</f>
        <v>196</v>
      </c>
    </row>
    <row r="158" spans="1:27" x14ac:dyDescent="0.25">
      <c r="A158" s="8">
        <f>'A) Base RI'!A158</f>
        <v>5651</v>
      </c>
      <c r="B158" s="32" t="str">
        <f>'A) Base RI'!B158</f>
        <v>Villars-Sainte-Croix</v>
      </c>
      <c r="C158" s="10">
        <f>'A) Base RI'!C158+'A) Base RI'!D158</f>
        <v>2484020.81</v>
      </c>
      <c r="D158" s="10">
        <f>'A) Base RI'!W158</f>
        <v>-84189.47</v>
      </c>
      <c r="E158" s="397">
        <f>'A) Base RI'!X158</f>
        <v>0</v>
      </c>
      <c r="F158" s="397">
        <f>'A) Base RI'!Y158</f>
        <v>-175.33</v>
      </c>
      <c r="G158" s="405">
        <f t="shared" si="12"/>
        <v>2399656.0099999998</v>
      </c>
      <c r="H158" s="10">
        <f>+'A) Base RI'!E158</f>
        <v>0</v>
      </c>
      <c r="I158" s="10">
        <f>+'A) Base RI'!F158</f>
        <v>0</v>
      </c>
      <c r="J158" s="10">
        <f>+'A) Base RI'!G158+'A) Base RI'!H158+'A) Base RI'!I158</f>
        <v>723144.24565526622</v>
      </c>
      <c r="K158" s="10">
        <f>+'A) Base RI'!J158</f>
        <v>0</v>
      </c>
      <c r="L158" s="10">
        <f>+'A) Base RI'!K158</f>
        <v>70492.320000000007</v>
      </c>
      <c r="M158" s="10">
        <f>+'A) Base RI'!L158</f>
        <v>37359.9</v>
      </c>
      <c r="N158" s="10">
        <f>+'A) Base RI'!R158</f>
        <v>8859.3799999999992</v>
      </c>
      <c r="O158" s="10">
        <f t="shared" si="13"/>
        <v>397600.6</v>
      </c>
      <c r="P158" s="10">
        <f>+'A) Base RI'!M158</f>
        <v>397600.6</v>
      </c>
      <c r="Q158" s="413">
        <f>'A) Base RI'!Z158</f>
        <v>1</v>
      </c>
      <c r="R158" s="405">
        <f t="shared" si="14"/>
        <v>3637112.4556552656</v>
      </c>
      <c r="S158" s="401">
        <f>+'A) Base RI'!U158</f>
        <v>62</v>
      </c>
      <c r="T158" s="405">
        <f t="shared" si="15"/>
        <v>3202151.9556552656</v>
      </c>
      <c r="U158" s="405">
        <f t="shared" si="16"/>
        <v>58663.104123472025</v>
      </c>
      <c r="V158" s="10">
        <f>+'A) Base RI'!P158</f>
        <v>0</v>
      </c>
      <c r="W158" s="10">
        <f>+'A) Base RI'!Q158</f>
        <v>106095</v>
      </c>
      <c r="X158" s="10">
        <f>+'A) Base RI'!S158</f>
        <v>79948.649999999994</v>
      </c>
      <c r="Y158" s="405">
        <f t="shared" si="17"/>
        <v>186043.65</v>
      </c>
      <c r="Z158" s="10">
        <f>+'A) Base RI'!O158</f>
        <v>159294.39999999999</v>
      </c>
      <c r="AA158" s="10">
        <f>'A) Base RI'!V158</f>
        <v>973</v>
      </c>
    </row>
    <row r="159" spans="1:27" x14ac:dyDescent="0.25">
      <c r="A159" s="8">
        <f>'A) Base RI'!A159</f>
        <v>5652</v>
      </c>
      <c r="B159" s="32" t="str">
        <f>'A) Base RI'!B159</f>
        <v>Villars-sous-Yens</v>
      </c>
      <c r="C159" s="10">
        <f>'A) Base RI'!C159+'A) Base RI'!D159</f>
        <v>2460559.13</v>
      </c>
      <c r="D159" s="10">
        <f>'A) Base RI'!W159</f>
        <v>-30240.560000000001</v>
      </c>
      <c r="E159" s="397">
        <f>'A) Base RI'!X159</f>
        <v>0</v>
      </c>
      <c r="F159" s="397">
        <f>'A) Base RI'!Y159</f>
        <v>-1291.3699999999999</v>
      </c>
      <c r="G159" s="405">
        <f t="shared" si="12"/>
        <v>2429027.1999999997</v>
      </c>
      <c r="H159" s="10">
        <f>+'A) Base RI'!E159</f>
        <v>0</v>
      </c>
      <c r="I159" s="10">
        <f>+'A) Base RI'!F159</f>
        <v>0</v>
      </c>
      <c r="J159" s="10">
        <f>+'A) Base RI'!G159+'A) Base RI'!H159+'A) Base RI'!I159</f>
        <v>4685.3147066057718</v>
      </c>
      <c r="K159" s="10">
        <f>+'A) Base RI'!J159</f>
        <v>0</v>
      </c>
      <c r="L159" s="10">
        <f>+'A) Base RI'!K159</f>
        <v>-47839.44</v>
      </c>
      <c r="M159" s="10">
        <f>+'A) Base RI'!L159</f>
        <v>863.65</v>
      </c>
      <c r="N159" s="10">
        <f>+'A) Base RI'!R159</f>
        <v>6540.02</v>
      </c>
      <c r="O159" s="10">
        <f t="shared" si="13"/>
        <v>108242.04166666667</v>
      </c>
      <c r="P159" s="10">
        <f>+'A) Base RI'!M159</f>
        <v>129890.45</v>
      </c>
      <c r="Q159" s="413">
        <f>'A) Base RI'!Z159</f>
        <v>1.2</v>
      </c>
      <c r="R159" s="405">
        <f t="shared" si="14"/>
        <v>2501518.7863732721</v>
      </c>
      <c r="S159" s="401">
        <f>+'A) Base RI'!U159</f>
        <v>76</v>
      </c>
      <c r="T159" s="405">
        <f t="shared" si="15"/>
        <v>2392413.0947066057</v>
      </c>
      <c r="U159" s="405">
        <f t="shared" si="16"/>
        <v>32914.720873332524</v>
      </c>
      <c r="V159" s="10">
        <f>+'A) Base RI'!P159</f>
        <v>744.6</v>
      </c>
      <c r="W159" s="10">
        <f>+'A) Base RI'!Q159</f>
        <v>45085.75</v>
      </c>
      <c r="X159" s="10">
        <f>+'A) Base RI'!S159</f>
        <v>19488.400000000001</v>
      </c>
      <c r="Y159" s="405">
        <f t="shared" si="17"/>
        <v>65318.75</v>
      </c>
      <c r="Z159" s="10">
        <f>+'A) Base RI'!O159</f>
        <v>3541.45</v>
      </c>
      <c r="AA159" s="10">
        <f>'A) Base RI'!V159</f>
        <v>603</v>
      </c>
    </row>
    <row r="160" spans="1:27" x14ac:dyDescent="0.25">
      <c r="A160" s="8">
        <f>'A) Base RI'!A160</f>
        <v>5653</v>
      </c>
      <c r="B160" s="32" t="str">
        <f>'A) Base RI'!B160</f>
        <v>Vufflens-le-Château</v>
      </c>
      <c r="C160" s="10">
        <f>'A) Base RI'!C160+'A) Base RI'!D160</f>
        <v>3844807.2800000003</v>
      </c>
      <c r="D160" s="10">
        <f>'A) Base RI'!W160</f>
        <v>-2683.39</v>
      </c>
      <c r="E160" s="397">
        <f>'A) Base RI'!X160</f>
        <v>0</v>
      </c>
      <c r="F160" s="397">
        <f>'A) Base RI'!Y160</f>
        <v>-10523.06</v>
      </c>
      <c r="G160" s="405">
        <f t="shared" si="12"/>
        <v>3831600.83</v>
      </c>
      <c r="H160" s="10">
        <f>+'A) Base RI'!E160</f>
        <v>0</v>
      </c>
      <c r="I160" s="10">
        <f>+'A) Base RI'!F160</f>
        <v>0</v>
      </c>
      <c r="J160" s="10">
        <f>+'A) Base RI'!G160+'A) Base RI'!H160+'A) Base RI'!I160</f>
        <v>61746.272359563707</v>
      </c>
      <c r="K160" s="10">
        <f>+'A) Base RI'!J160</f>
        <v>122474.25</v>
      </c>
      <c r="L160" s="10">
        <f>+'A) Base RI'!K160</f>
        <v>45635.3</v>
      </c>
      <c r="M160" s="10">
        <f>+'A) Base RI'!L160</f>
        <v>3412.75</v>
      </c>
      <c r="N160" s="10">
        <f>+'A) Base RI'!R160</f>
        <v>0</v>
      </c>
      <c r="O160" s="10">
        <f t="shared" si="13"/>
        <v>251830.99999999997</v>
      </c>
      <c r="P160" s="10">
        <f>+'A) Base RI'!M160</f>
        <v>201464.8</v>
      </c>
      <c r="Q160" s="413">
        <f>'A) Base RI'!Z160</f>
        <v>0.8</v>
      </c>
      <c r="R160" s="405">
        <f t="shared" si="14"/>
        <v>4316700.4023595629</v>
      </c>
      <c r="S160" s="401">
        <f>+'A) Base RI'!U160</f>
        <v>60</v>
      </c>
      <c r="T160" s="405">
        <f t="shared" si="15"/>
        <v>4061456.6523595634</v>
      </c>
      <c r="U160" s="405">
        <f t="shared" si="16"/>
        <v>71945.00670599271</v>
      </c>
      <c r="V160" s="10">
        <f>+'A) Base RI'!P160</f>
        <v>1641167.4</v>
      </c>
      <c r="W160" s="10">
        <f>+'A) Base RI'!Q160</f>
        <v>108889</v>
      </c>
      <c r="X160" s="10">
        <f>+'A) Base RI'!S160</f>
        <v>75926.100000000006</v>
      </c>
      <c r="Y160" s="405">
        <f t="shared" si="17"/>
        <v>1825982.5</v>
      </c>
      <c r="Z160" s="10">
        <f>+'A) Base RI'!O160</f>
        <v>1599.2</v>
      </c>
      <c r="AA160" s="10">
        <f>'A) Base RI'!V160</f>
        <v>883</v>
      </c>
    </row>
    <row r="161" spans="1:27" x14ac:dyDescent="0.25">
      <c r="A161" s="8">
        <f>'A) Base RI'!A161</f>
        <v>5654</v>
      </c>
      <c r="B161" s="32" t="str">
        <f>'A) Base RI'!B161</f>
        <v>Vullierens</v>
      </c>
      <c r="C161" s="10">
        <f>'A) Base RI'!C161+'A) Base RI'!D161</f>
        <v>1227898.08</v>
      </c>
      <c r="D161" s="10">
        <f>'A) Base RI'!W161</f>
        <v>-7285.54</v>
      </c>
      <c r="E161" s="397">
        <f>'A) Base RI'!X161</f>
        <v>0</v>
      </c>
      <c r="F161" s="397">
        <f>'A) Base RI'!Y161</f>
        <v>-335.82</v>
      </c>
      <c r="G161" s="405">
        <f t="shared" si="12"/>
        <v>1220276.72</v>
      </c>
      <c r="H161" s="10">
        <f>+'A) Base RI'!E161</f>
        <v>0</v>
      </c>
      <c r="I161" s="10">
        <f>+'A) Base RI'!F161</f>
        <v>0</v>
      </c>
      <c r="J161" s="10">
        <f>+'A) Base RI'!G161+'A) Base RI'!H161+'A) Base RI'!I161</f>
        <v>4808.1358815582771</v>
      </c>
      <c r="K161" s="10">
        <f>+'A) Base RI'!J161</f>
        <v>0</v>
      </c>
      <c r="L161" s="10">
        <f>+'A) Base RI'!K161</f>
        <v>28665.41</v>
      </c>
      <c r="M161" s="10">
        <f>+'A) Base RI'!L161</f>
        <v>1512.45</v>
      </c>
      <c r="N161" s="10">
        <f>+'A) Base RI'!R161</f>
        <v>12677.46</v>
      </c>
      <c r="O161" s="10">
        <f t="shared" si="13"/>
        <v>101901.1</v>
      </c>
      <c r="P161" s="10">
        <f>+'A) Base RI'!M161</f>
        <v>101901.1</v>
      </c>
      <c r="Q161" s="413">
        <f>'A) Base RI'!Z161</f>
        <v>1</v>
      </c>
      <c r="R161" s="405">
        <f t="shared" si="14"/>
        <v>1369841.2758815582</v>
      </c>
      <c r="S161" s="401">
        <f>+'A) Base RI'!U161</f>
        <v>76</v>
      </c>
      <c r="T161" s="405">
        <f t="shared" si="15"/>
        <v>1266427.7258815581</v>
      </c>
      <c r="U161" s="405">
        <f t="shared" si="16"/>
        <v>18024.22731423103</v>
      </c>
      <c r="V161" s="10">
        <f>+'A) Base RI'!P161</f>
        <v>7570.4</v>
      </c>
      <c r="W161" s="10">
        <f>+'A) Base RI'!Q161</f>
        <v>30107</v>
      </c>
      <c r="X161" s="10">
        <f>+'A) Base RI'!S161</f>
        <v>12263.3</v>
      </c>
      <c r="Y161" s="405">
        <f t="shared" si="17"/>
        <v>49940.7</v>
      </c>
      <c r="Z161" s="10">
        <f>+'A) Base RI'!O161</f>
        <v>6198.3</v>
      </c>
      <c r="AA161" s="10">
        <f>'A) Base RI'!V161</f>
        <v>513</v>
      </c>
    </row>
    <row r="162" spans="1:27" x14ac:dyDescent="0.25">
      <c r="A162" s="8">
        <f>'A) Base RI'!A162</f>
        <v>5655</v>
      </c>
      <c r="B162" s="32" t="str">
        <f>'A) Base RI'!B162</f>
        <v>Yens</v>
      </c>
      <c r="C162" s="10">
        <f>'A) Base RI'!C162+'A) Base RI'!D162</f>
        <v>5107931.82</v>
      </c>
      <c r="D162" s="10">
        <f>'A) Base RI'!W162</f>
        <v>-21967.68</v>
      </c>
      <c r="E162" s="397">
        <f>'A) Base RI'!X162</f>
        <v>0</v>
      </c>
      <c r="F162" s="397">
        <f>'A) Base RI'!Y162</f>
        <v>-9516.2199999999993</v>
      </c>
      <c r="G162" s="405">
        <f t="shared" si="12"/>
        <v>5076447.9200000009</v>
      </c>
      <c r="H162" s="10">
        <f>+'A) Base RI'!E162</f>
        <v>0</v>
      </c>
      <c r="I162" s="10">
        <f>+'A) Base RI'!F162</f>
        <v>0</v>
      </c>
      <c r="J162" s="10">
        <f>+'A) Base RI'!G162+'A) Base RI'!H162+'A) Base RI'!I162</f>
        <v>60435.690873965767</v>
      </c>
      <c r="K162" s="10">
        <f>+'A) Base RI'!J162</f>
        <v>67621.55</v>
      </c>
      <c r="L162" s="10">
        <f>+'A) Base RI'!K162</f>
        <v>6472.53</v>
      </c>
      <c r="M162" s="10">
        <f>+'A) Base RI'!L162</f>
        <v>8380.2999999999993</v>
      </c>
      <c r="N162" s="10">
        <f>+'A) Base RI'!R162</f>
        <v>4258.6000000000004</v>
      </c>
      <c r="O162" s="10">
        <f t="shared" si="13"/>
        <v>397516.65</v>
      </c>
      <c r="P162" s="10">
        <f>+'A) Base RI'!M162</f>
        <v>397516.65</v>
      </c>
      <c r="Q162" s="413">
        <f>'A) Base RI'!Z162</f>
        <v>1</v>
      </c>
      <c r="R162" s="405">
        <f t="shared" si="14"/>
        <v>5621133.2408739664</v>
      </c>
      <c r="S162" s="401">
        <f>+'A) Base RI'!U162</f>
        <v>73</v>
      </c>
      <c r="T162" s="405">
        <f t="shared" si="15"/>
        <v>5215236.2908739662</v>
      </c>
      <c r="U162" s="405">
        <f t="shared" si="16"/>
        <v>77001.825217451595</v>
      </c>
      <c r="V162" s="10">
        <f>+'A) Base RI'!P162</f>
        <v>39902.199999999997</v>
      </c>
      <c r="W162" s="10">
        <f>+'A) Base RI'!Q162</f>
        <v>238146.9</v>
      </c>
      <c r="X162" s="10">
        <f>+'A) Base RI'!S162</f>
        <v>213875.35</v>
      </c>
      <c r="Y162" s="405">
        <f t="shared" si="17"/>
        <v>491924.44999999995</v>
      </c>
      <c r="Z162" s="10">
        <f>+'A) Base RI'!O162</f>
        <v>61074.9</v>
      </c>
      <c r="AA162" s="10">
        <f>'A) Base RI'!V162</f>
        <v>1477</v>
      </c>
    </row>
    <row r="163" spans="1:27" x14ac:dyDescent="0.25">
      <c r="A163" s="8">
        <f>'A) Base RI'!A163</f>
        <v>5661</v>
      </c>
      <c r="B163" s="32" t="str">
        <f>'A) Base RI'!B163</f>
        <v>Boulens</v>
      </c>
      <c r="C163" s="10">
        <f>'A) Base RI'!C163+'A) Base RI'!D163</f>
        <v>665986.23</v>
      </c>
      <c r="D163" s="10">
        <f>'A) Base RI'!W163</f>
        <v>-17.5</v>
      </c>
      <c r="E163" s="397">
        <f>'A) Base RI'!X163</f>
        <v>0</v>
      </c>
      <c r="F163" s="397">
        <f>'A) Base RI'!Y163</f>
        <v>0</v>
      </c>
      <c r="G163" s="405">
        <f t="shared" si="12"/>
        <v>665968.73</v>
      </c>
      <c r="H163" s="10">
        <f>+'A) Base RI'!E163</f>
        <v>0</v>
      </c>
      <c r="I163" s="10">
        <f>+'A) Base RI'!F163</f>
        <v>0</v>
      </c>
      <c r="J163" s="10">
        <f>+'A) Base RI'!G163+'A) Base RI'!H163+'A) Base RI'!I163</f>
        <v>2110.1321017793425</v>
      </c>
      <c r="K163" s="10">
        <f>+'A) Base RI'!J163</f>
        <v>0</v>
      </c>
      <c r="L163" s="10">
        <f>+'A) Base RI'!K163</f>
        <v>9757.7800000000007</v>
      </c>
      <c r="M163" s="10">
        <f>+'A) Base RI'!L163</f>
        <v>425</v>
      </c>
      <c r="N163" s="10">
        <f>+'A) Base RI'!R163</f>
        <v>1204.74</v>
      </c>
      <c r="O163" s="10">
        <f t="shared" si="13"/>
        <v>55213</v>
      </c>
      <c r="P163" s="10">
        <f>+'A) Base RI'!M163</f>
        <v>55213</v>
      </c>
      <c r="Q163" s="413">
        <f>'A) Base RI'!Z163</f>
        <v>1</v>
      </c>
      <c r="R163" s="405">
        <f t="shared" si="14"/>
        <v>734679.38210177934</v>
      </c>
      <c r="S163" s="401">
        <f>+'A) Base RI'!U163</f>
        <v>73</v>
      </c>
      <c r="T163" s="405">
        <f t="shared" si="15"/>
        <v>679041.38210177934</v>
      </c>
      <c r="U163" s="405">
        <f t="shared" si="16"/>
        <v>10064.101124681909</v>
      </c>
      <c r="V163" s="10">
        <f>+'A) Base RI'!P163</f>
        <v>557.70000000000005</v>
      </c>
      <c r="W163" s="10">
        <f>+'A) Base RI'!Q163</f>
        <v>1925</v>
      </c>
      <c r="X163" s="10">
        <f>+'A) Base RI'!S163</f>
        <v>0</v>
      </c>
      <c r="Y163" s="405">
        <f t="shared" si="17"/>
        <v>2482.6999999999998</v>
      </c>
      <c r="Z163" s="10">
        <f>+'A) Base RI'!O163</f>
        <v>16467.349999999999</v>
      </c>
      <c r="AA163" s="10">
        <f>'A) Base RI'!V163</f>
        <v>361</v>
      </c>
    </row>
    <row r="164" spans="1:27" x14ac:dyDescent="0.25">
      <c r="A164" s="8">
        <f>'A) Base RI'!A164</f>
        <v>5663</v>
      </c>
      <c r="B164" s="32" t="str">
        <f>'A) Base RI'!B164</f>
        <v>Bussy-sur-Moudon</v>
      </c>
      <c r="C164" s="10">
        <f>'A) Base RI'!C164+'A) Base RI'!D164</f>
        <v>464690.39</v>
      </c>
      <c r="D164" s="10">
        <f>'A) Base RI'!W164</f>
        <v>-9479.2199999999993</v>
      </c>
      <c r="E164" s="397">
        <f>'A) Base RI'!X164</f>
        <v>0</v>
      </c>
      <c r="F164" s="397">
        <f>'A) Base RI'!Y164</f>
        <v>0</v>
      </c>
      <c r="G164" s="405">
        <f t="shared" si="12"/>
        <v>455211.17000000004</v>
      </c>
      <c r="H164" s="10">
        <f>+'A) Base RI'!E164</f>
        <v>0</v>
      </c>
      <c r="I164" s="10">
        <f>+'A) Base RI'!F164</f>
        <v>1360</v>
      </c>
      <c r="J164" s="10">
        <f>+'A) Base RI'!G164+'A) Base RI'!H164+'A) Base RI'!I164</f>
        <v>14994.846275793247</v>
      </c>
      <c r="K164" s="10">
        <f>+'A) Base RI'!J164</f>
        <v>0</v>
      </c>
      <c r="L164" s="10">
        <f>+'A) Base RI'!K164</f>
        <v>7572.79</v>
      </c>
      <c r="M164" s="10">
        <f>+'A) Base RI'!L164</f>
        <v>67.650000000000006</v>
      </c>
      <c r="N164" s="10">
        <f>+'A) Base RI'!R164</f>
        <v>-0.32</v>
      </c>
      <c r="O164" s="10">
        <f t="shared" si="13"/>
        <v>30402.7</v>
      </c>
      <c r="P164" s="10">
        <f>+'A) Base RI'!M164</f>
        <v>30402.7</v>
      </c>
      <c r="Q164" s="413">
        <f>'A) Base RI'!Z164</f>
        <v>1</v>
      </c>
      <c r="R164" s="405">
        <f t="shared" si="14"/>
        <v>509608.83627579332</v>
      </c>
      <c r="S164" s="401">
        <f>+'A) Base RI'!U164</f>
        <v>80</v>
      </c>
      <c r="T164" s="405">
        <f t="shared" si="15"/>
        <v>477778.48627579329</v>
      </c>
      <c r="U164" s="405">
        <f t="shared" si="16"/>
        <v>6370.1104534474161</v>
      </c>
      <c r="V164" s="10">
        <f>+'A) Base RI'!P164</f>
        <v>0</v>
      </c>
      <c r="W164" s="10">
        <f>+'A) Base RI'!Q164</f>
        <v>21339.95</v>
      </c>
      <c r="X164" s="10">
        <f>+'A) Base RI'!S164</f>
        <v>24054.2</v>
      </c>
      <c r="Y164" s="405">
        <f t="shared" si="17"/>
        <v>45394.15</v>
      </c>
      <c r="Z164" s="10">
        <f>+'A) Base RI'!O164</f>
        <v>0</v>
      </c>
      <c r="AA164" s="10">
        <f>'A) Base RI'!V164</f>
        <v>218</v>
      </c>
    </row>
    <row r="165" spans="1:27" x14ac:dyDescent="0.25">
      <c r="A165" s="8">
        <f>'A) Base RI'!A165</f>
        <v>5665</v>
      </c>
      <c r="B165" s="32" t="str">
        <f>'A) Base RI'!B165</f>
        <v>Chavannes-sur-Moudon</v>
      </c>
      <c r="C165" s="10">
        <f>'A) Base RI'!C165+'A) Base RI'!D165</f>
        <v>314261.71000000002</v>
      </c>
      <c r="D165" s="10">
        <f>'A) Base RI'!W165</f>
        <v>-58.23</v>
      </c>
      <c r="E165" s="397">
        <f>'A) Base RI'!X165</f>
        <v>0</v>
      </c>
      <c r="F165" s="397">
        <f>'A) Base RI'!Y165</f>
        <v>0</v>
      </c>
      <c r="G165" s="405">
        <f t="shared" si="12"/>
        <v>314203.48000000004</v>
      </c>
      <c r="H165" s="10">
        <f>+'A) Base RI'!E165</f>
        <v>0</v>
      </c>
      <c r="I165" s="10">
        <f>+'A) Base RI'!F165</f>
        <v>0</v>
      </c>
      <c r="J165" s="10">
        <f>+'A) Base RI'!G165+'A) Base RI'!H165+'A) Base RI'!I165</f>
        <v>-111.45</v>
      </c>
      <c r="K165" s="10">
        <f>+'A) Base RI'!J165</f>
        <v>0</v>
      </c>
      <c r="L165" s="10">
        <f>+'A) Base RI'!K165</f>
        <v>6370.32</v>
      </c>
      <c r="M165" s="10">
        <f>+'A) Base RI'!L165</f>
        <v>4.5</v>
      </c>
      <c r="N165" s="10">
        <f>+'A) Base RI'!R165</f>
        <v>0</v>
      </c>
      <c r="O165" s="10">
        <f t="shared" si="13"/>
        <v>24517.7</v>
      </c>
      <c r="P165" s="10">
        <f>+'A) Base RI'!M165</f>
        <v>24517.7</v>
      </c>
      <c r="Q165" s="413">
        <f>'A) Base RI'!Z165</f>
        <v>1</v>
      </c>
      <c r="R165" s="405">
        <f t="shared" si="14"/>
        <v>344984.55000000005</v>
      </c>
      <c r="S165" s="401">
        <f>+'A) Base RI'!U165</f>
        <v>73</v>
      </c>
      <c r="T165" s="405">
        <f t="shared" si="15"/>
        <v>320462.35000000003</v>
      </c>
      <c r="U165" s="405">
        <f t="shared" si="16"/>
        <v>4725.8157534246584</v>
      </c>
      <c r="V165" s="10">
        <f>+'A) Base RI'!P165</f>
        <v>0</v>
      </c>
      <c r="W165" s="10">
        <f>+'A) Base RI'!Q165</f>
        <v>12534.55</v>
      </c>
      <c r="X165" s="10">
        <f>+'A) Base RI'!S165</f>
        <v>16966.8</v>
      </c>
      <c r="Y165" s="405">
        <f t="shared" si="17"/>
        <v>29501.35</v>
      </c>
      <c r="Z165" s="10">
        <f>+'A) Base RI'!O165</f>
        <v>0</v>
      </c>
      <c r="AA165" s="10">
        <f>'A) Base RI'!V165</f>
        <v>210</v>
      </c>
    </row>
    <row r="166" spans="1:27" x14ac:dyDescent="0.25">
      <c r="A166" s="8">
        <f>'A) Base RI'!A166</f>
        <v>5669</v>
      </c>
      <c r="B166" s="32" t="str">
        <f>'A) Base RI'!B166</f>
        <v>Curtilles</v>
      </c>
      <c r="C166" s="10">
        <f>'A) Base RI'!C166+'A) Base RI'!D166</f>
        <v>709754.74</v>
      </c>
      <c r="D166" s="10">
        <f>'A) Base RI'!W166</f>
        <v>-18897.330000000002</v>
      </c>
      <c r="E166" s="397">
        <f>'A) Base RI'!X166</f>
        <v>0</v>
      </c>
      <c r="F166" s="397">
        <f>'A) Base RI'!Y166</f>
        <v>-138.72999999999999</v>
      </c>
      <c r="G166" s="405">
        <f t="shared" si="12"/>
        <v>690718.68</v>
      </c>
      <c r="H166" s="10">
        <f>+'A) Base RI'!E166</f>
        <v>0</v>
      </c>
      <c r="I166" s="10">
        <f>+'A) Base RI'!F166</f>
        <v>0</v>
      </c>
      <c r="J166" s="10">
        <f>+'A) Base RI'!G166+'A) Base RI'!H166+'A) Base RI'!I166</f>
        <v>2280.1748309051363</v>
      </c>
      <c r="K166" s="10">
        <f>+'A) Base RI'!J166</f>
        <v>0</v>
      </c>
      <c r="L166" s="10">
        <f>+'A) Base RI'!K166</f>
        <v>8617.1</v>
      </c>
      <c r="M166" s="10">
        <f>+'A) Base RI'!L166</f>
        <v>356.7</v>
      </c>
      <c r="N166" s="10">
        <f>+'A) Base RI'!R166</f>
        <v>0</v>
      </c>
      <c r="O166" s="10">
        <f t="shared" si="13"/>
        <v>46619.7</v>
      </c>
      <c r="P166" s="10">
        <f>+'A) Base RI'!M166</f>
        <v>23309.85</v>
      </c>
      <c r="Q166" s="413">
        <f>'A) Base RI'!Z166</f>
        <v>0.5</v>
      </c>
      <c r="R166" s="405">
        <f t="shared" si="14"/>
        <v>748592.3548309051</v>
      </c>
      <c r="S166" s="401">
        <f>+'A) Base RI'!U166</f>
        <v>75</v>
      </c>
      <c r="T166" s="405">
        <f t="shared" si="15"/>
        <v>701615.95483090519</v>
      </c>
      <c r="U166" s="405">
        <f t="shared" si="16"/>
        <v>9981.2313977454014</v>
      </c>
      <c r="V166" s="10">
        <f>+'A) Base RI'!P166</f>
        <v>0</v>
      </c>
      <c r="W166" s="10">
        <f>+'A) Base RI'!Q166</f>
        <v>12328.35</v>
      </c>
      <c r="X166" s="10">
        <f>+'A) Base RI'!S166</f>
        <v>2904.75</v>
      </c>
      <c r="Y166" s="405">
        <f t="shared" si="17"/>
        <v>15233.1</v>
      </c>
      <c r="Z166" s="10">
        <f>+'A) Base RI'!O166</f>
        <v>0</v>
      </c>
      <c r="AA166" s="10">
        <f>'A) Base RI'!V166</f>
        <v>310</v>
      </c>
    </row>
    <row r="167" spans="1:27" x14ac:dyDescent="0.25">
      <c r="A167" s="8">
        <f>'A) Base RI'!A167</f>
        <v>5671</v>
      </c>
      <c r="B167" s="32" t="str">
        <f>'A) Base RI'!B167</f>
        <v>Dompierre</v>
      </c>
      <c r="C167" s="10">
        <f>'A) Base RI'!C167+'A) Base RI'!D167</f>
        <v>499716.2</v>
      </c>
      <c r="D167" s="10">
        <f>'A) Base RI'!W167</f>
        <v>-14179.7</v>
      </c>
      <c r="E167" s="397">
        <f>'A) Base RI'!X167</f>
        <v>0</v>
      </c>
      <c r="F167" s="397">
        <f>'A) Base RI'!Y167</f>
        <v>0</v>
      </c>
      <c r="G167" s="405">
        <f t="shared" si="12"/>
        <v>485536.5</v>
      </c>
      <c r="H167" s="10">
        <f>+'A) Base RI'!E167</f>
        <v>0</v>
      </c>
      <c r="I167" s="10">
        <f>+'A) Base RI'!F167</f>
        <v>0</v>
      </c>
      <c r="J167" s="10">
        <f>+'A) Base RI'!G167+'A) Base RI'!H167+'A) Base RI'!I167</f>
        <v>6541.1725614806846</v>
      </c>
      <c r="K167" s="10">
        <f>+'A) Base RI'!J167</f>
        <v>0</v>
      </c>
      <c r="L167" s="10">
        <f>+'A) Base RI'!K167</f>
        <v>-1378.84</v>
      </c>
      <c r="M167" s="10">
        <f>+'A) Base RI'!L167</f>
        <v>223.5</v>
      </c>
      <c r="N167" s="10">
        <f>+'A) Base RI'!R167</f>
        <v>169.8</v>
      </c>
      <c r="O167" s="10">
        <f t="shared" si="13"/>
        <v>32609.200000000001</v>
      </c>
      <c r="P167" s="10">
        <f>+'A) Base RI'!M167</f>
        <v>32609.200000000001</v>
      </c>
      <c r="Q167" s="413">
        <f>'A) Base RI'!Z167</f>
        <v>1</v>
      </c>
      <c r="R167" s="405">
        <f t="shared" si="14"/>
        <v>523701.33256148064</v>
      </c>
      <c r="S167" s="401">
        <f>+'A) Base RI'!U167</f>
        <v>80</v>
      </c>
      <c r="T167" s="405">
        <f t="shared" si="15"/>
        <v>490868.63256148063</v>
      </c>
      <c r="U167" s="405">
        <f t="shared" si="16"/>
        <v>6546.2666570185083</v>
      </c>
      <c r="V167" s="10">
        <f>+'A) Base RI'!P167</f>
        <v>0</v>
      </c>
      <c r="W167" s="10">
        <f>+'A) Base RI'!Q167</f>
        <v>19723</v>
      </c>
      <c r="X167" s="10">
        <f>+'A) Base RI'!S167</f>
        <v>28291.05</v>
      </c>
      <c r="Y167" s="405">
        <f t="shared" si="17"/>
        <v>48014.05</v>
      </c>
      <c r="Z167" s="10">
        <f>+'A) Base RI'!O167</f>
        <v>0</v>
      </c>
      <c r="AA167" s="10">
        <f>'A) Base RI'!V167</f>
        <v>232</v>
      </c>
    </row>
    <row r="168" spans="1:27" x14ac:dyDescent="0.25">
      <c r="A168" s="8">
        <f>'A) Base RI'!A168</f>
        <v>5673</v>
      </c>
      <c r="B168" s="32" t="str">
        <f>'A) Base RI'!B168</f>
        <v>Hermenches</v>
      </c>
      <c r="C168" s="10">
        <f>'A) Base RI'!C168+'A) Base RI'!D168</f>
        <v>715895.80999999994</v>
      </c>
      <c r="D168" s="10">
        <f>'A) Base RI'!W168</f>
        <v>-22722.15</v>
      </c>
      <c r="E168" s="397">
        <f>'A) Base RI'!X168</f>
        <v>0</v>
      </c>
      <c r="F168" s="397">
        <f>'A) Base RI'!Y168</f>
        <v>-48.33</v>
      </c>
      <c r="G168" s="405">
        <f t="shared" si="12"/>
        <v>693125.33</v>
      </c>
      <c r="H168" s="10">
        <f>+'A) Base RI'!E168</f>
        <v>0</v>
      </c>
      <c r="I168" s="10">
        <f>+'A) Base RI'!F168</f>
        <v>1940</v>
      </c>
      <c r="J168" s="10">
        <f>+'A) Base RI'!G168+'A) Base RI'!H168+'A) Base RI'!I168</f>
        <v>3615.0158963053623</v>
      </c>
      <c r="K168" s="10">
        <f>+'A) Base RI'!J168</f>
        <v>0</v>
      </c>
      <c r="L168" s="10">
        <f>+'A) Base RI'!K168</f>
        <v>-2566.7800000000002</v>
      </c>
      <c r="M168" s="10">
        <f>+'A) Base RI'!L168</f>
        <v>7.5</v>
      </c>
      <c r="N168" s="10">
        <f>+'A) Base RI'!R168</f>
        <v>417.37</v>
      </c>
      <c r="O168" s="10">
        <f t="shared" si="13"/>
        <v>46823</v>
      </c>
      <c r="P168" s="10">
        <f>+'A) Base RI'!M168</f>
        <v>28093.8</v>
      </c>
      <c r="Q168" s="413">
        <f>'A) Base RI'!Z168</f>
        <v>0.6</v>
      </c>
      <c r="R168" s="405">
        <f t="shared" si="14"/>
        <v>743361.43589630525</v>
      </c>
      <c r="S168" s="401">
        <f>+'A) Base RI'!U168</f>
        <v>75</v>
      </c>
      <c r="T168" s="405">
        <f t="shared" si="15"/>
        <v>694590.93589630525</v>
      </c>
      <c r="U168" s="405">
        <f t="shared" si="16"/>
        <v>9911.4858119507371</v>
      </c>
      <c r="V168" s="10">
        <f>+'A) Base RI'!P168</f>
        <v>1115.5</v>
      </c>
      <c r="W168" s="10">
        <f>+'A) Base RI'!Q168</f>
        <v>21242.45</v>
      </c>
      <c r="X168" s="10">
        <f>+'A) Base RI'!S168</f>
        <v>13870.5</v>
      </c>
      <c r="Y168" s="405">
        <f t="shared" si="17"/>
        <v>36228.449999999997</v>
      </c>
      <c r="Z168" s="10">
        <f>+'A) Base RI'!O168</f>
        <v>17325.349999999999</v>
      </c>
      <c r="AA168" s="10">
        <f>'A) Base RI'!V168</f>
        <v>367</v>
      </c>
    </row>
    <row r="169" spans="1:27" x14ac:dyDescent="0.25">
      <c r="A169" s="8">
        <f>'A) Base RI'!A169</f>
        <v>5674</v>
      </c>
      <c r="B169" s="32" t="str">
        <f>'A) Base RI'!B169</f>
        <v>Lovatens</v>
      </c>
      <c r="C169" s="10">
        <f>'A) Base RI'!C169+'A) Base RI'!D169</f>
        <v>226547.00999999998</v>
      </c>
      <c r="D169" s="10">
        <f>'A) Base RI'!W169</f>
        <v>-15.89</v>
      </c>
      <c r="E169" s="397">
        <f>'A) Base RI'!X169</f>
        <v>0</v>
      </c>
      <c r="F169" s="397">
        <f>'A) Base RI'!Y169</f>
        <v>0</v>
      </c>
      <c r="G169" s="405">
        <f t="shared" si="12"/>
        <v>226531.11999999997</v>
      </c>
      <c r="H169" s="10">
        <f>+'A) Base RI'!E169</f>
        <v>0</v>
      </c>
      <c r="I169" s="10">
        <f>+'A) Base RI'!F169</f>
        <v>0</v>
      </c>
      <c r="J169" s="10">
        <f>+'A) Base RI'!G169+'A) Base RI'!H169+'A) Base RI'!I169</f>
        <v>-461</v>
      </c>
      <c r="K169" s="10">
        <f>+'A) Base RI'!J169</f>
        <v>0</v>
      </c>
      <c r="L169" s="10">
        <f>+'A) Base RI'!K169</f>
        <v>-3248.21</v>
      </c>
      <c r="M169" s="10">
        <f>+'A) Base RI'!L169</f>
        <v>64.099999999999994</v>
      </c>
      <c r="N169" s="10">
        <f>+'A) Base RI'!R169</f>
        <v>0</v>
      </c>
      <c r="O169" s="10">
        <f t="shared" si="13"/>
        <v>18068</v>
      </c>
      <c r="P169" s="10">
        <f>+'A) Base RI'!M169</f>
        <v>12647.6</v>
      </c>
      <c r="Q169" s="413">
        <f>'A) Base RI'!Z169</f>
        <v>0.7</v>
      </c>
      <c r="R169" s="405">
        <f t="shared" si="14"/>
        <v>240954.00999999998</v>
      </c>
      <c r="S169" s="401">
        <f>+'A) Base RI'!U169</f>
        <v>75</v>
      </c>
      <c r="T169" s="405">
        <f t="shared" si="15"/>
        <v>222821.90999999997</v>
      </c>
      <c r="U169" s="405">
        <f t="shared" si="16"/>
        <v>3212.7201333333333</v>
      </c>
      <c r="V169" s="10">
        <f>+'A) Base RI'!P169</f>
        <v>0</v>
      </c>
      <c r="W169" s="10">
        <f>+'A) Base RI'!Q169</f>
        <v>189.35</v>
      </c>
      <c r="X169" s="10">
        <f>+'A) Base RI'!S169</f>
        <v>0</v>
      </c>
      <c r="Y169" s="405">
        <f t="shared" si="17"/>
        <v>189.35</v>
      </c>
      <c r="Z169" s="10">
        <f>+'A) Base RI'!O169</f>
        <v>0</v>
      </c>
      <c r="AA169" s="10">
        <f>'A) Base RI'!V169</f>
        <v>136</v>
      </c>
    </row>
    <row r="170" spans="1:27" x14ac:dyDescent="0.25">
      <c r="A170" s="8">
        <f>'A) Base RI'!A170</f>
        <v>5675</v>
      </c>
      <c r="B170" s="32" t="str">
        <f>'A) Base RI'!B170</f>
        <v>Lucens</v>
      </c>
      <c r="C170" s="10">
        <f>'A) Base RI'!C170+'A) Base RI'!D170</f>
        <v>5545040.7599999998</v>
      </c>
      <c r="D170" s="10">
        <f>'A) Base RI'!W170</f>
        <v>-226748.47</v>
      </c>
      <c r="E170" s="397">
        <f>'A) Base RI'!X170</f>
        <v>0</v>
      </c>
      <c r="F170" s="397">
        <f>'A) Base RI'!Y170</f>
        <v>-645.66999999999996</v>
      </c>
      <c r="G170" s="405">
        <f t="shared" si="12"/>
        <v>5317646.62</v>
      </c>
      <c r="H170" s="10">
        <f>+'A) Base RI'!E170</f>
        <v>0</v>
      </c>
      <c r="I170" s="10">
        <f>+'A) Base RI'!F170</f>
        <v>0</v>
      </c>
      <c r="J170" s="10">
        <f>+'A) Base RI'!G170+'A) Base RI'!H170+'A) Base RI'!I170</f>
        <v>411320.72420674696</v>
      </c>
      <c r="K170" s="10">
        <f>+'A) Base RI'!J170</f>
        <v>0</v>
      </c>
      <c r="L170" s="10">
        <f>+'A) Base RI'!K170</f>
        <v>198177.01</v>
      </c>
      <c r="M170" s="10">
        <f>+'A) Base RI'!L170</f>
        <v>79567.75</v>
      </c>
      <c r="N170" s="10">
        <f>+'A) Base RI'!R170</f>
        <v>72992.66</v>
      </c>
      <c r="O170" s="10">
        <f t="shared" si="13"/>
        <v>625160.27272727271</v>
      </c>
      <c r="P170" s="10">
        <f>+'A) Base RI'!M170</f>
        <v>687676.3</v>
      </c>
      <c r="Q170" s="413">
        <f>'A) Base RI'!Z170</f>
        <v>1.1000000000000001</v>
      </c>
      <c r="R170" s="405">
        <f t="shared" si="14"/>
        <v>6704865.0369340191</v>
      </c>
      <c r="S170" s="401">
        <f>+'A) Base RI'!U170</f>
        <v>69</v>
      </c>
      <c r="T170" s="405">
        <f t="shared" si="15"/>
        <v>6000137.0142067466</v>
      </c>
      <c r="U170" s="405">
        <f t="shared" si="16"/>
        <v>97171.957057014763</v>
      </c>
      <c r="V170" s="10">
        <f>+'A) Base RI'!P170</f>
        <v>85294.2</v>
      </c>
      <c r="W170" s="10">
        <f>+'A) Base RI'!Q170</f>
        <v>655277.30000000005</v>
      </c>
      <c r="X170" s="10">
        <f>+'A) Base RI'!S170</f>
        <v>160087.54999999999</v>
      </c>
      <c r="Y170" s="405">
        <f t="shared" si="17"/>
        <v>900659.05</v>
      </c>
      <c r="Z170" s="10">
        <f>+'A) Base RI'!O170</f>
        <v>30334.9</v>
      </c>
      <c r="AA170" s="10">
        <f>'A) Base RI'!V170</f>
        <v>4220</v>
      </c>
    </row>
    <row r="171" spans="1:27" x14ac:dyDescent="0.25">
      <c r="A171" s="8">
        <f>'A) Base RI'!A171</f>
        <v>5678</v>
      </c>
      <c r="B171" s="32" t="str">
        <f>'A) Base RI'!B171</f>
        <v>Moudon</v>
      </c>
      <c r="C171" s="10">
        <f>'A) Base RI'!C171+'A) Base RI'!D171</f>
        <v>7923875.1399999997</v>
      </c>
      <c r="D171" s="10">
        <f>'A) Base RI'!W171</f>
        <v>-375161.61</v>
      </c>
      <c r="E171" s="397">
        <f>'A) Base RI'!X171</f>
        <v>0</v>
      </c>
      <c r="F171" s="397">
        <f>'A) Base RI'!Y171</f>
        <v>-1873.93</v>
      </c>
      <c r="G171" s="405">
        <f t="shared" si="12"/>
        <v>7546839.5999999996</v>
      </c>
      <c r="H171" s="10">
        <f>+'A) Base RI'!E171</f>
        <v>0</v>
      </c>
      <c r="I171" s="10">
        <f>+'A) Base RI'!F171</f>
        <v>34497.199999999997</v>
      </c>
      <c r="J171" s="10">
        <f>+'A) Base RI'!G171+'A) Base RI'!H171+'A) Base RI'!I171</f>
        <v>442234.25540778099</v>
      </c>
      <c r="K171" s="10">
        <f>+'A) Base RI'!J171</f>
        <v>0</v>
      </c>
      <c r="L171" s="10">
        <f>+'A) Base RI'!K171</f>
        <v>425548.7</v>
      </c>
      <c r="M171" s="10">
        <f>+'A) Base RI'!L171</f>
        <v>66149.149999999994</v>
      </c>
      <c r="N171" s="10">
        <f>+'A) Base RI'!R171</f>
        <v>63702.52</v>
      </c>
      <c r="O171" s="10">
        <f t="shared" si="13"/>
        <v>795346.6</v>
      </c>
      <c r="P171" s="10">
        <f>+'A) Base RI'!M171</f>
        <v>795346.6</v>
      </c>
      <c r="Q171" s="413">
        <f>'A) Base RI'!Z171</f>
        <v>1</v>
      </c>
      <c r="R171" s="405">
        <f t="shared" si="14"/>
        <v>9374318.02540778</v>
      </c>
      <c r="S171" s="401">
        <f>+'A) Base RI'!U171</f>
        <v>75</v>
      </c>
      <c r="T171" s="405">
        <f t="shared" si="15"/>
        <v>8478325.0754077807</v>
      </c>
      <c r="U171" s="405">
        <f t="shared" si="16"/>
        <v>124990.90700543707</v>
      </c>
      <c r="V171" s="10">
        <f>+'A) Base RI'!P171</f>
        <v>690611</v>
      </c>
      <c r="W171" s="10">
        <f>+'A) Base RI'!Q171</f>
        <v>404404.45</v>
      </c>
      <c r="X171" s="10">
        <f>+'A) Base RI'!S171</f>
        <v>285736.5</v>
      </c>
      <c r="Y171" s="405">
        <f t="shared" si="17"/>
        <v>1380751.95</v>
      </c>
      <c r="Z171" s="10">
        <f>+'A) Base RI'!O171</f>
        <v>212403.65</v>
      </c>
      <c r="AA171" s="10">
        <f>'A) Base RI'!V171</f>
        <v>6080</v>
      </c>
    </row>
    <row r="172" spans="1:27" x14ac:dyDescent="0.25">
      <c r="A172" s="8">
        <f>'A) Base RI'!A172</f>
        <v>5680</v>
      </c>
      <c r="B172" s="32" t="str">
        <f>'A) Base RI'!B172</f>
        <v>Ogens</v>
      </c>
      <c r="C172" s="10">
        <f>'A) Base RI'!C172+'A) Base RI'!D172</f>
        <v>440961.07</v>
      </c>
      <c r="D172" s="10">
        <f>'A) Base RI'!W172</f>
        <v>-10978.59</v>
      </c>
      <c r="E172" s="397">
        <f>'A) Base RI'!X172</f>
        <v>0</v>
      </c>
      <c r="F172" s="397">
        <f>'A) Base RI'!Y172</f>
        <v>-1.19</v>
      </c>
      <c r="G172" s="405">
        <f t="shared" si="12"/>
        <v>429981.29</v>
      </c>
      <c r="H172" s="10">
        <f>+'A) Base RI'!E172</f>
        <v>0</v>
      </c>
      <c r="I172" s="10">
        <f>+'A) Base RI'!F172</f>
        <v>0</v>
      </c>
      <c r="J172" s="10">
        <f>+'A) Base RI'!G172+'A) Base RI'!H172+'A) Base RI'!I172</f>
        <v>12341.243168815241</v>
      </c>
      <c r="K172" s="10">
        <f>+'A) Base RI'!J172</f>
        <v>0</v>
      </c>
      <c r="L172" s="10">
        <f>+'A) Base RI'!K172</f>
        <v>538.85</v>
      </c>
      <c r="M172" s="10">
        <f>+'A) Base RI'!L172</f>
        <v>625</v>
      </c>
      <c r="N172" s="10">
        <f>+'A) Base RI'!R172</f>
        <v>1060.17</v>
      </c>
      <c r="O172" s="10">
        <f t="shared" si="13"/>
        <v>48412.233333333337</v>
      </c>
      <c r="P172" s="10">
        <f>+'A) Base RI'!M172</f>
        <v>72618.350000000006</v>
      </c>
      <c r="Q172" s="413">
        <f>'A) Base RI'!Z172</f>
        <v>1.5</v>
      </c>
      <c r="R172" s="405">
        <f t="shared" si="14"/>
        <v>492958.78650214849</v>
      </c>
      <c r="S172" s="401">
        <f>+'A) Base RI'!U172</f>
        <v>78</v>
      </c>
      <c r="T172" s="405">
        <f t="shared" si="15"/>
        <v>443921.55316881515</v>
      </c>
      <c r="U172" s="405">
        <f t="shared" si="16"/>
        <v>6319.984442335237</v>
      </c>
      <c r="V172" s="10">
        <f>+'A) Base RI'!P172</f>
        <v>0</v>
      </c>
      <c r="W172" s="10">
        <f>+'A) Base RI'!Q172</f>
        <v>44268.3</v>
      </c>
      <c r="X172" s="10">
        <f>+'A) Base RI'!S172</f>
        <v>29081.75</v>
      </c>
      <c r="Y172" s="405">
        <f t="shared" si="17"/>
        <v>73350.05</v>
      </c>
      <c r="Z172" s="10">
        <f>+'A) Base RI'!O172</f>
        <v>0</v>
      </c>
      <c r="AA172" s="10">
        <f>'A) Base RI'!V172</f>
        <v>296</v>
      </c>
    </row>
    <row r="173" spans="1:27" x14ac:dyDescent="0.25">
      <c r="A173" s="8">
        <f>'A) Base RI'!A173</f>
        <v>5683</v>
      </c>
      <c r="B173" s="32" t="str">
        <f>'A) Base RI'!B173</f>
        <v>Prévonloup</v>
      </c>
      <c r="C173" s="10">
        <f>'A) Base RI'!C173+'A) Base RI'!D173</f>
        <v>332308.21999999997</v>
      </c>
      <c r="D173" s="10">
        <f>'A) Base RI'!W173</f>
        <v>-19115.46</v>
      </c>
      <c r="E173" s="397">
        <f>'A) Base RI'!X173</f>
        <v>0</v>
      </c>
      <c r="F173" s="397">
        <f>'A) Base RI'!Y173</f>
        <v>0</v>
      </c>
      <c r="G173" s="405">
        <f t="shared" si="12"/>
        <v>313192.75999999995</v>
      </c>
      <c r="H173" s="10">
        <f>+'A) Base RI'!E173</f>
        <v>0</v>
      </c>
      <c r="I173" s="10">
        <f>+'A) Base RI'!F173</f>
        <v>0</v>
      </c>
      <c r="J173" s="10">
        <f>+'A) Base RI'!G173+'A) Base RI'!H173+'A) Base RI'!I173</f>
        <v>-4997.45</v>
      </c>
      <c r="K173" s="10">
        <f>+'A) Base RI'!J173</f>
        <v>0</v>
      </c>
      <c r="L173" s="10">
        <f>+'A) Base RI'!K173</f>
        <v>-936.58</v>
      </c>
      <c r="M173" s="10">
        <f>+'A) Base RI'!L173</f>
        <v>2220.5</v>
      </c>
      <c r="N173" s="10">
        <f>+'A) Base RI'!R173</f>
        <v>-1032.82</v>
      </c>
      <c r="O173" s="10">
        <f t="shared" si="13"/>
        <v>28558.75</v>
      </c>
      <c r="P173" s="10">
        <f>+'A) Base RI'!M173</f>
        <v>28558.75</v>
      </c>
      <c r="Q173" s="413">
        <f>'A) Base RI'!Z173</f>
        <v>1</v>
      </c>
      <c r="R173" s="405">
        <f t="shared" si="14"/>
        <v>337005.15999999992</v>
      </c>
      <c r="S173" s="401">
        <f>+'A) Base RI'!U173</f>
        <v>74</v>
      </c>
      <c r="T173" s="405">
        <f t="shared" si="15"/>
        <v>306225.90999999992</v>
      </c>
      <c r="U173" s="405">
        <f t="shared" si="16"/>
        <v>4554.1237837837825</v>
      </c>
      <c r="V173" s="10">
        <f>+'A) Base RI'!P173</f>
        <v>0</v>
      </c>
      <c r="W173" s="10">
        <f>+'A) Base RI'!Q173</f>
        <v>8253.2999999999993</v>
      </c>
      <c r="X173" s="10">
        <f>+'A) Base RI'!S173</f>
        <v>0</v>
      </c>
      <c r="Y173" s="405">
        <f t="shared" si="17"/>
        <v>8253.2999999999993</v>
      </c>
      <c r="Z173" s="10">
        <f>+'A) Base RI'!O173</f>
        <v>0</v>
      </c>
      <c r="AA173" s="10">
        <f>'A) Base RI'!V173</f>
        <v>194</v>
      </c>
    </row>
    <row r="174" spans="1:27" x14ac:dyDescent="0.25">
      <c r="A174" s="8">
        <f>'A) Base RI'!A174</f>
        <v>5684</v>
      </c>
      <c r="B174" s="32" t="str">
        <f>'A) Base RI'!B174</f>
        <v>Rossenges</v>
      </c>
      <c r="C174" s="10">
        <f>'A) Base RI'!C174+'A) Base RI'!D174</f>
        <v>227965.34</v>
      </c>
      <c r="D174" s="10">
        <f>'A) Base RI'!W174</f>
        <v>-4645.16</v>
      </c>
      <c r="E174" s="397">
        <f>'A) Base RI'!X174</f>
        <v>0</v>
      </c>
      <c r="F174" s="397">
        <f>'A) Base RI'!Y174</f>
        <v>-9.93</v>
      </c>
      <c r="G174" s="405">
        <f t="shared" si="12"/>
        <v>223310.25</v>
      </c>
      <c r="H174" s="10">
        <f>+'A) Base RI'!E174</f>
        <v>0</v>
      </c>
      <c r="I174" s="10">
        <f>+'A) Base RI'!F174</f>
        <v>0</v>
      </c>
      <c r="J174" s="10">
        <f>+'A) Base RI'!G174+'A) Base RI'!H174+'A) Base RI'!I174</f>
        <v>1081.9772591819751</v>
      </c>
      <c r="K174" s="10">
        <f>+'A) Base RI'!J174</f>
        <v>0</v>
      </c>
      <c r="L174" s="10">
        <f>+'A) Base RI'!K174</f>
        <v>0</v>
      </c>
      <c r="M174" s="10">
        <f>+'A) Base RI'!L174</f>
        <v>0</v>
      </c>
      <c r="N174" s="10">
        <f>+'A) Base RI'!R174</f>
        <v>0</v>
      </c>
      <c r="O174" s="10">
        <f t="shared" si="13"/>
        <v>8077.3749999999991</v>
      </c>
      <c r="P174" s="10">
        <f>+'A) Base RI'!M174</f>
        <v>6461.9</v>
      </c>
      <c r="Q174" s="413">
        <f>'A) Base RI'!Z174</f>
        <v>0.8</v>
      </c>
      <c r="R174" s="405">
        <f t="shared" si="14"/>
        <v>232469.60225918196</v>
      </c>
      <c r="S174" s="401">
        <f>+'A) Base RI'!U174</f>
        <v>75</v>
      </c>
      <c r="T174" s="405">
        <f t="shared" si="15"/>
        <v>224392.22725918196</v>
      </c>
      <c r="U174" s="405">
        <f t="shared" si="16"/>
        <v>3099.5946967890927</v>
      </c>
      <c r="V174" s="10">
        <f>+'A) Base RI'!P174</f>
        <v>0</v>
      </c>
      <c r="W174" s="10">
        <f>+'A) Base RI'!Q174</f>
        <v>0</v>
      </c>
      <c r="X174" s="10">
        <f>+'A) Base RI'!S174</f>
        <v>0</v>
      </c>
      <c r="Y174" s="405">
        <f t="shared" si="17"/>
        <v>0</v>
      </c>
      <c r="Z174" s="10">
        <f>+'A) Base RI'!O174</f>
        <v>0</v>
      </c>
      <c r="AA174" s="10">
        <f>'A) Base RI'!V174</f>
        <v>84</v>
      </c>
    </row>
    <row r="175" spans="1:27" x14ac:dyDescent="0.25">
      <c r="A175" s="8">
        <f>'A) Base RI'!A175</f>
        <v>5688</v>
      </c>
      <c r="B175" s="32" t="str">
        <f>'A) Base RI'!B175</f>
        <v>Syens</v>
      </c>
      <c r="C175" s="10">
        <f>'A) Base RI'!C175+'A) Base RI'!D175</f>
        <v>154776.03</v>
      </c>
      <c r="D175" s="10">
        <f>'A) Base RI'!W175</f>
        <v>-5.27</v>
      </c>
      <c r="E175" s="397">
        <f>'A) Base RI'!X175</f>
        <v>0</v>
      </c>
      <c r="F175" s="397">
        <f>'A) Base RI'!Y175</f>
        <v>0</v>
      </c>
      <c r="G175" s="405">
        <f t="shared" si="12"/>
        <v>154770.76</v>
      </c>
      <c r="H175" s="10">
        <f>+'A) Base RI'!E175</f>
        <v>0</v>
      </c>
      <c r="I175" s="10">
        <f>+'A) Base RI'!F175</f>
        <v>0</v>
      </c>
      <c r="J175" s="10">
        <f>+'A) Base RI'!G175+'A) Base RI'!H175+'A) Base RI'!I175</f>
        <v>21507.810023550344</v>
      </c>
      <c r="K175" s="10">
        <f>+'A) Base RI'!J175</f>
        <v>0</v>
      </c>
      <c r="L175" s="10">
        <f>+'A) Base RI'!K175</f>
        <v>5766.42</v>
      </c>
      <c r="M175" s="10">
        <f>+'A) Base RI'!L175</f>
        <v>52.5</v>
      </c>
      <c r="N175" s="10">
        <f>+'A) Base RI'!R175</f>
        <v>0</v>
      </c>
      <c r="O175" s="10">
        <f t="shared" si="13"/>
        <v>23709.5</v>
      </c>
      <c r="P175" s="10">
        <f>+'A) Base RI'!M175</f>
        <v>23709.5</v>
      </c>
      <c r="Q175" s="413">
        <f>'A) Base RI'!Z175</f>
        <v>1</v>
      </c>
      <c r="R175" s="405">
        <f t="shared" si="14"/>
        <v>205806.99002355037</v>
      </c>
      <c r="S175" s="401">
        <f>+'A) Base RI'!U175</f>
        <v>75.599999999999994</v>
      </c>
      <c r="T175" s="405">
        <f t="shared" si="15"/>
        <v>182044.99002355037</v>
      </c>
      <c r="U175" s="405">
        <f t="shared" si="16"/>
        <v>2722.3146828511958</v>
      </c>
      <c r="V175" s="10">
        <f>+'A) Base RI'!P175</f>
        <v>0</v>
      </c>
      <c r="W175" s="10">
        <f>+'A) Base RI'!Q175</f>
        <v>4.1500000000000004</v>
      </c>
      <c r="X175" s="10">
        <f>+'A) Base RI'!S175</f>
        <v>0</v>
      </c>
      <c r="Y175" s="405">
        <f t="shared" si="17"/>
        <v>4.1500000000000004</v>
      </c>
      <c r="Z175" s="10">
        <f>+'A) Base RI'!O175</f>
        <v>398.4</v>
      </c>
      <c r="AA175" s="10">
        <f>'A) Base RI'!V175</f>
        <v>155</v>
      </c>
    </row>
    <row r="176" spans="1:27" x14ac:dyDescent="0.25">
      <c r="A176" s="8">
        <f>'A) Base RI'!A176</f>
        <v>5690</v>
      </c>
      <c r="B176" s="32" t="str">
        <f>'A) Base RI'!B176</f>
        <v>Villars-le-Comte</v>
      </c>
      <c r="C176" s="10">
        <f>'A) Base RI'!C176+'A) Base RI'!D176</f>
        <v>190438.57</v>
      </c>
      <c r="D176" s="10">
        <f>'A) Base RI'!W176</f>
        <v>-1209.22</v>
      </c>
      <c r="E176" s="397">
        <f>'A) Base RI'!X176</f>
        <v>0</v>
      </c>
      <c r="F176" s="397">
        <f>'A) Base RI'!Y176</f>
        <v>0</v>
      </c>
      <c r="G176" s="405">
        <f t="shared" si="12"/>
        <v>189229.35</v>
      </c>
      <c r="H176" s="10">
        <f>+'A) Base RI'!E176</f>
        <v>0</v>
      </c>
      <c r="I176" s="10">
        <f>+'A) Base RI'!F176</f>
        <v>830</v>
      </c>
      <c r="J176" s="10">
        <f>+'A) Base RI'!G176+'A) Base RI'!H176+'A) Base RI'!I176</f>
        <v>294.838521038951</v>
      </c>
      <c r="K176" s="10">
        <f>+'A) Base RI'!J176</f>
        <v>0</v>
      </c>
      <c r="L176" s="10">
        <f>+'A) Base RI'!K176</f>
        <v>74.989999999999995</v>
      </c>
      <c r="M176" s="10">
        <f>+'A) Base RI'!L176</f>
        <v>184.1</v>
      </c>
      <c r="N176" s="10">
        <f>+'A) Base RI'!R176</f>
        <v>0</v>
      </c>
      <c r="O176" s="10">
        <f t="shared" si="13"/>
        <v>20505.125000000004</v>
      </c>
      <c r="P176" s="10">
        <f>+'A) Base RI'!M176</f>
        <v>24606.15</v>
      </c>
      <c r="Q176" s="413">
        <f>'A) Base RI'!Z176</f>
        <v>1.2</v>
      </c>
      <c r="R176" s="405">
        <f t="shared" si="14"/>
        <v>211118.40352103894</v>
      </c>
      <c r="S176" s="401">
        <f>+'A) Base RI'!U176</f>
        <v>70</v>
      </c>
      <c r="T176" s="405">
        <f t="shared" si="15"/>
        <v>189599.17852103894</v>
      </c>
      <c r="U176" s="405">
        <f t="shared" si="16"/>
        <v>3015.9771931576993</v>
      </c>
      <c r="V176" s="10">
        <f>+'A) Base RI'!P176</f>
        <v>9193.7999999999884</v>
      </c>
      <c r="W176" s="10">
        <f>+'A) Base RI'!Q176</f>
        <v>4698.1000000000004</v>
      </c>
      <c r="X176" s="10">
        <f>+'A) Base RI'!S176</f>
        <v>9702.5</v>
      </c>
      <c r="Y176" s="405">
        <f t="shared" si="17"/>
        <v>23594.399999999987</v>
      </c>
      <c r="Z176" s="10">
        <f>+'A) Base RI'!O176</f>
        <v>0</v>
      </c>
      <c r="AA176" s="10">
        <f>'A) Base RI'!V176</f>
        <v>122</v>
      </c>
    </row>
    <row r="177" spans="1:27" x14ac:dyDescent="0.25">
      <c r="A177" s="8">
        <f>'A) Base RI'!A177</f>
        <v>5692</v>
      </c>
      <c r="B177" s="32" t="str">
        <f>'A) Base RI'!B177</f>
        <v>Vucherens</v>
      </c>
      <c r="C177" s="10">
        <f>'A) Base RI'!C177+'A) Base RI'!D177</f>
        <v>1162889.49</v>
      </c>
      <c r="D177" s="10">
        <f>'A) Base RI'!W177</f>
        <v>-13064.71</v>
      </c>
      <c r="E177" s="397">
        <f>'A) Base RI'!X177</f>
        <v>0</v>
      </c>
      <c r="F177" s="397">
        <f>'A) Base RI'!Y177</f>
        <v>-20.58</v>
      </c>
      <c r="G177" s="405">
        <f t="shared" si="12"/>
        <v>1149804.2</v>
      </c>
      <c r="H177" s="10">
        <f>+'A) Base RI'!E177</f>
        <v>0</v>
      </c>
      <c r="I177" s="10">
        <f>+'A) Base RI'!F177</f>
        <v>0</v>
      </c>
      <c r="J177" s="10">
        <f>+'A) Base RI'!G177+'A) Base RI'!H177+'A) Base RI'!I177</f>
        <v>-1155.55</v>
      </c>
      <c r="K177" s="10">
        <f>+'A) Base RI'!J177</f>
        <v>0</v>
      </c>
      <c r="L177" s="10">
        <f>+'A) Base RI'!K177</f>
        <v>18224.849999999999</v>
      </c>
      <c r="M177" s="10">
        <f>+'A) Base RI'!L177</f>
        <v>2423.4499999999998</v>
      </c>
      <c r="N177" s="10">
        <f>+'A) Base RI'!R177</f>
        <v>0</v>
      </c>
      <c r="O177" s="10">
        <f t="shared" si="13"/>
        <v>92848</v>
      </c>
      <c r="P177" s="10">
        <f>+'A) Base RI'!M177</f>
        <v>92848</v>
      </c>
      <c r="Q177" s="413">
        <f>'A) Base RI'!Z177</f>
        <v>1</v>
      </c>
      <c r="R177" s="405">
        <f t="shared" si="14"/>
        <v>1262144.95</v>
      </c>
      <c r="S177" s="401">
        <f>+'A) Base RI'!U177</f>
        <v>79</v>
      </c>
      <c r="T177" s="405">
        <f t="shared" si="15"/>
        <v>1166873.5</v>
      </c>
      <c r="U177" s="405">
        <f t="shared" si="16"/>
        <v>15976.51835443038</v>
      </c>
      <c r="V177" s="10">
        <f>+'A) Base RI'!P177</f>
        <v>0</v>
      </c>
      <c r="W177" s="10">
        <f>+'A) Base RI'!Q177</f>
        <v>55154</v>
      </c>
      <c r="X177" s="10">
        <f>+'A) Base RI'!S177</f>
        <v>40705.449999999997</v>
      </c>
      <c r="Y177" s="405">
        <f t="shared" si="17"/>
        <v>95859.45</v>
      </c>
      <c r="Z177" s="10">
        <f>+'A) Base RI'!O177</f>
        <v>8874.2999999999993</v>
      </c>
      <c r="AA177" s="10">
        <f>'A) Base RI'!V177</f>
        <v>580</v>
      </c>
    </row>
    <row r="178" spans="1:27" x14ac:dyDescent="0.25">
      <c r="A178" s="8">
        <f>'A) Base RI'!A178</f>
        <v>5693</v>
      </c>
      <c r="B178" s="32" t="str">
        <f>'A) Base RI'!B178</f>
        <v>Montanaire</v>
      </c>
      <c r="C178" s="10">
        <f>'A) Base RI'!C178+'A) Base RI'!D178</f>
        <v>4722195.9499999993</v>
      </c>
      <c r="D178" s="10">
        <f>'A) Base RI'!W178</f>
        <v>-212044.27</v>
      </c>
      <c r="E178" s="397">
        <f>'A) Base RI'!X178</f>
        <v>0</v>
      </c>
      <c r="F178" s="397">
        <f>'A) Base RI'!Y178</f>
        <v>-281.23</v>
      </c>
      <c r="G178" s="405">
        <f t="shared" si="12"/>
        <v>4509870.4499999993</v>
      </c>
      <c r="H178" s="10">
        <f>+'A) Base RI'!E178</f>
        <v>0</v>
      </c>
      <c r="I178" s="10">
        <f>+'A) Base RI'!F178</f>
        <v>0</v>
      </c>
      <c r="J178" s="10">
        <f>+'A) Base RI'!G178+'A) Base RI'!H178+'A) Base RI'!I178</f>
        <v>12687.873071850681</v>
      </c>
      <c r="K178" s="10">
        <f>+'A) Base RI'!J178</f>
        <v>0</v>
      </c>
      <c r="L178" s="10">
        <f>+'A) Base RI'!K178</f>
        <v>77341.009999999995</v>
      </c>
      <c r="M178" s="10">
        <f>+'A) Base RI'!L178</f>
        <v>885.8</v>
      </c>
      <c r="N178" s="10">
        <f>+'A) Base RI'!R178</f>
        <v>94603.39</v>
      </c>
      <c r="O178" s="10">
        <f t="shared" si="13"/>
        <v>379238.3</v>
      </c>
      <c r="P178" s="10">
        <f>+'A) Base RI'!M178</f>
        <v>379238.3</v>
      </c>
      <c r="Q178" s="413">
        <f>'A) Base RI'!Z178</f>
        <v>1</v>
      </c>
      <c r="R178" s="405">
        <f t="shared" si="14"/>
        <v>5074626.8230718486</v>
      </c>
      <c r="S178" s="401">
        <f>+'A) Base RI'!U178</f>
        <v>72</v>
      </c>
      <c r="T178" s="405">
        <f t="shared" si="15"/>
        <v>4694502.723071849</v>
      </c>
      <c r="U178" s="405">
        <f t="shared" si="16"/>
        <v>70480.928098220116</v>
      </c>
      <c r="V178" s="10">
        <f>+'A) Base RI'!P178</f>
        <v>13396.8</v>
      </c>
      <c r="W178" s="10">
        <f>+'A) Base RI'!Q178</f>
        <v>155186.5</v>
      </c>
      <c r="X178" s="10">
        <f>+'A) Base RI'!S178</f>
        <v>155158.9</v>
      </c>
      <c r="Y178" s="405">
        <f t="shared" si="17"/>
        <v>323742.19999999995</v>
      </c>
      <c r="Z178" s="10">
        <f>+'A) Base RI'!O178</f>
        <v>22355.5</v>
      </c>
      <c r="AA178" s="10">
        <f>'A) Base RI'!V178</f>
        <v>2717</v>
      </c>
    </row>
    <row r="179" spans="1:27" x14ac:dyDescent="0.25">
      <c r="A179" s="8">
        <f>'A) Base RI'!A179</f>
        <v>5701</v>
      </c>
      <c r="B179" s="32" t="str">
        <f>'A) Base RI'!B179</f>
        <v>Arnex-sur-Nyon</v>
      </c>
      <c r="C179" s="10">
        <f>'A) Base RI'!C179+'A) Base RI'!D179</f>
        <v>658935.77</v>
      </c>
      <c r="D179" s="10">
        <f>'A) Base RI'!W179</f>
        <v>-12788.5</v>
      </c>
      <c r="E179" s="397">
        <f>'A) Base RI'!X179</f>
        <v>0</v>
      </c>
      <c r="F179" s="397">
        <f>'A) Base RI'!Y179</f>
        <v>-408.19</v>
      </c>
      <c r="G179" s="405">
        <f t="shared" si="12"/>
        <v>645739.08000000007</v>
      </c>
      <c r="H179" s="10">
        <f>+'A) Base RI'!E179</f>
        <v>0</v>
      </c>
      <c r="I179" s="10">
        <f>+'A) Base RI'!F179</f>
        <v>0</v>
      </c>
      <c r="J179" s="10">
        <f>+'A) Base RI'!G179+'A) Base RI'!H179+'A) Base RI'!I179</f>
        <v>45413.312795978287</v>
      </c>
      <c r="K179" s="10">
        <f>+'A) Base RI'!J179</f>
        <v>68770.899999999994</v>
      </c>
      <c r="L179" s="10">
        <f>+'A) Base RI'!K179</f>
        <v>18865.12</v>
      </c>
      <c r="M179" s="10">
        <f>+'A) Base RI'!L179</f>
        <v>-496.75</v>
      </c>
      <c r="N179" s="10">
        <f>+'A) Base RI'!R179</f>
        <v>0</v>
      </c>
      <c r="O179" s="10">
        <f t="shared" si="13"/>
        <v>69702.100000000006</v>
      </c>
      <c r="P179" s="10">
        <f>+'A) Base RI'!M179</f>
        <v>69702.100000000006</v>
      </c>
      <c r="Q179" s="413">
        <f>'A) Base RI'!Z179</f>
        <v>1</v>
      </c>
      <c r="R179" s="405">
        <f t="shared" si="14"/>
        <v>847993.76279597834</v>
      </c>
      <c r="S179" s="401">
        <f>+'A) Base RI'!U179</f>
        <v>70</v>
      </c>
      <c r="T179" s="405">
        <f t="shared" si="15"/>
        <v>778788.41279597837</v>
      </c>
      <c r="U179" s="405">
        <f t="shared" si="16"/>
        <v>12114.196611371119</v>
      </c>
      <c r="V179" s="10">
        <f>+'A) Base RI'!P179</f>
        <v>30548.400000000001</v>
      </c>
      <c r="W179" s="10">
        <f>+'A) Base RI'!Q179</f>
        <v>11565.4</v>
      </c>
      <c r="X179" s="10">
        <f>+'A) Base RI'!S179</f>
        <v>0</v>
      </c>
      <c r="Y179" s="405">
        <f t="shared" si="17"/>
        <v>42113.8</v>
      </c>
      <c r="Z179" s="10">
        <f>+'A) Base RI'!O179</f>
        <v>0</v>
      </c>
      <c r="AA179" s="10">
        <f>'A) Base RI'!V179</f>
        <v>229</v>
      </c>
    </row>
    <row r="180" spans="1:27" x14ac:dyDescent="0.25">
      <c r="A180" s="8">
        <f>'A) Base RI'!A180</f>
        <v>5702</v>
      </c>
      <c r="B180" s="32" t="str">
        <f>'A) Base RI'!B180</f>
        <v>Arzier-Le Muids</v>
      </c>
      <c r="C180" s="10">
        <f>'A) Base RI'!C180+'A) Base RI'!D180</f>
        <v>9534691.9199999999</v>
      </c>
      <c r="D180" s="10">
        <f>'A) Base RI'!W180</f>
        <v>-97536.73</v>
      </c>
      <c r="E180" s="397">
        <f>'A) Base RI'!X180</f>
        <v>0</v>
      </c>
      <c r="F180" s="397">
        <f>'A) Base RI'!Y180</f>
        <v>-25255.599999999999</v>
      </c>
      <c r="G180" s="405">
        <f t="shared" si="12"/>
        <v>9411899.5899999999</v>
      </c>
      <c r="H180" s="10">
        <f>+'A) Base RI'!E180</f>
        <v>0</v>
      </c>
      <c r="I180" s="10">
        <f>+'A) Base RI'!F180</f>
        <v>0</v>
      </c>
      <c r="J180" s="10">
        <f>+'A) Base RI'!G180+'A) Base RI'!H180+'A) Base RI'!I180</f>
        <v>464510.36068190704</v>
      </c>
      <c r="K180" s="10">
        <f>+'A) Base RI'!J180</f>
        <v>408952.26</v>
      </c>
      <c r="L180" s="10">
        <f>+'A) Base RI'!K180</f>
        <v>46710.89</v>
      </c>
      <c r="M180" s="10">
        <f>+'A) Base RI'!L180</f>
        <v>12753.15</v>
      </c>
      <c r="N180" s="10">
        <f>+'A) Base RI'!R180</f>
        <v>32415.46</v>
      </c>
      <c r="O180" s="10">
        <f t="shared" si="13"/>
        <v>788234.66666666663</v>
      </c>
      <c r="P180" s="10">
        <f>+'A) Base RI'!M180</f>
        <v>1182352</v>
      </c>
      <c r="Q180" s="413">
        <f>'A) Base RI'!Z180</f>
        <v>1.5</v>
      </c>
      <c r="R180" s="405">
        <f t="shared" si="14"/>
        <v>11165476.377348574</v>
      </c>
      <c r="S180" s="401">
        <f>+'A) Base RI'!U180</f>
        <v>64</v>
      </c>
      <c r="T180" s="405">
        <f t="shared" si="15"/>
        <v>10364488.560681907</v>
      </c>
      <c r="U180" s="405">
        <f t="shared" si="16"/>
        <v>174460.56839607147</v>
      </c>
      <c r="V180" s="10">
        <f>+'A) Base RI'!P180</f>
        <v>113223.5</v>
      </c>
      <c r="W180" s="10">
        <f>+'A) Base RI'!Q180</f>
        <v>791698.1</v>
      </c>
      <c r="X180" s="10">
        <f>+'A) Base RI'!S180</f>
        <v>405610.55</v>
      </c>
      <c r="Y180" s="405">
        <f t="shared" si="17"/>
        <v>1310532.1499999999</v>
      </c>
      <c r="Z180" s="10">
        <f>+'A) Base RI'!O180</f>
        <v>56289.4</v>
      </c>
      <c r="AA180" s="10">
        <f>'A) Base RI'!V180</f>
        <v>2801</v>
      </c>
    </row>
    <row r="181" spans="1:27" x14ac:dyDescent="0.25">
      <c r="A181" s="8">
        <f>'A) Base RI'!A181</f>
        <v>5703</v>
      </c>
      <c r="B181" s="32" t="str">
        <f>'A) Base RI'!B181</f>
        <v>Bassins</v>
      </c>
      <c r="C181" s="10">
        <f>'A) Base RI'!C181+'A) Base RI'!D181</f>
        <v>3963352.65</v>
      </c>
      <c r="D181" s="10">
        <f>'A) Base RI'!W181</f>
        <v>-74973.509999999995</v>
      </c>
      <c r="E181" s="397">
        <f>'A) Base RI'!X181</f>
        <v>0</v>
      </c>
      <c r="F181" s="397">
        <f>'A) Base RI'!Y181</f>
        <v>-962.97</v>
      </c>
      <c r="G181" s="405">
        <f t="shared" si="12"/>
        <v>3887416.17</v>
      </c>
      <c r="H181" s="10">
        <f>+'A) Base RI'!E181</f>
        <v>0</v>
      </c>
      <c r="I181" s="10">
        <f>+'A) Base RI'!F181</f>
        <v>0</v>
      </c>
      <c r="J181" s="10">
        <f>+'A) Base RI'!G181+'A) Base RI'!H181+'A) Base RI'!I181</f>
        <v>17225.486429799763</v>
      </c>
      <c r="K181" s="10">
        <f>+'A) Base RI'!J181</f>
        <v>33499.1</v>
      </c>
      <c r="L181" s="10">
        <f>+'A) Base RI'!K181</f>
        <v>109867.44</v>
      </c>
      <c r="M181" s="10">
        <f>+'A) Base RI'!L181</f>
        <v>610.79999999999995</v>
      </c>
      <c r="N181" s="10">
        <f>+'A) Base RI'!R181</f>
        <v>742.12</v>
      </c>
      <c r="O181" s="10">
        <f t="shared" si="13"/>
        <v>311870.35714285716</v>
      </c>
      <c r="P181" s="10">
        <f>+'A) Base RI'!M181</f>
        <v>436618.5</v>
      </c>
      <c r="Q181" s="413">
        <f>'A) Base RI'!Z181</f>
        <v>1.4</v>
      </c>
      <c r="R181" s="405">
        <f t="shared" si="14"/>
        <v>4361231.4735726565</v>
      </c>
      <c r="S181" s="401">
        <f>+'A) Base RI'!U181</f>
        <v>74</v>
      </c>
      <c r="T181" s="405">
        <f t="shared" si="15"/>
        <v>4048750.3164297999</v>
      </c>
      <c r="U181" s="405">
        <f t="shared" si="16"/>
        <v>58935.560453684549</v>
      </c>
      <c r="V181" s="10">
        <f>+'A) Base RI'!P181</f>
        <v>103271.2</v>
      </c>
      <c r="W181" s="10">
        <f>+'A) Base RI'!Q181</f>
        <v>175898.55</v>
      </c>
      <c r="X181" s="10">
        <f>+'A) Base RI'!S181</f>
        <v>57400.1</v>
      </c>
      <c r="Y181" s="405">
        <f t="shared" si="17"/>
        <v>336569.85</v>
      </c>
      <c r="Z181" s="10">
        <f>+'A) Base RI'!O181</f>
        <v>23240.400000000001</v>
      </c>
      <c r="AA181" s="10">
        <f>'A) Base RI'!V181</f>
        <v>1395</v>
      </c>
    </row>
    <row r="182" spans="1:27" x14ac:dyDescent="0.25">
      <c r="A182" s="8">
        <f>'A) Base RI'!A182</f>
        <v>5704</v>
      </c>
      <c r="B182" s="32" t="str">
        <f>'A) Base RI'!B182</f>
        <v>Begnins</v>
      </c>
      <c r="C182" s="10">
        <f>'A) Base RI'!C182+'A) Base RI'!D182</f>
        <v>7315062.1499999994</v>
      </c>
      <c r="D182" s="10">
        <f>'A) Base RI'!W182</f>
        <v>-100052.17</v>
      </c>
      <c r="E182" s="397">
        <f>'A) Base RI'!X182</f>
        <v>0</v>
      </c>
      <c r="F182" s="397">
        <f>'A) Base RI'!Y182</f>
        <v>-150278.01999999999</v>
      </c>
      <c r="G182" s="405">
        <f t="shared" si="12"/>
        <v>7064731.96</v>
      </c>
      <c r="H182" s="10">
        <f>+'A) Base RI'!E182</f>
        <v>0</v>
      </c>
      <c r="I182" s="10">
        <f>+'A) Base RI'!F182</f>
        <v>0</v>
      </c>
      <c r="J182" s="10">
        <f>+'A) Base RI'!G182+'A) Base RI'!H182+'A) Base RI'!I182</f>
        <v>135046.87482030943</v>
      </c>
      <c r="K182" s="10">
        <f>+'A) Base RI'!J182</f>
        <v>427515.55</v>
      </c>
      <c r="L182" s="10">
        <f>+'A) Base RI'!K182</f>
        <v>119653.12</v>
      </c>
      <c r="M182" s="10">
        <f>+'A) Base RI'!L182</f>
        <v>14444.5</v>
      </c>
      <c r="N182" s="10">
        <f>+'A) Base RI'!R182</f>
        <v>16688.71</v>
      </c>
      <c r="O182" s="10">
        <f t="shared" si="13"/>
        <v>510484.33333333331</v>
      </c>
      <c r="P182" s="10">
        <f>+'A) Base RI'!M182</f>
        <v>765726.5</v>
      </c>
      <c r="Q182" s="413">
        <f>'A) Base RI'!Z182</f>
        <v>1.5</v>
      </c>
      <c r="R182" s="405">
        <f t="shared" si="14"/>
        <v>8288565.0481536426</v>
      </c>
      <c r="S182" s="401">
        <f>+'A) Base RI'!U182</f>
        <v>64</v>
      </c>
      <c r="T182" s="405">
        <f t="shared" si="15"/>
        <v>7763636.2148203095</v>
      </c>
      <c r="U182" s="405">
        <f t="shared" si="16"/>
        <v>129508.82887740067</v>
      </c>
      <c r="V182" s="10">
        <f>+'A) Base RI'!P182</f>
        <v>93498.5</v>
      </c>
      <c r="W182" s="10">
        <f>+'A) Base RI'!Q182</f>
        <v>301834.65000000002</v>
      </c>
      <c r="X182" s="10">
        <f>+'A) Base RI'!S182</f>
        <v>205732.7</v>
      </c>
      <c r="Y182" s="405">
        <f t="shared" si="17"/>
        <v>601065.85000000009</v>
      </c>
      <c r="Z182" s="10">
        <f>+'A) Base RI'!O182</f>
        <v>49246.95</v>
      </c>
      <c r="AA182" s="10">
        <f>'A) Base RI'!V182</f>
        <v>1931</v>
      </c>
    </row>
    <row r="183" spans="1:27" x14ac:dyDescent="0.25">
      <c r="A183" s="8">
        <f>'A) Base RI'!A183</f>
        <v>5705</v>
      </c>
      <c r="B183" s="32" t="str">
        <f>'A) Base RI'!B183</f>
        <v>Bogis-Bossey</v>
      </c>
      <c r="C183" s="10">
        <f>'A) Base RI'!C183+'A) Base RI'!D183</f>
        <v>3354472.17</v>
      </c>
      <c r="D183" s="10">
        <f>'A) Base RI'!W183</f>
        <v>-5748.53</v>
      </c>
      <c r="E183" s="397">
        <f>'A) Base RI'!X183</f>
        <v>0</v>
      </c>
      <c r="F183" s="397">
        <f>'A) Base RI'!Y183</f>
        <v>-25224.7</v>
      </c>
      <c r="G183" s="405">
        <f t="shared" si="12"/>
        <v>3323498.94</v>
      </c>
      <c r="H183" s="10">
        <f>+'A) Base RI'!E183</f>
        <v>0</v>
      </c>
      <c r="I183" s="10">
        <f>+'A) Base RI'!F183</f>
        <v>0</v>
      </c>
      <c r="J183" s="10">
        <f>+'A) Base RI'!G183+'A) Base RI'!H183+'A) Base RI'!I183</f>
        <v>16063.847480662371</v>
      </c>
      <c r="K183" s="10">
        <f>+'A) Base RI'!J183</f>
        <v>33742.699999999997</v>
      </c>
      <c r="L183" s="10">
        <f>+'A) Base RI'!K183</f>
        <v>620.73</v>
      </c>
      <c r="M183" s="10">
        <f>+'A) Base RI'!L183</f>
        <v>9128.25</v>
      </c>
      <c r="N183" s="10">
        <f>+'A) Base RI'!R183</f>
        <v>0</v>
      </c>
      <c r="O183" s="10">
        <f t="shared" si="13"/>
        <v>219345.45</v>
      </c>
      <c r="P183" s="10">
        <f>+'A) Base RI'!M183</f>
        <v>219345.45</v>
      </c>
      <c r="Q183" s="413">
        <f>'A) Base RI'!Z183</f>
        <v>1</v>
      </c>
      <c r="R183" s="405">
        <f t="shared" si="14"/>
        <v>3602399.9174806625</v>
      </c>
      <c r="S183" s="401">
        <f>+'A) Base RI'!U183</f>
        <v>76</v>
      </c>
      <c r="T183" s="405">
        <f t="shared" si="15"/>
        <v>3373926.2174806623</v>
      </c>
      <c r="U183" s="405">
        <f t="shared" si="16"/>
        <v>47399.998914219243</v>
      </c>
      <c r="V183" s="10">
        <f>+'A) Base RI'!P183</f>
        <v>0</v>
      </c>
      <c r="W183" s="10">
        <f>+'A) Base RI'!Q183</f>
        <v>131958.75</v>
      </c>
      <c r="X183" s="10">
        <f>+'A) Base RI'!S183</f>
        <v>176488.7</v>
      </c>
      <c r="Y183" s="405">
        <f t="shared" si="17"/>
        <v>308447.45</v>
      </c>
      <c r="Z183" s="10">
        <f>+'A) Base RI'!O183</f>
        <v>26663.15</v>
      </c>
      <c r="AA183" s="10">
        <f>'A) Base RI'!V183</f>
        <v>825</v>
      </c>
    </row>
    <row r="184" spans="1:27" x14ac:dyDescent="0.25">
      <c r="A184" s="8">
        <f>'A) Base RI'!A184</f>
        <v>5706</v>
      </c>
      <c r="B184" s="32" t="str">
        <f>'A) Base RI'!B184</f>
        <v>Borex</v>
      </c>
      <c r="C184" s="10">
        <f>'A) Base RI'!C184+'A) Base RI'!D184</f>
        <v>3986356.37</v>
      </c>
      <c r="D184" s="10">
        <f>'A) Base RI'!W184</f>
        <v>-20986.82</v>
      </c>
      <c r="E184" s="397">
        <f>'A) Base RI'!X184</f>
        <v>0</v>
      </c>
      <c r="F184" s="397">
        <f>'A) Base RI'!Y184</f>
        <v>-6025.35</v>
      </c>
      <c r="G184" s="405">
        <f t="shared" si="12"/>
        <v>3959344.2</v>
      </c>
      <c r="H184" s="10">
        <f>+'A) Base RI'!E184</f>
        <v>0</v>
      </c>
      <c r="I184" s="10">
        <f>+'A) Base RI'!F184</f>
        <v>0</v>
      </c>
      <c r="J184" s="10">
        <f>+'A) Base RI'!G184+'A) Base RI'!H184+'A) Base RI'!I184</f>
        <v>52564.811251182553</v>
      </c>
      <c r="K184" s="10">
        <f>+'A) Base RI'!J184</f>
        <v>0</v>
      </c>
      <c r="L184" s="10">
        <f>+'A) Base RI'!K184</f>
        <v>127826.57</v>
      </c>
      <c r="M184" s="10">
        <f>+'A) Base RI'!L184</f>
        <v>18825.8</v>
      </c>
      <c r="N184" s="10">
        <f>+'A) Base RI'!R184</f>
        <v>0</v>
      </c>
      <c r="O184" s="10">
        <f t="shared" si="13"/>
        <v>291914.3</v>
      </c>
      <c r="P184" s="10">
        <f>+'A) Base RI'!M184</f>
        <v>437871.45</v>
      </c>
      <c r="Q184" s="413">
        <f>'A) Base RI'!Z184</f>
        <v>1.5</v>
      </c>
      <c r="R184" s="405">
        <f t="shared" si="14"/>
        <v>4450475.6812511822</v>
      </c>
      <c r="S184" s="401">
        <f>+'A) Base RI'!U184</f>
        <v>58</v>
      </c>
      <c r="T184" s="405">
        <f t="shared" si="15"/>
        <v>4139735.5812511826</v>
      </c>
      <c r="U184" s="405">
        <f t="shared" si="16"/>
        <v>76732.339331916941</v>
      </c>
      <c r="V184" s="10">
        <f>+'A) Base RI'!P184</f>
        <v>0</v>
      </c>
      <c r="W184" s="10">
        <f>+'A) Base RI'!Q184</f>
        <v>111051.6</v>
      </c>
      <c r="X184" s="10">
        <f>+'A) Base RI'!S184</f>
        <v>124492.5</v>
      </c>
      <c r="Y184" s="405">
        <f t="shared" si="17"/>
        <v>235544.1</v>
      </c>
      <c r="Z184" s="10">
        <f>+'A) Base RI'!O184</f>
        <v>9244.4</v>
      </c>
      <c r="AA184" s="10">
        <f>'A) Base RI'!V184</f>
        <v>1132</v>
      </c>
    </row>
    <row r="185" spans="1:27" x14ac:dyDescent="0.25">
      <c r="A185" s="8">
        <f>'A) Base RI'!A185</f>
        <v>5707</v>
      </c>
      <c r="B185" s="32" t="str">
        <f>'A) Base RI'!B185</f>
        <v>Chavannes-de-Bogis</v>
      </c>
      <c r="C185" s="10">
        <f>'A) Base RI'!C185+'A) Base RI'!D185</f>
        <v>3887285.65</v>
      </c>
      <c r="D185" s="10">
        <f>'A) Base RI'!W185</f>
        <v>-7689.16</v>
      </c>
      <c r="E185" s="397">
        <f>'A) Base RI'!X185</f>
        <v>0</v>
      </c>
      <c r="F185" s="397">
        <f>'A) Base RI'!Y185</f>
        <v>-1790.64</v>
      </c>
      <c r="G185" s="405">
        <f t="shared" si="12"/>
        <v>3877805.8499999996</v>
      </c>
      <c r="H185" s="10">
        <f>+'A) Base RI'!E185</f>
        <v>0</v>
      </c>
      <c r="I185" s="10">
        <f>+'A) Base RI'!F185</f>
        <v>0</v>
      </c>
      <c r="J185" s="10">
        <f>+'A) Base RI'!G185+'A) Base RI'!H185+'A) Base RI'!I185</f>
        <v>194664.11517289898</v>
      </c>
      <c r="K185" s="10">
        <f>+'A) Base RI'!J185</f>
        <v>38591.15</v>
      </c>
      <c r="L185" s="10">
        <f>+'A) Base RI'!K185</f>
        <v>104652.25</v>
      </c>
      <c r="M185" s="10">
        <f>+'A) Base RI'!L185</f>
        <v>60418.7</v>
      </c>
      <c r="N185" s="10">
        <f>+'A) Base RI'!R185</f>
        <v>0</v>
      </c>
      <c r="O185" s="10">
        <f t="shared" si="13"/>
        <v>469454.60000000003</v>
      </c>
      <c r="P185" s="10">
        <f>+'A) Base RI'!M185</f>
        <v>704181.9</v>
      </c>
      <c r="Q185" s="413">
        <f>'A) Base RI'!Z185</f>
        <v>1.5</v>
      </c>
      <c r="R185" s="405">
        <f t="shared" si="14"/>
        <v>4745586.6651728982</v>
      </c>
      <c r="S185" s="401">
        <f>+'A) Base RI'!U185</f>
        <v>59</v>
      </c>
      <c r="T185" s="405">
        <f t="shared" si="15"/>
        <v>4215713.3651728984</v>
      </c>
      <c r="U185" s="405">
        <f t="shared" si="16"/>
        <v>80433.672291066076</v>
      </c>
      <c r="V185" s="10">
        <f>+'A) Base RI'!P185</f>
        <v>0</v>
      </c>
      <c r="W185" s="10">
        <f>+'A) Base RI'!Q185</f>
        <v>202039.75</v>
      </c>
      <c r="X185" s="10">
        <f>+'A) Base RI'!S185</f>
        <v>149086.04999999999</v>
      </c>
      <c r="Y185" s="405">
        <f t="shared" si="17"/>
        <v>351125.8</v>
      </c>
      <c r="Z185" s="10">
        <f>+'A) Base RI'!O185</f>
        <v>690372.3</v>
      </c>
      <c r="AA185" s="10">
        <f>'A) Base RI'!V185</f>
        <v>1357</v>
      </c>
    </row>
    <row r="186" spans="1:27" x14ac:dyDescent="0.25">
      <c r="A186" s="8">
        <f>'A) Base RI'!A186</f>
        <v>5708</v>
      </c>
      <c r="B186" s="32" t="str">
        <f>'A) Base RI'!B186</f>
        <v>Chavannes-des-Bois</v>
      </c>
      <c r="C186" s="10">
        <f>'A) Base RI'!C186+'A) Base RI'!D186</f>
        <v>3952976.97</v>
      </c>
      <c r="D186" s="10">
        <f>'A) Base RI'!W186</f>
        <v>-12920.05</v>
      </c>
      <c r="E186" s="397">
        <f>'A) Base RI'!X186</f>
        <v>0</v>
      </c>
      <c r="F186" s="397">
        <f>'A) Base RI'!Y186</f>
        <v>-2776.99</v>
      </c>
      <c r="G186" s="405">
        <f t="shared" si="12"/>
        <v>3937279.93</v>
      </c>
      <c r="H186" s="10">
        <f>+'A) Base RI'!E186</f>
        <v>0</v>
      </c>
      <c r="I186" s="10">
        <f>+'A) Base RI'!F186</f>
        <v>0</v>
      </c>
      <c r="J186" s="10">
        <f>+'A) Base RI'!G186+'A) Base RI'!H186+'A) Base RI'!I186</f>
        <v>1185.5036055475459</v>
      </c>
      <c r="K186" s="10">
        <f>+'A) Base RI'!J186</f>
        <v>17.350000000005799</v>
      </c>
      <c r="L186" s="10">
        <f>+'A) Base RI'!K186</f>
        <v>170753.68</v>
      </c>
      <c r="M186" s="10">
        <f>+'A) Base RI'!L186</f>
        <v>4383.1499999999996</v>
      </c>
      <c r="N186" s="10">
        <f>+'A) Base RI'!R186</f>
        <v>0</v>
      </c>
      <c r="O186" s="10">
        <f t="shared" si="13"/>
        <v>284185.2</v>
      </c>
      <c r="P186" s="10">
        <f>+'A) Base RI'!M186</f>
        <v>426277.8</v>
      </c>
      <c r="Q186" s="413">
        <f>'A) Base RI'!Z186</f>
        <v>1.5</v>
      </c>
      <c r="R186" s="405">
        <f t="shared" si="14"/>
        <v>4397804.8136055479</v>
      </c>
      <c r="S186" s="401">
        <f>+'A) Base RI'!U186</f>
        <v>68</v>
      </c>
      <c r="T186" s="405">
        <f t="shared" si="15"/>
        <v>4109236.4636055478</v>
      </c>
      <c r="U186" s="405">
        <f t="shared" si="16"/>
        <v>64673.600200081586</v>
      </c>
      <c r="V186" s="10">
        <f>+'A) Base RI'!P186</f>
        <v>0</v>
      </c>
      <c r="W186" s="10">
        <f>+'A) Base RI'!Q186</f>
        <v>346401.1</v>
      </c>
      <c r="X186" s="10">
        <f>+'A) Base RI'!S186</f>
        <v>130515.85</v>
      </c>
      <c r="Y186" s="405">
        <f t="shared" si="17"/>
        <v>476916.94999999995</v>
      </c>
      <c r="Z186" s="10">
        <f>+'A) Base RI'!O186</f>
        <v>2082.3000000000002</v>
      </c>
      <c r="AA186" s="10">
        <f>'A) Base RI'!V186</f>
        <v>960</v>
      </c>
    </row>
    <row r="187" spans="1:27" x14ac:dyDescent="0.25">
      <c r="A187" s="8">
        <f>'A) Base RI'!A187</f>
        <v>5709</v>
      </c>
      <c r="B187" s="32" t="str">
        <f>'A) Base RI'!B187</f>
        <v>Chéserex</v>
      </c>
      <c r="C187" s="10">
        <f>'A) Base RI'!C187+'A) Base RI'!D187</f>
        <v>4651391.24</v>
      </c>
      <c r="D187" s="10">
        <f>'A) Base RI'!W187</f>
        <v>-27100.03</v>
      </c>
      <c r="E187" s="397">
        <f>'A) Base RI'!X187</f>
        <v>0</v>
      </c>
      <c r="F187" s="397">
        <f>'A) Base RI'!Y187</f>
        <v>-28486.15</v>
      </c>
      <c r="G187" s="405">
        <f t="shared" si="12"/>
        <v>4595805.0599999996</v>
      </c>
      <c r="H187" s="10">
        <f>+'A) Base RI'!E187</f>
        <v>0</v>
      </c>
      <c r="I187" s="10">
        <f>+'A) Base RI'!F187</f>
        <v>0</v>
      </c>
      <c r="J187" s="10">
        <f>+'A) Base RI'!G187+'A) Base RI'!H187+'A) Base RI'!I187</f>
        <v>24711.146492373649</v>
      </c>
      <c r="K187" s="10">
        <f>+'A) Base RI'!J187</f>
        <v>507817.55</v>
      </c>
      <c r="L187" s="10">
        <f>+'A) Base RI'!K187</f>
        <v>39511.449999999997</v>
      </c>
      <c r="M187" s="10">
        <f>+'A) Base RI'!L187</f>
        <v>3269.95</v>
      </c>
      <c r="N187" s="10">
        <f>+'A) Base RI'!R187</f>
        <v>4636.7299999999996</v>
      </c>
      <c r="O187" s="10">
        <f t="shared" si="13"/>
        <v>334185.3</v>
      </c>
      <c r="P187" s="10">
        <f>+'A) Base RI'!M187</f>
        <v>334185.3</v>
      </c>
      <c r="Q187" s="413">
        <f>'A) Base RI'!Z187</f>
        <v>1</v>
      </c>
      <c r="R187" s="405">
        <f t="shared" si="14"/>
        <v>5509937.1864923732</v>
      </c>
      <c r="S187" s="401">
        <f>+'A) Base RI'!U187</f>
        <v>57</v>
      </c>
      <c r="T187" s="405">
        <f t="shared" si="15"/>
        <v>5172481.9364923732</v>
      </c>
      <c r="U187" s="405">
        <f t="shared" si="16"/>
        <v>96665.564675304791</v>
      </c>
      <c r="V187" s="10">
        <f>+'A) Base RI'!P187</f>
        <v>86653</v>
      </c>
      <c r="W187" s="10">
        <f>+'A) Base RI'!Q187</f>
        <v>341376</v>
      </c>
      <c r="X187" s="10">
        <f>+'A) Base RI'!S187</f>
        <v>178548.8</v>
      </c>
      <c r="Y187" s="405">
        <f t="shared" si="17"/>
        <v>606577.80000000005</v>
      </c>
      <c r="Z187" s="10">
        <f>+'A) Base RI'!O187</f>
        <v>40088.300000000003</v>
      </c>
      <c r="AA187" s="10">
        <f>'A) Base RI'!V187</f>
        <v>1238</v>
      </c>
    </row>
    <row r="188" spans="1:27" x14ac:dyDescent="0.25">
      <c r="A188" s="8">
        <f>'A) Base RI'!A188</f>
        <v>5710</v>
      </c>
      <c r="B188" s="32" t="str">
        <f>'A) Base RI'!B188</f>
        <v>Coinsins</v>
      </c>
      <c r="C188" s="10">
        <f>'A) Base RI'!C188+'A) Base RI'!D188</f>
        <v>757582.25</v>
      </c>
      <c r="D188" s="10">
        <f>'A) Base RI'!W188</f>
        <v>-13637.42</v>
      </c>
      <c r="E188" s="397">
        <f>'A) Base RI'!X188</f>
        <v>0</v>
      </c>
      <c r="F188" s="397">
        <f>'A) Base RI'!Y188</f>
        <v>-26741.74</v>
      </c>
      <c r="G188" s="405">
        <f t="shared" si="12"/>
        <v>717203.09</v>
      </c>
      <c r="H188" s="10">
        <f>+'A) Base RI'!E188</f>
        <v>0</v>
      </c>
      <c r="I188" s="10">
        <f>+'A) Base RI'!F188</f>
        <v>0</v>
      </c>
      <c r="J188" s="10">
        <f>+'A) Base RI'!G188+'A) Base RI'!H188+'A) Base RI'!I188</f>
        <v>4922219.3200422749</v>
      </c>
      <c r="K188" s="10">
        <f>+'A) Base RI'!J188</f>
        <v>110957.8</v>
      </c>
      <c r="L188" s="10">
        <f>+'A) Base RI'!K188</f>
        <v>58616.94</v>
      </c>
      <c r="M188" s="10">
        <f>+'A) Base RI'!L188</f>
        <v>5052.8999999999996</v>
      </c>
      <c r="N188" s="10">
        <f>+'A) Base RI'!R188</f>
        <v>8314.25</v>
      </c>
      <c r="O188" s="10">
        <f t="shared" si="13"/>
        <v>130458.2</v>
      </c>
      <c r="P188" s="10">
        <f>+'A) Base RI'!M188</f>
        <v>130458.2</v>
      </c>
      <c r="Q188" s="413">
        <f>'A) Base RI'!Z188</f>
        <v>1</v>
      </c>
      <c r="R188" s="405">
        <f t="shared" si="14"/>
        <v>5952822.5000422755</v>
      </c>
      <c r="S188" s="401">
        <f>+'A) Base RI'!U188</f>
        <v>51</v>
      </c>
      <c r="T188" s="405">
        <f t="shared" si="15"/>
        <v>5817311.400042275</v>
      </c>
      <c r="U188" s="405">
        <f t="shared" si="16"/>
        <v>116722.0098047505</v>
      </c>
      <c r="V188" s="10">
        <f>+'A) Base RI'!P188</f>
        <v>0</v>
      </c>
      <c r="W188" s="10">
        <f>+'A) Base RI'!Q188</f>
        <v>57629</v>
      </c>
      <c r="X188" s="10">
        <f>+'A) Base RI'!S188</f>
        <v>58607.4</v>
      </c>
      <c r="Y188" s="405">
        <f t="shared" si="17"/>
        <v>116236.4</v>
      </c>
      <c r="Z188" s="10">
        <f>+'A) Base RI'!O188</f>
        <v>58083.9</v>
      </c>
      <c r="AA188" s="10">
        <f>'A) Base RI'!V188</f>
        <v>494</v>
      </c>
    </row>
    <row r="189" spans="1:27" x14ac:dyDescent="0.25">
      <c r="A189" s="8">
        <f>'A) Base RI'!A189</f>
        <v>5711</v>
      </c>
      <c r="B189" s="32" t="str">
        <f>'A) Base RI'!B189</f>
        <v>Commugny</v>
      </c>
      <c r="C189" s="10">
        <f>'A) Base RI'!C189+'A) Base RI'!D189</f>
        <v>13717414.800000001</v>
      </c>
      <c r="D189" s="10">
        <f>'A) Base RI'!W189</f>
        <v>-114347.05</v>
      </c>
      <c r="E189" s="397">
        <f>'A) Base RI'!X189</f>
        <v>0</v>
      </c>
      <c r="F189" s="397">
        <f>'A) Base RI'!Y189</f>
        <v>-162910.26999999999</v>
      </c>
      <c r="G189" s="405">
        <f t="shared" si="12"/>
        <v>13440157.48</v>
      </c>
      <c r="H189" s="10">
        <f>+'A) Base RI'!E189</f>
        <v>0</v>
      </c>
      <c r="I189" s="10">
        <f>+'A) Base RI'!F189</f>
        <v>0</v>
      </c>
      <c r="J189" s="10">
        <f>+'A) Base RI'!G189+'A) Base RI'!H189+'A) Base RI'!I189</f>
        <v>101177.68053494519</v>
      </c>
      <c r="K189" s="10">
        <f>+'A) Base RI'!J189</f>
        <v>207489.45</v>
      </c>
      <c r="L189" s="10">
        <f>+'A) Base RI'!K189</f>
        <v>-6677.29</v>
      </c>
      <c r="M189" s="10">
        <f>+'A) Base RI'!L189</f>
        <v>15537.15</v>
      </c>
      <c r="N189" s="10">
        <f>+'A) Base RI'!R189</f>
        <v>39963.14</v>
      </c>
      <c r="O189" s="10">
        <f t="shared" si="13"/>
        <v>876830.61538461538</v>
      </c>
      <c r="P189" s="10">
        <f>+'A) Base RI'!M189</f>
        <v>1139879.8</v>
      </c>
      <c r="Q189" s="413">
        <f>'A) Base RI'!Z189</f>
        <v>1.3</v>
      </c>
      <c r="R189" s="405">
        <f t="shared" si="14"/>
        <v>14674478.225919563</v>
      </c>
      <c r="S189" s="401">
        <f>+'A) Base RI'!U189</f>
        <v>57</v>
      </c>
      <c r="T189" s="405">
        <f t="shared" si="15"/>
        <v>13782110.460534947</v>
      </c>
      <c r="U189" s="405">
        <f t="shared" si="16"/>
        <v>257446.98641964147</v>
      </c>
      <c r="V189" s="10">
        <f>+'A) Base RI'!P189</f>
        <v>0</v>
      </c>
      <c r="W189" s="10">
        <f>+'A) Base RI'!Q189</f>
        <v>714705.85</v>
      </c>
      <c r="X189" s="10">
        <f>+'A) Base RI'!S189</f>
        <v>659573.5</v>
      </c>
      <c r="Y189" s="405">
        <f t="shared" si="17"/>
        <v>1374279.35</v>
      </c>
      <c r="Z189" s="10">
        <f>+'A) Base RI'!O189</f>
        <v>21638.05</v>
      </c>
      <c r="AA189" s="10">
        <f>'A) Base RI'!V189</f>
        <v>2935</v>
      </c>
    </row>
    <row r="190" spans="1:27" x14ac:dyDescent="0.25">
      <c r="A190" s="8">
        <f>'A) Base RI'!A190</f>
        <v>5712</v>
      </c>
      <c r="B190" s="32" t="str">
        <f>'A) Base RI'!B190</f>
        <v>Coppet</v>
      </c>
      <c r="C190" s="10">
        <f>'A) Base RI'!C190+'A) Base RI'!D190</f>
        <v>17451448.57</v>
      </c>
      <c r="D190" s="10">
        <f>'A) Base RI'!W190</f>
        <v>-64869.15</v>
      </c>
      <c r="E190" s="397">
        <f>'A) Base RI'!X190</f>
        <v>0</v>
      </c>
      <c r="F190" s="397">
        <f>'A) Base RI'!Y190</f>
        <v>-50379.64</v>
      </c>
      <c r="G190" s="405">
        <f t="shared" si="12"/>
        <v>17336199.780000001</v>
      </c>
      <c r="H190" s="10">
        <f>+'A) Base RI'!E190</f>
        <v>0</v>
      </c>
      <c r="I190" s="10">
        <f>+'A) Base RI'!F190</f>
        <v>0</v>
      </c>
      <c r="J190" s="10">
        <f>+'A) Base RI'!G190+'A) Base RI'!H190+'A) Base RI'!I190</f>
        <v>465892.70538961783</v>
      </c>
      <c r="K190" s="10">
        <f>+'A) Base RI'!J190</f>
        <v>1131526.74</v>
      </c>
      <c r="L190" s="10">
        <f>+'A) Base RI'!K190</f>
        <v>564340.06000000006</v>
      </c>
      <c r="M190" s="10">
        <f>+'A) Base RI'!L190</f>
        <v>21065.8</v>
      </c>
      <c r="N190" s="10">
        <f>+'A) Base RI'!R190</f>
        <v>6197.8</v>
      </c>
      <c r="O190" s="10">
        <f t="shared" si="13"/>
        <v>1122533</v>
      </c>
      <c r="P190" s="10">
        <f>+'A) Base RI'!M190</f>
        <v>1683799.5</v>
      </c>
      <c r="Q190" s="413">
        <f>'A) Base RI'!Z190</f>
        <v>1.5</v>
      </c>
      <c r="R190" s="405">
        <f t="shared" si="14"/>
        <v>20647755.885389619</v>
      </c>
      <c r="S190" s="401">
        <f>+'A) Base RI'!U190</f>
        <v>53</v>
      </c>
      <c r="T190" s="405">
        <f t="shared" si="15"/>
        <v>19504157.085389618</v>
      </c>
      <c r="U190" s="405">
        <f t="shared" si="16"/>
        <v>389580.29972433241</v>
      </c>
      <c r="V190" s="10">
        <f>+'A) Base RI'!P190</f>
        <v>365553.7</v>
      </c>
      <c r="W190" s="10">
        <f>+'A) Base RI'!Q190</f>
        <v>825607.2</v>
      </c>
      <c r="X190" s="10">
        <f>+'A) Base RI'!S190</f>
        <v>1012371.05</v>
      </c>
      <c r="Y190" s="405">
        <f t="shared" si="17"/>
        <v>2203531.9500000002</v>
      </c>
      <c r="Z190" s="10">
        <f>+'A) Base RI'!O190</f>
        <v>154539.25</v>
      </c>
      <c r="AA190" s="10">
        <f>'A) Base RI'!V190</f>
        <v>3211</v>
      </c>
    </row>
    <row r="191" spans="1:27" x14ac:dyDescent="0.25">
      <c r="A191" s="8">
        <f>'A) Base RI'!A191</f>
        <v>5713</v>
      </c>
      <c r="B191" s="32" t="str">
        <f>'A) Base RI'!B191</f>
        <v>Crans-près-Céligny</v>
      </c>
      <c r="C191" s="10">
        <f>'A) Base RI'!C191+'A) Base RI'!D191</f>
        <v>14090876.600000001</v>
      </c>
      <c r="D191" s="10">
        <f>'A) Base RI'!W191</f>
        <v>-64209.58</v>
      </c>
      <c r="E191" s="397">
        <f>'A) Base RI'!X191</f>
        <v>0</v>
      </c>
      <c r="F191" s="397">
        <f>'A) Base RI'!Y191</f>
        <v>-41516.92</v>
      </c>
      <c r="G191" s="405">
        <f t="shared" si="12"/>
        <v>13985150.100000001</v>
      </c>
      <c r="H191" s="10">
        <f>+'A) Base RI'!E191</f>
        <v>0</v>
      </c>
      <c r="I191" s="10">
        <f>+'A) Base RI'!F191</f>
        <v>0</v>
      </c>
      <c r="J191" s="10">
        <f>+'A) Base RI'!G191+'A) Base RI'!H191+'A) Base RI'!I191</f>
        <v>96643.621487525292</v>
      </c>
      <c r="K191" s="10">
        <f>+'A) Base RI'!J191</f>
        <v>668928.5</v>
      </c>
      <c r="L191" s="10">
        <f>+'A) Base RI'!K191</f>
        <v>412482.02</v>
      </c>
      <c r="M191" s="10">
        <f>+'A) Base RI'!L191</f>
        <v>10277.5</v>
      </c>
      <c r="N191" s="10">
        <f>+'A) Base RI'!R191</f>
        <v>2671.87</v>
      </c>
      <c r="O191" s="10">
        <f t="shared" si="13"/>
        <v>822395.25</v>
      </c>
      <c r="P191" s="10">
        <f>+'A) Base RI'!M191</f>
        <v>822395.25</v>
      </c>
      <c r="Q191" s="413">
        <f>'A) Base RI'!Z191</f>
        <v>1</v>
      </c>
      <c r="R191" s="405">
        <f t="shared" si="14"/>
        <v>15998548.861487525</v>
      </c>
      <c r="S191" s="401">
        <f>+'A) Base RI'!U191</f>
        <v>56</v>
      </c>
      <c r="T191" s="405">
        <f t="shared" si="15"/>
        <v>15165876.111487525</v>
      </c>
      <c r="U191" s="405">
        <f t="shared" si="16"/>
        <v>285688.37252656295</v>
      </c>
      <c r="V191" s="10">
        <f>+'A) Base RI'!P191</f>
        <v>94826.2</v>
      </c>
      <c r="W191" s="10">
        <f>+'A) Base RI'!Q191</f>
        <v>466061.65</v>
      </c>
      <c r="X191" s="10">
        <f>+'A) Base RI'!S191</f>
        <v>500656.8</v>
      </c>
      <c r="Y191" s="405">
        <f t="shared" si="17"/>
        <v>1061544.6499999999</v>
      </c>
      <c r="Z191" s="10">
        <f>+'A) Base RI'!O191</f>
        <v>21843.1</v>
      </c>
      <c r="AA191" s="10">
        <f>'A) Base RI'!V191</f>
        <v>2286</v>
      </c>
    </row>
    <row r="192" spans="1:27" x14ac:dyDescent="0.25">
      <c r="A192" s="8">
        <f>'A) Base RI'!A192</f>
        <v>5714</v>
      </c>
      <c r="B192" s="32" t="str">
        <f>'A) Base RI'!B192</f>
        <v>Crassier</v>
      </c>
      <c r="C192" s="10">
        <f>'A) Base RI'!C192+'A) Base RI'!D192</f>
        <v>4264276.57</v>
      </c>
      <c r="D192" s="10">
        <f>'A) Base RI'!W192</f>
        <v>-45271.55</v>
      </c>
      <c r="E192" s="397">
        <f>'A) Base RI'!X192</f>
        <v>0</v>
      </c>
      <c r="F192" s="397">
        <f>'A) Base RI'!Y192</f>
        <v>-2820.45</v>
      </c>
      <c r="G192" s="405">
        <f t="shared" si="12"/>
        <v>4216184.57</v>
      </c>
      <c r="H192" s="10">
        <f>+'A) Base RI'!E192</f>
        <v>0</v>
      </c>
      <c r="I192" s="10">
        <f>+'A) Base RI'!F192</f>
        <v>0</v>
      </c>
      <c r="J192" s="10">
        <f>+'A) Base RI'!G192+'A) Base RI'!H192+'A) Base RI'!I192</f>
        <v>63921.228315279855</v>
      </c>
      <c r="K192" s="10">
        <f>+'A) Base RI'!J192</f>
        <v>111940.2</v>
      </c>
      <c r="L192" s="10">
        <f>+'A) Base RI'!K192</f>
        <v>32606.69</v>
      </c>
      <c r="M192" s="10">
        <f>+'A) Base RI'!L192</f>
        <v>6423</v>
      </c>
      <c r="N192" s="10">
        <f>+'A) Base RI'!R192</f>
        <v>3803.53</v>
      </c>
      <c r="O192" s="10">
        <f t="shared" si="13"/>
        <v>288713.65000000002</v>
      </c>
      <c r="P192" s="10">
        <f>+'A) Base RI'!M192</f>
        <v>288713.65000000002</v>
      </c>
      <c r="Q192" s="413">
        <f>'A) Base RI'!Z192</f>
        <v>1</v>
      </c>
      <c r="R192" s="405">
        <f t="shared" si="14"/>
        <v>4723592.8683152813</v>
      </c>
      <c r="S192" s="401">
        <f>+'A) Base RI'!U192</f>
        <v>68</v>
      </c>
      <c r="T192" s="405">
        <f t="shared" si="15"/>
        <v>4428456.218315281</v>
      </c>
      <c r="U192" s="405">
        <f t="shared" si="16"/>
        <v>69464.601004636497</v>
      </c>
      <c r="V192" s="10">
        <f>+'A) Base RI'!P192</f>
        <v>0</v>
      </c>
      <c r="W192" s="10">
        <f>+'A) Base RI'!Q192</f>
        <v>143632.35</v>
      </c>
      <c r="X192" s="10">
        <f>+'A) Base RI'!S192</f>
        <v>162725.45000000001</v>
      </c>
      <c r="Y192" s="405">
        <f t="shared" si="17"/>
        <v>306357.80000000005</v>
      </c>
      <c r="Z192" s="10">
        <f>+'A) Base RI'!O192</f>
        <v>78593.5</v>
      </c>
      <c r="AA192" s="10">
        <f>'A) Base RI'!V192</f>
        <v>1169</v>
      </c>
    </row>
    <row r="193" spans="1:27" x14ac:dyDescent="0.25">
      <c r="A193" s="8">
        <f>'A) Base RI'!A193</f>
        <v>5715</v>
      </c>
      <c r="B193" s="32" t="str">
        <f>'A) Base RI'!B193</f>
        <v>Duillier</v>
      </c>
      <c r="C193" s="10">
        <f>'A) Base RI'!C193+'A) Base RI'!D193</f>
        <v>4274196.62</v>
      </c>
      <c r="D193" s="10">
        <f>'A) Base RI'!W193</f>
        <v>-166233.72</v>
      </c>
      <c r="E193" s="397">
        <f>'A) Base RI'!X193</f>
        <v>0</v>
      </c>
      <c r="F193" s="397">
        <f>'A) Base RI'!Y193</f>
        <v>-7101.43</v>
      </c>
      <c r="G193" s="405">
        <f t="shared" si="12"/>
        <v>4100861.4699999997</v>
      </c>
      <c r="H193" s="10">
        <f>+'A) Base RI'!E193</f>
        <v>0</v>
      </c>
      <c r="I193" s="10">
        <f>+'A) Base RI'!F193</f>
        <v>0</v>
      </c>
      <c r="J193" s="10">
        <f>+'A) Base RI'!G193+'A) Base RI'!H193+'A) Base RI'!I193</f>
        <v>35485.107970706289</v>
      </c>
      <c r="K193" s="10">
        <f>+'A) Base RI'!J193</f>
        <v>32824.75</v>
      </c>
      <c r="L193" s="10">
        <f>+'A) Base RI'!K193</f>
        <v>98503.53</v>
      </c>
      <c r="M193" s="10">
        <f>+'A) Base RI'!L193</f>
        <v>-1241</v>
      </c>
      <c r="N193" s="10">
        <f>+'A) Base RI'!R193</f>
        <v>85371.839999999997</v>
      </c>
      <c r="O193" s="10">
        <f t="shared" si="13"/>
        <v>272005.40000000002</v>
      </c>
      <c r="P193" s="10">
        <f>+'A) Base RI'!M193</f>
        <v>272005.40000000002</v>
      </c>
      <c r="Q193" s="413">
        <f>'A) Base RI'!Z193</f>
        <v>1</v>
      </c>
      <c r="R193" s="405">
        <f t="shared" si="14"/>
        <v>4623811.0979707064</v>
      </c>
      <c r="S193" s="401">
        <f>+'A) Base RI'!U193</f>
        <v>66</v>
      </c>
      <c r="T193" s="405">
        <f t="shared" si="15"/>
        <v>4353046.697970706</v>
      </c>
      <c r="U193" s="405">
        <f t="shared" si="16"/>
        <v>70057.743908647069</v>
      </c>
      <c r="V193" s="10">
        <f>+'A) Base RI'!P193</f>
        <v>46385.8</v>
      </c>
      <c r="W193" s="10">
        <f>+'A) Base RI'!Q193</f>
        <v>97376.85</v>
      </c>
      <c r="X193" s="10">
        <f>+'A) Base RI'!S193</f>
        <v>154757.35</v>
      </c>
      <c r="Y193" s="405">
        <f t="shared" si="17"/>
        <v>298520</v>
      </c>
      <c r="Z193" s="10">
        <f>+'A) Base RI'!O193</f>
        <v>59422.95</v>
      </c>
      <c r="AA193" s="10">
        <f>'A) Base RI'!V193</f>
        <v>1090</v>
      </c>
    </row>
    <row r="194" spans="1:27" x14ac:dyDescent="0.25">
      <c r="A194" s="8">
        <f>'A) Base RI'!A194</f>
        <v>5716</v>
      </c>
      <c r="B194" s="32" t="str">
        <f>'A) Base RI'!B194</f>
        <v>Eysins</v>
      </c>
      <c r="C194" s="10">
        <f>'A) Base RI'!C194+'A) Base RI'!D194</f>
        <v>4523963.82</v>
      </c>
      <c r="D194" s="10">
        <f>'A) Base RI'!W194</f>
        <v>-54331.56</v>
      </c>
      <c r="E194" s="397">
        <f>'A) Base RI'!X194</f>
        <v>0</v>
      </c>
      <c r="F194" s="397">
        <f>'A) Base RI'!Y194</f>
        <v>-52798.86</v>
      </c>
      <c r="G194" s="405">
        <f t="shared" si="12"/>
        <v>4416833.4000000004</v>
      </c>
      <c r="H194" s="10">
        <f>+'A) Base RI'!E194</f>
        <v>0</v>
      </c>
      <c r="I194" s="10">
        <f>+'A) Base RI'!F194</f>
        <v>0</v>
      </c>
      <c r="J194" s="10">
        <f>+'A) Base RI'!G194+'A) Base RI'!H194+'A) Base RI'!I194</f>
        <v>7736653.3423541272</v>
      </c>
      <c r="K194" s="10">
        <f>+'A) Base RI'!J194</f>
        <v>-24162</v>
      </c>
      <c r="L194" s="10">
        <f>+'A) Base RI'!K194</f>
        <v>255987.84</v>
      </c>
      <c r="M194" s="10">
        <f>+'A) Base RI'!L194</f>
        <v>103514.3</v>
      </c>
      <c r="N194" s="10">
        <f>+'A) Base RI'!R194</f>
        <v>10632.35</v>
      </c>
      <c r="O194" s="10">
        <f t="shared" si="13"/>
        <v>641222.05000000005</v>
      </c>
      <c r="P194" s="10">
        <f>+'A) Base RI'!M194</f>
        <v>641222.05000000005</v>
      </c>
      <c r="Q194" s="413">
        <f>'A) Base RI'!Z194</f>
        <v>1</v>
      </c>
      <c r="R194" s="405">
        <f t="shared" si="14"/>
        <v>13140681.282354129</v>
      </c>
      <c r="S194" s="401">
        <f>+'A) Base RI'!U194</f>
        <v>61</v>
      </c>
      <c r="T194" s="405">
        <f t="shared" si="15"/>
        <v>12395944.932354128</v>
      </c>
      <c r="U194" s="405">
        <f t="shared" si="16"/>
        <v>215421.00462875623</v>
      </c>
      <c r="V194" s="10">
        <f>+'A) Base RI'!P194</f>
        <v>36537.300000000003</v>
      </c>
      <c r="W194" s="10">
        <f>+'A) Base RI'!Q194</f>
        <v>349296.8</v>
      </c>
      <c r="X194" s="10">
        <f>+'A) Base RI'!S194</f>
        <v>136837.85</v>
      </c>
      <c r="Y194" s="405">
        <f t="shared" si="17"/>
        <v>522671.94999999995</v>
      </c>
      <c r="Z194" s="10">
        <f>+'A) Base RI'!O194</f>
        <v>485768.2</v>
      </c>
      <c r="AA194" s="10">
        <f>'A) Base RI'!V194</f>
        <v>1737</v>
      </c>
    </row>
    <row r="195" spans="1:27" x14ac:dyDescent="0.25">
      <c r="A195" s="8">
        <f>'A) Base RI'!A195</f>
        <v>5717</v>
      </c>
      <c r="B195" s="32" t="str">
        <f>'A) Base RI'!B195</f>
        <v>Founex</v>
      </c>
      <c r="C195" s="10">
        <f>'A) Base RI'!C195+'A) Base RI'!D195</f>
        <v>17295076.800000001</v>
      </c>
      <c r="D195" s="10">
        <f>'A) Base RI'!W195</f>
        <v>-80492.929999999993</v>
      </c>
      <c r="E195" s="397">
        <f>'A) Base RI'!X195</f>
        <v>-677.05</v>
      </c>
      <c r="F195" s="397">
        <f>'A) Base RI'!Y195</f>
        <v>-288985.55</v>
      </c>
      <c r="G195" s="405">
        <f t="shared" si="12"/>
        <v>16924921.27</v>
      </c>
      <c r="H195" s="10">
        <f>+'A) Base RI'!E195</f>
        <v>0</v>
      </c>
      <c r="I195" s="10">
        <f>+'A) Base RI'!F195</f>
        <v>0</v>
      </c>
      <c r="J195" s="10">
        <f>+'A) Base RI'!G195+'A) Base RI'!H195+'A) Base RI'!I195</f>
        <v>254403.38685365679</v>
      </c>
      <c r="K195" s="10">
        <f>+'A) Base RI'!J195</f>
        <v>896177.1</v>
      </c>
      <c r="L195" s="10">
        <f>+'A) Base RI'!K195</f>
        <v>256975.7</v>
      </c>
      <c r="M195" s="10">
        <f>+'A) Base RI'!L195</f>
        <v>38705</v>
      </c>
      <c r="N195" s="10">
        <f>+'A) Base RI'!R195</f>
        <v>12219.67</v>
      </c>
      <c r="O195" s="10">
        <f t="shared" si="13"/>
        <v>1269375.8999999999</v>
      </c>
      <c r="P195" s="10">
        <f>+'A) Base RI'!M195</f>
        <v>1269375.8999999999</v>
      </c>
      <c r="Q195" s="413">
        <f>'A) Base RI'!Z195</f>
        <v>1</v>
      </c>
      <c r="R195" s="405">
        <f t="shared" si="14"/>
        <v>19652778.026853658</v>
      </c>
      <c r="S195" s="401">
        <f>+'A) Base RI'!U195</f>
        <v>57</v>
      </c>
      <c r="T195" s="405">
        <f t="shared" si="15"/>
        <v>18344697.12685366</v>
      </c>
      <c r="U195" s="405">
        <f t="shared" si="16"/>
        <v>344785.57941848523</v>
      </c>
      <c r="V195" s="10">
        <f>+'A) Base RI'!P195</f>
        <v>313199.09999999998</v>
      </c>
      <c r="W195" s="10">
        <f>+'A) Base RI'!Q195</f>
        <v>1111030.1499999999</v>
      </c>
      <c r="X195" s="10">
        <f>+'A) Base RI'!S195</f>
        <v>932997.2</v>
      </c>
      <c r="Y195" s="405">
        <f t="shared" si="17"/>
        <v>2357226.4500000002</v>
      </c>
      <c r="Z195" s="10">
        <f>+'A) Base RI'!O195</f>
        <v>216727.3</v>
      </c>
      <c r="AA195" s="10">
        <f>'A) Base RI'!V195</f>
        <v>3772</v>
      </c>
    </row>
    <row r="196" spans="1:27" x14ac:dyDescent="0.25">
      <c r="A196" s="8">
        <f>'A) Base RI'!A196</f>
        <v>5718</v>
      </c>
      <c r="B196" s="32" t="str">
        <f>'A) Base RI'!B196</f>
        <v>Genolier</v>
      </c>
      <c r="C196" s="10">
        <f>'A) Base RI'!C196+'A) Base RI'!D196</f>
        <v>8285796.8899999997</v>
      </c>
      <c r="D196" s="10">
        <f>'A) Base RI'!W196</f>
        <v>-100284.6</v>
      </c>
      <c r="E196" s="397">
        <f>'A) Base RI'!X196</f>
        <v>0</v>
      </c>
      <c r="F196" s="397">
        <f>'A) Base RI'!Y196</f>
        <v>-13553.26</v>
      </c>
      <c r="G196" s="405">
        <f t="shared" si="12"/>
        <v>8171959.0300000003</v>
      </c>
      <c r="H196" s="10">
        <f>+'A) Base RI'!E196</f>
        <v>0</v>
      </c>
      <c r="I196" s="10">
        <f>+'A) Base RI'!F196</f>
        <v>0</v>
      </c>
      <c r="J196" s="10">
        <f>+'A) Base RI'!G196+'A) Base RI'!H196+'A) Base RI'!I196</f>
        <v>14712.306797537771</v>
      </c>
      <c r="K196" s="10">
        <f>+'A) Base RI'!J196</f>
        <v>239936.05</v>
      </c>
      <c r="L196" s="10">
        <f>+'A) Base RI'!K196</f>
        <v>176966.58</v>
      </c>
      <c r="M196" s="10">
        <f>+'A) Base RI'!L196</f>
        <v>39346.6</v>
      </c>
      <c r="N196" s="10">
        <f>+'A) Base RI'!R196</f>
        <v>68471.08</v>
      </c>
      <c r="O196" s="10">
        <f t="shared" si="13"/>
        <v>653818.6</v>
      </c>
      <c r="P196" s="10">
        <f>+'A) Base RI'!M196</f>
        <v>653818.6</v>
      </c>
      <c r="Q196" s="413">
        <f>'A) Base RI'!Z196</f>
        <v>1</v>
      </c>
      <c r="R196" s="405">
        <f t="shared" si="14"/>
        <v>9365210.2467975374</v>
      </c>
      <c r="S196" s="401">
        <f>+'A) Base RI'!U196</f>
        <v>55</v>
      </c>
      <c r="T196" s="405">
        <f t="shared" si="15"/>
        <v>8672045.0467975382</v>
      </c>
      <c r="U196" s="405">
        <f t="shared" si="16"/>
        <v>170276.54994177341</v>
      </c>
      <c r="V196" s="10">
        <f>+'A) Base RI'!P196</f>
        <v>499018.7</v>
      </c>
      <c r="W196" s="10">
        <f>+'A) Base RI'!Q196</f>
        <v>636772.30000000005</v>
      </c>
      <c r="X196" s="10">
        <f>+'A) Base RI'!S196</f>
        <v>292877.40000000002</v>
      </c>
      <c r="Y196" s="405">
        <f t="shared" si="17"/>
        <v>1428668.4</v>
      </c>
      <c r="Z196" s="10">
        <f>+'A) Base RI'!O196</f>
        <v>281010.59999999998</v>
      </c>
      <c r="AA196" s="10">
        <f>'A) Base RI'!V196</f>
        <v>2000</v>
      </c>
    </row>
    <row r="197" spans="1:27" x14ac:dyDescent="0.25">
      <c r="A197" s="8">
        <f>'A) Base RI'!A197</f>
        <v>5719</v>
      </c>
      <c r="B197" s="32" t="str">
        <f>'A) Base RI'!B197</f>
        <v>Gingins</v>
      </c>
      <c r="C197" s="10">
        <f>'A) Base RI'!C197+'A) Base RI'!D197</f>
        <v>7471010.1299999999</v>
      </c>
      <c r="D197" s="10">
        <f>'A) Base RI'!W197</f>
        <v>-44485.760000000002</v>
      </c>
      <c r="E197" s="397">
        <f>'A) Base RI'!X197</f>
        <v>0</v>
      </c>
      <c r="F197" s="397">
        <f>'A) Base RI'!Y197</f>
        <v>-6182.23</v>
      </c>
      <c r="G197" s="405">
        <f t="shared" si="12"/>
        <v>7420342.1399999997</v>
      </c>
      <c r="H197" s="10">
        <f>+'A) Base RI'!E197</f>
        <v>0</v>
      </c>
      <c r="I197" s="10">
        <f>+'A) Base RI'!F197</f>
        <v>0</v>
      </c>
      <c r="J197" s="10">
        <f>+'A) Base RI'!G197+'A) Base RI'!H197+'A) Base RI'!I197</f>
        <v>101044.30926366005</v>
      </c>
      <c r="K197" s="10">
        <f>+'A) Base RI'!J197</f>
        <v>145661.79999999999</v>
      </c>
      <c r="L197" s="10">
        <f>+'A) Base RI'!K197</f>
        <v>74826.42</v>
      </c>
      <c r="M197" s="10">
        <f>+'A) Base RI'!L197</f>
        <v>-39267.199999999997</v>
      </c>
      <c r="N197" s="10">
        <f>+'A) Base RI'!R197</f>
        <v>6889.27</v>
      </c>
      <c r="O197" s="10">
        <f t="shared" si="13"/>
        <v>403143.41666666669</v>
      </c>
      <c r="P197" s="10">
        <f>+'A) Base RI'!M197</f>
        <v>241886.05</v>
      </c>
      <c r="Q197" s="413">
        <f>'A) Base RI'!Z197</f>
        <v>0.6</v>
      </c>
      <c r="R197" s="405">
        <f t="shared" si="14"/>
        <v>8112640.1559303254</v>
      </c>
      <c r="S197" s="401">
        <f>+'A) Base RI'!U197</f>
        <v>57</v>
      </c>
      <c r="T197" s="405">
        <f t="shared" si="15"/>
        <v>7748763.9392636586</v>
      </c>
      <c r="U197" s="405">
        <f t="shared" si="16"/>
        <v>142327.02027947939</v>
      </c>
      <c r="V197" s="10">
        <f>+'A) Base RI'!P197</f>
        <v>27481.8</v>
      </c>
      <c r="W197" s="10">
        <f>+'A) Base RI'!Q197</f>
        <v>180299.4</v>
      </c>
      <c r="X197" s="10">
        <f>+'A) Base RI'!S197</f>
        <v>146778.15</v>
      </c>
      <c r="Y197" s="405">
        <f t="shared" si="17"/>
        <v>354559.35</v>
      </c>
      <c r="Z197" s="10">
        <f>+'A) Base RI'!O197</f>
        <v>55232.15</v>
      </c>
      <c r="AA197" s="10">
        <f>'A) Base RI'!V197</f>
        <v>1239</v>
      </c>
    </row>
    <row r="198" spans="1:27" x14ac:dyDescent="0.25">
      <c r="A198" s="8">
        <f>'A) Base RI'!A198</f>
        <v>5720</v>
      </c>
      <c r="B198" s="32" t="str">
        <f>'A) Base RI'!B198</f>
        <v>Givrins</v>
      </c>
      <c r="C198" s="10">
        <f>'A) Base RI'!C198+'A) Base RI'!D198</f>
        <v>4589206.4399999995</v>
      </c>
      <c r="D198" s="10">
        <f>'A) Base RI'!W198</f>
        <v>-44730.07</v>
      </c>
      <c r="E198" s="397">
        <f>'A) Base RI'!X198</f>
        <v>0</v>
      </c>
      <c r="F198" s="397">
        <f>'A) Base RI'!Y198</f>
        <v>-7872.43</v>
      </c>
      <c r="G198" s="405">
        <f t="shared" si="12"/>
        <v>4536603.9399999995</v>
      </c>
      <c r="H198" s="10">
        <f>+'A) Base RI'!E198</f>
        <v>0</v>
      </c>
      <c r="I198" s="10">
        <f>+'A) Base RI'!F198</f>
        <v>0</v>
      </c>
      <c r="J198" s="10">
        <f>+'A) Base RI'!G198+'A) Base RI'!H198+'A) Base RI'!I198</f>
        <v>72714.479729196973</v>
      </c>
      <c r="K198" s="10">
        <f>+'A) Base RI'!J198</f>
        <v>574825.85</v>
      </c>
      <c r="L198" s="10">
        <f>+'A) Base RI'!K198</f>
        <v>37717.85</v>
      </c>
      <c r="M198" s="10">
        <f>+'A) Base RI'!L198</f>
        <v>0</v>
      </c>
      <c r="N198" s="10">
        <f>+'A) Base RI'!R198</f>
        <v>3407.15</v>
      </c>
      <c r="O198" s="10">
        <f t="shared" si="13"/>
        <v>296683.27777777781</v>
      </c>
      <c r="P198" s="10">
        <f>+'A) Base RI'!M198</f>
        <v>267014.95</v>
      </c>
      <c r="Q198" s="413">
        <f>'A) Base RI'!Z198</f>
        <v>0.9</v>
      </c>
      <c r="R198" s="405">
        <f t="shared" si="14"/>
        <v>5521952.5475069741</v>
      </c>
      <c r="S198" s="401">
        <f>+'A) Base RI'!U198</f>
        <v>67</v>
      </c>
      <c r="T198" s="405">
        <f t="shared" si="15"/>
        <v>5225269.2697291961</v>
      </c>
      <c r="U198" s="405">
        <f t="shared" si="16"/>
        <v>82417.202201596621</v>
      </c>
      <c r="V198" s="10">
        <f>+'A) Base RI'!P198</f>
        <v>0</v>
      </c>
      <c r="W198" s="10">
        <f>+'A) Base RI'!Q198</f>
        <v>332359.34999999998</v>
      </c>
      <c r="X198" s="10">
        <f>+'A) Base RI'!S198</f>
        <v>246977.95</v>
      </c>
      <c r="Y198" s="405">
        <f t="shared" si="17"/>
        <v>579337.30000000005</v>
      </c>
      <c r="Z198" s="10">
        <f>+'A) Base RI'!O198</f>
        <v>12988.35</v>
      </c>
      <c r="AA198" s="10">
        <f>'A) Base RI'!V198</f>
        <v>1032</v>
      </c>
    </row>
    <row r="199" spans="1:27" x14ac:dyDescent="0.25">
      <c r="A199" s="8">
        <f>'A) Base RI'!A199</f>
        <v>5721</v>
      </c>
      <c r="B199" s="32" t="str">
        <f>'A) Base RI'!B199</f>
        <v>Gland</v>
      </c>
      <c r="C199" s="10">
        <f>'A) Base RI'!C199+'A) Base RI'!D199</f>
        <v>31175423.690000001</v>
      </c>
      <c r="D199" s="10">
        <f>'A) Base RI'!W199</f>
        <v>-741438.48</v>
      </c>
      <c r="E199" s="397">
        <f>'A) Base RI'!X199</f>
        <v>0</v>
      </c>
      <c r="F199" s="397">
        <f>'A) Base RI'!Y199</f>
        <v>-31504.61</v>
      </c>
      <c r="G199" s="405">
        <f t="shared" ref="G199:G262" si="18">SUM(C199:F199)</f>
        <v>30402480.600000001</v>
      </c>
      <c r="H199" s="10">
        <f>+'A) Base RI'!E199</f>
        <v>0</v>
      </c>
      <c r="I199" s="10">
        <f>+'A) Base RI'!F199</f>
        <v>0</v>
      </c>
      <c r="J199" s="10">
        <f>+'A) Base RI'!G199+'A) Base RI'!H199+'A) Base RI'!I199</f>
        <v>5468402.3770099515</v>
      </c>
      <c r="K199" s="10">
        <f>+'A) Base RI'!J199</f>
        <v>1005528.55</v>
      </c>
      <c r="L199" s="10">
        <f>+'A) Base RI'!K199</f>
        <v>935166.45</v>
      </c>
      <c r="M199" s="10">
        <f>+'A) Base RI'!L199</f>
        <v>348409</v>
      </c>
      <c r="N199" s="10">
        <f>+'A) Base RI'!R199</f>
        <v>166904.13</v>
      </c>
      <c r="O199" s="10">
        <f t="shared" ref="O199:O262" si="19">(P199/Q199)*1</f>
        <v>2792261.2</v>
      </c>
      <c r="P199" s="10">
        <f>+'A) Base RI'!M199</f>
        <v>2792261.2</v>
      </c>
      <c r="Q199" s="413">
        <f>'A) Base RI'!Z199</f>
        <v>1</v>
      </c>
      <c r="R199" s="405">
        <f t="shared" ref="R199:R262" si="20">SUM(G199:O199)</f>
        <v>41119152.307009958</v>
      </c>
      <c r="S199" s="401">
        <f>+'A) Base RI'!U199</f>
        <v>62.5</v>
      </c>
      <c r="T199" s="405">
        <f t="shared" ref="T199:T262" si="21">(G199+H199+J199+K199+L199+N199)</f>
        <v>37978482.107009955</v>
      </c>
      <c r="U199" s="405">
        <f t="shared" ref="U199:U262" si="22">R199/S199</f>
        <v>657906.43691215932</v>
      </c>
      <c r="V199" s="10">
        <f>+'A) Base RI'!P199</f>
        <v>1667583.1999999993</v>
      </c>
      <c r="W199" s="10">
        <f>+'A) Base RI'!Q199</f>
        <v>1086692.25</v>
      </c>
      <c r="X199" s="10">
        <f>+'A) Base RI'!S199</f>
        <v>778082.6</v>
      </c>
      <c r="Y199" s="405">
        <f t="shared" ref="Y199:Y262" si="23">SUM(V199:X199)</f>
        <v>3532358.0499999993</v>
      </c>
      <c r="Z199" s="10">
        <f>+'A) Base RI'!O199</f>
        <v>1685223</v>
      </c>
      <c r="AA199" s="10">
        <f>'A) Base RI'!V199</f>
        <v>13194</v>
      </c>
    </row>
    <row r="200" spans="1:27" x14ac:dyDescent="0.25">
      <c r="A200" s="8">
        <f>'A) Base RI'!A200</f>
        <v>5722</v>
      </c>
      <c r="B200" s="32" t="str">
        <f>'A) Base RI'!B200</f>
        <v>Grens</v>
      </c>
      <c r="C200" s="10">
        <f>'A) Base RI'!C200+'A) Base RI'!D200</f>
        <v>1177653.79</v>
      </c>
      <c r="D200" s="10">
        <f>'A) Base RI'!W200</f>
        <v>-363.9</v>
      </c>
      <c r="E200" s="397">
        <f>'A) Base RI'!X200</f>
        <v>0</v>
      </c>
      <c r="F200" s="397">
        <f>'A) Base RI'!Y200</f>
        <v>-831.89</v>
      </c>
      <c r="G200" s="405">
        <f t="shared" si="18"/>
        <v>1176458.0000000002</v>
      </c>
      <c r="H200" s="10">
        <f>+'A) Base RI'!E200</f>
        <v>0</v>
      </c>
      <c r="I200" s="10">
        <f>+'A) Base RI'!F200</f>
        <v>0</v>
      </c>
      <c r="J200" s="10">
        <f>+'A) Base RI'!G200+'A) Base RI'!H200+'A) Base RI'!I200</f>
        <v>-2679.55</v>
      </c>
      <c r="K200" s="10">
        <f>+'A) Base RI'!J200</f>
        <v>0</v>
      </c>
      <c r="L200" s="10">
        <f>+'A) Base RI'!K200</f>
        <v>-9356.33</v>
      </c>
      <c r="M200" s="10">
        <f>+'A) Base RI'!L200</f>
        <v>5654</v>
      </c>
      <c r="N200" s="10">
        <f>+'A) Base RI'!R200</f>
        <v>0</v>
      </c>
      <c r="O200" s="10">
        <f t="shared" si="19"/>
        <v>86104.75</v>
      </c>
      <c r="P200" s="10">
        <f>+'A) Base RI'!M200</f>
        <v>86104.75</v>
      </c>
      <c r="Q200" s="413">
        <f>'A) Base RI'!Z200</f>
        <v>1</v>
      </c>
      <c r="R200" s="405">
        <f t="shared" si="20"/>
        <v>1256180.8700000001</v>
      </c>
      <c r="S200" s="401">
        <f>+'A) Base RI'!U200</f>
        <v>62</v>
      </c>
      <c r="T200" s="405">
        <f t="shared" si="21"/>
        <v>1164422.1200000001</v>
      </c>
      <c r="U200" s="405">
        <f t="shared" si="22"/>
        <v>20260.981774193551</v>
      </c>
      <c r="V200" s="10">
        <f>+'A) Base RI'!P200</f>
        <v>0</v>
      </c>
      <c r="W200" s="10">
        <f>+'A) Base RI'!Q200</f>
        <v>38005</v>
      </c>
      <c r="X200" s="10">
        <f>+'A) Base RI'!S200</f>
        <v>90937.05</v>
      </c>
      <c r="Y200" s="405">
        <f t="shared" si="23"/>
        <v>128942.05</v>
      </c>
      <c r="Z200" s="10">
        <f>+'A) Base RI'!O200</f>
        <v>14870.05</v>
      </c>
      <c r="AA200" s="10">
        <f>'A) Base RI'!V200</f>
        <v>383</v>
      </c>
    </row>
    <row r="201" spans="1:27" x14ac:dyDescent="0.25">
      <c r="A201" s="8">
        <f>'A) Base RI'!A201</f>
        <v>5723</v>
      </c>
      <c r="B201" s="32" t="str">
        <f>'A) Base RI'!B201</f>
        <v>Mies</v>
      </c>
      <c r="C201" s="10">
        <f>'A) Base RI'!C201+'A) Base RI'!D201</f>
        <v>8854032.1399999969</v>
      </c>
      <c r="D201" s="10">
        <f>'A) Base RI'!W201</f>
        <v>-22965.83</v>
      </c>
      <c r="E201" s="397">
        <f>'A) Base RI'!X201</f>
        <v>0</v>
      </c>
      <c r="F201" s="397">
        <f>'A) Base RI'!Y201</f>
        <v>-65097.79</v>
      </c>
      <c r="G201" s="405">
        <f t="shared" si="18"/>
        <v>8765968.5199999977</v>
      </c>
      <c r="H201" s="10">
        <f>+'A) Base RI'!E201</f>
        <v>0</v>
      </c>
      <c r="I201" s="10">
        <f>+'A) Base RI'!F201</f>
        <v>0</v>
      </c>
      <c r="J201" s="10">
        <f>+'A) Base RI'!G201+'A) Base RI'!H201+'A) Base RI'!I201</f>
        <v>112748.31533045943</v>
      </c>
      <c r="K201" s="10">
        <f>+'A) Base RI'!J201</f>
        <v>591373.35</v>
      </c>
      <c r="L201" s="10">
        <f>+'A) Base RI'!K201</f>
        <v>96222.3</v>
      </c>
      <c r="M201" s="10">
        <f>+'A) Base RI'!L201</f>
        <v>40930.199999999997</v>
      </c>
      <c r="N201" s="10">
        <f>+'A) Base RI'!R201</f>
        <v>11415.21</v>
      </c>
      <c r="O201" s="10">
        <f t="shared" si="19"/>
        <v>800321.1</v>
      </c>
      <c r="P201" s="10">
        <f>+'A) Base RI'!M201</f>
        <v>800321.1</v>
      </c>
      <c r="Q201" s="413">
        <f>'A) Base RI'!Z201</f>
        <v>1</v>
      </c>
      <c r="R201" s="405">
        <f t="shared" si="20"/>
        <v>10418978.995330457</v>
      </c>
      <c r="S201" s="401">
        <f>+'A) Base RI'!U201</f>
        <v>53</v>
      </c>
      <c r="T201" s="405">
        <f t="shared" si="21"/>
        <v>9577727.6953304578</v>
      </c>
      <c r="U201" s="405">
        <f t="shared" si="22"/>
        <v>196584.50934585766</v>
      </c>
      <c r="V201" s="10">
        <f>+'A) Base RI'!P201</f>
        <v>130922.2</v>
      </c>
      <c r="W201" s="10">
        <f>+'A) Base RI'!Q201</f>
        <v>369625.9</v>
      </c>
      <c r="X201" s="10">
        <f>+'A) Base RI'!S201</f>
        <v>545046.69999999995</v>
      </c>
      <c r="Y201" s="405">
        <f t="shared" si="23"/>
        <v>1045594.8</v>
      </c>
      <c r="Z201" s="10">
        <f>+'A) Base RI'!O201</f>
        <v>100227.75</v>
      </c>
      <c r="AA201" s="10">
        <f>'A) Base RI'!V201</f>
        <v>2116</v>
      </c>
    </row>
    <row r="202" spans="1:27" x14ac:dyDescent="0.25">
      <c r="A202" s="8">
        <f>'A) Base RI'!A202</f>
        <v>5724</v>
      </c>
      <c r="B202" s="32" t="str">
        <f>'A) Base RI'!B202</f>
        <v>Nyon</v>
      </c>
      <c r="C202" s="10">
        <f>'A) Base RI'!C202+'A) Base RI'!D202</f>
        <v>65052676.739999995</v>
      </c>
      <c r="D202" s="10">
        <f>'A) Base RI'!W202</f>
        <v>-832000.88</v>
      </c>
      <c r="E202" s="397">
        <f>'A) Base RI'!X202</f>
        <v>0</v>
      </c>
      <c r="F202" s="397">
        <f>'A) Base RI'!Y202</f>
        <v>-1186988.81</v>
      </c>
      <c r="G202" s="405">
        <f t="shared" si="18"/>
        <v>63033687.04999999</v>
      </c>
      <c r="H202" s="10">
        <f>+'A) Base RI'!E202</f>
        <v>0</v>
      </c>
      <c r="I202" s="10">
        <f>+'A) Base RI'!F202</f>
        <v>0</v>
      </c>
      <c r="J202" s="10">
        <f>+'A) Base RI'!G202+'A) Base RI'!H202+'A) Base RI'!I202</f>
        <v>9391589.1259844452</v>
      </c>
      <c r="K202" s="10">
        <f>+'A) Base RI'!J202</f>
        <v>3026565.87</v>
      </c>
      <c r="L202" s="10">
        <f>+'A) Base RI'!K202</f>
        <v>2950881.6</v>
      </c>
      <c r="M202" s="10">
        <f>+'A) Base RI'!L202</f>
        <v>795429</v>
      </c>
      <c r="N202" s="10">
        <f>+'A) Base RI'!R202</f>
        <v>120393.85</v>
      </c>
      <c r="O202" s="10">
        <f t="shared" si="19"/>
        <v>5183007.192307692</v>
      </c>
      <c r="P202" s="10">
        <f>+'A) Base RI'!M202</f>
        <v>6737909.3499999996</v>
      </c>
      <c r="Q202" s="413">
        <f>'A) Base RI'!Z202</f>
        <v>1.3</v>
      </c>
      <c r="R202" s="405">
        <f t="shared" si="20"/>
        <v>84501553.688292131</v>
      </c>
      <c r="S202" s="401">
        <f>+'A) Base RI'!U202</f>
        <v>61</v>
      </c>
      <c r="T202" s="405">
        <f t="shared" si="21"/>
        <v>78523117.495984435</v>
      </c>
      <c r="U202" s="405">
        <f t="shared" si="22"/>
        <v>1385271.3719392153</v>
      </c>
      <c r="V202" s="10">
        <f>+'A) Base RI'!P202</f>
        <v>2897019.8</v>
      </c>
      <c r="W202" s="10">
        <f>+'A) Base RI'!Q202</f>
        <v>2653985.7000000002</v>
      </c>
      <c r="X202" s="10">
        <f>+'A) Base RI'!S202</f>
        <v>2684995.65</v>
      </c>
      <c r="Y202" s="405">
        <f t="shared" si="23"/>
        <v>8236001.1500000004</v>
      </c>
      <c r="Z202" s="10">
        <f>+'A) Base RI'!O202</f>
        <v>4882546.7</v>
      </c>
      <c r="AA202" s="10">
        <f>'A) Base RI'!V202</f>
        <v>21416</v>
      </c>
    </row>
    <row r="203" spans="1:27" x14ac:dyDescent="0.25">
      <c r="A203" s="8">
        <f>'A) Base RI'!A203</f>
        <v>5725</v>
      </c>
      <c r="B203" s="32" t="str">
        <f>'A) Base RI'!B203</f>
        <v>Prangins</v>
      </c>
      <c r="C203" s="10">
        <f>'A) Base RI'!C203+'A) Base RI'!D203</f>
        <v>15019852.700000001</v>
      </c>
      <c r="D203" s="10">
        <f>'A) Base RI'!W203</f>
        <v>-161484.73000000001</v>
      </c>
      <c r="E203" s="397">
        <f>'A) Base RI'!X203</f>
        <v>0</v>
      </c>
      <c r="F203" s="397">
        <f>'A) Base RI'!Y203</f>
        <v>-93116.76</v>
      </c>
      <c r="G203" s="405">
        <f t="shared" si="18"/>
        <v>14765251.210000001</v>
      </c>
      <c r="H203" s="10">
        <f>+'A) Base RI'!E203</f>
        <v>0</v>
      </c>
      <c r="I203" s="10">
        <f>+'A) Base RI'!F203</f>
        <v>0</v>
      </c>
      <c r="J203" s="10">
        <f>+'A) Base RI'!G203+'A) Base RI'!H203+'A) Base RI'!I203</f>
        <v>2691762.9182483559</v>
      </c>
      <c r="K203" s="10">
        <f>+'A) Base RI'!J203</f>
        <v>245328.09</v>
      </c>
      <c r="L203" s="10">
        <f>+'A) Base RI'!K203</f>
        <v>177581.08</v>
      </c>
      <c r="M203" s="10">
        <f>+'A) Base RI'!L203</f>
        <v>71464.7</v>
      </c>
      <c r="N203" s="10">
        <f>+'A) Base RI'!R203</f>
        <v>80651.56</v>
      </c>
      <c r="O203" s="10">
        <f t="shared" si="19"/>
        <v>1162392.892857143</v>
      </c>
      <c r="P203" s="10">
        <f>+'A) Base RI'!M203</f>
        <v>1627350.05</v>
      </c>
      <c r="Q203" s="413">
        <f>'A) Base RI'!Z203</f>
        <v>1.4</v>
      </c>
      <c r="R203" s="405">
        <f t="shared" si="20"/>
        <v>19194432.451105494</v>
      </c>
      <c r="S203" s="401">
        <f>+'A) Base RI'!U203</f>
        <v>56</v>
      </c>
      <c r="T203" s="405">
        <f t="shared" si="21"/>
        <v>17960574.858248353</v>
      </c>
      <c r="U203" s="405">
        <f t="shared" si="22"/>
        <v>342757.72234116954</v>
      </c>
      <c r="V203" s="10">
        <f>+'A) Base RI'!P203</f>
        <v>25642.3</v>
      </c>
      <c r="W203" s="10">
        <f>+'A) Base RI'!Q203</f>
        <v>1252365.75</v>
      </c>
      <c r="X203" s="10">
        <f>+'A) Base RI'!S203</f>
        <v>1337206.8999999999</v>
      </c>
      <c r="Y203" s="405">
        <f t="shared" si="23"/>
        <v>2615214.9500000002</v>
      </c>
      <c r="Z203" s="10">
        <f>+'A) Base RI'!O203</f>
        <v>1121038.45</v>
      </c>
      <c r="AA203" s="10">
        <f>'A) Base RI'!V203</f>
        <v>4088</v>
      </c>
    </row>
    <row r="204" spans="1:27" x14ac:dyDescent="0.25">
      <c r="A204" s="8">
        <f>'A) Base RI'!A204</f>
        <v>5726</v>
      </c>
      <c r="B204" s="32" t="str">
        <f>'A) Base RI'!B204</f>
        <v>La Rippe</v>
      </c>
      <c r="C204" s="10">
        <f>'A) Base RI'!C204+'A) Base RI'!D204</f>
        <v>3710957.2600000002</v>
      </c>
      <c r="D204" s="10">
        <f>'A) Base RI'!W204</f>
        <v>-21224.69</v>
      </c>
      <c r="E204" s="397">
        <f>'A) Base RI'!X204</f>
        <v>0</v>
      </c>
      <c r="F204" s="397">
        <f>'A) Base RI'!Y204</f>
        <v>-10530.72</v>
      </c>
      <c r="G204" s="405">
        <f t="shared" si="18"/>
        <v>3679201.85</v>
      </c>
      <c r="H204" s="10">
        <f>+'A) Base RI'!E204</f>
        <v>0</v>
      </c>
      <c r="I204" s="10">
        <f>+'A) Base RI'!F204</f>
        <v>0</v>
      </c>
      <c r="J204" s="10">
        <f>+'A) Base RI'!G204+'A) Base RI'!H204+'A) Base RI'!I204</f>
        <v>15709.544780294098</v>
      </c>
      <c r="K204" s="10">
        <f>+'A) Base RI'!J204</f>
        <v>0</v>
      </c>
      <c r="L204" s="10">
        <f>+'A) Base RI'!K204</f>
        <v>21972.47</v>
      </c>
      <c r="M204" s="10">
        <f>+'A) Base RI'!L204</f>
        <v>5667.15</v>
      </c>
      <c r="N204" s="10">
        <f>+'A) Base RI'!R204</f>
        <v>2222.1999999999998</v>
      </c>
      <c r="O204" s="10">
        <f t="shared" si="19"/>
        <v>257062.25</v>
      </c>
      <c r="P204" s="10">
        <f>+'A) Base RI'!M204</f>
        <v>257062.25</v>
      </c>
      <c r="Q204" s="413">
        <f>'A) Base RI'!Z204</f>
        <v>1</v>
      </c>
      <c r="R204" s="405">
        <f t="shared" si="20"/>
        <v>3981835.4647802943</v>
      </c>
      <c r="S204" s="401">
        <f>+'A) Base RI'!U204</f>
        <v>65</v>
      </c>
      <c r="T204" s="405">
        <f t="shared" si="21"/>
        <v>3719106.0647802944</v>
      </c>
      <c r="U204" s="405">
        <f t="shared" si="22"/>
        <v>61259.007150466066</v>
      </c>
      <c r="V204" s="10">
        <f>+'A) Base RI'!P204</f>
        <v>0</v>
      </c>
      <c r="W204" s="10">
        <f>+'A) Base RI'!Q204</f>
        <v>161739.6</v>
      </c>
      <c r="X204" s="10">
        <f>+'A) Base RI'!S204</f>
        <v>78583.399999999994</v>
      </c>
      <c r="Y204" s="405">
        <f t="shared" si="23"/>
        <v>240323</v>
      </c>
      <c r="Z204" s="10">
        <f>+'A) Base RI'!O204</f>
        <v>43623.199999999997</v>
      </c>
      <c r="AA204" s="10">
        <f>'A) Base RI'!V204</f>
        <v>1136</v>
      </c>
    </row>
    <row r="205" spans="1:27" x14ac:dyDescent="0.25">
      <c r="A205" s="8">
        <f>'A) Base RI'!A205</f>
        <v>5727</v>
      </c>
      <c r="B205" s="32" t="str">
        <f>'A) Base RI'!B205</f>
        <v>Saint-Cergue</v>
      </c>
      <c r="C205" s="10">
        <f>'A) Base RI'!C205+'A) Base RI'!D205</f>
        <v>5747146.0899999999</v>
      </c>
      <c r="D205" s="10">
        <f>'A) Base RI'!W205</f>
        <v>-234703.66</v>
      </c>
      <c r="E205" s="397">
        <f>'A) Base RI'!X205</f>
        <v>0</v>
      </c>
      <c r="F205" s="397">
        <f>'A) Base RI'!Y205</f>
        <v>-1303.1099999999999</v>
      </c>
      <c r="G205" s="405">
        <f t="shared" si="18"/>
        <v>5511139.3199999994</v>
      </c>
      <c r="H205" s="10">
        <f>+'A) Base RI'!E205</f>
        <v>0</v>
      </c>
      <c r="I205" s="10">
        <f>+'A) Base RI'!F205</f>
        <v>0</v>
      </c>
      <c r="J205" s="10">
        <f>+'A) Base RI'!G205+'A) Base RI'!H205+'A) Base RI'!I205</f>
        <v>70076.391469766939</v>
      </c>
      <c r="K205" s="10">
        <f>+'A) Base RI'!J205</f>
        <v>116097.25</v>
      </c>
      <c r="L205" s="10">
        <f>+'A) Base RI'!K205</f>
        <v>91225.66</v>
      </c>
      <c r="M205" s="10">
        <f>+'A) Base RI'!L205</f>
        <v>10059.15</v>
      </c>
      <c r="N205" s="10">
        <f>+'A) Base RI'!R205</f>
        <v>28318.5</v>
      </c>
      <c r="O205" s="10">
        <f t="shared" si="19"/>
        <v>511265.66666666669</v>
      </c>
      <c r="P205" s="10">
        <f>+'A) Base RI'!M205</f>
        <v>766898.5</v>
      </c>
      <c r="Q205" s="413">
        <f>'A) Base RI'!Z205</f>
        <v>1.5</v>
      </c>
      <c r="R205" s="405">
        <f t="shared" si="20"/>
        <v>6338181.9381364342</v>
      </c>
      <c r="S205" s="401">
        <f>+'A) Base RI'!U205</f>
        <v>66</v>
      </c>
      <c r="T205" s="405">
        <f t="shared" si="21"/>
        <v>5816857.1214697668</v>
      </c>
      <c r="U205" s="405">
        <f t="shared" si="22"/>
        <v>96033.059668733855</v>
      </c>
      <c r="V205" s="10">
        <f>+'A) Base RI'!P205</f>
        <v>25357.7</v>
      </c>
      <c r="W205" s="10">
        <f>+'A) Base RI'!Q205</f>
        <v>443308.5</v>
      </c>
      <c r="X205" s="10">
        <f>+'A) Base RI'!S205</f>
        <v>179725.75</v>
      </c>
      <c r="Y205" s="405">
        <f t="shared" si="23"/>
        <v>648391.94999999995</v>
      </c>
      <c r="Z205" s="10">
        <f>+'A) Base RI'!O205</f>
        <v>158797.79999999999</v>
      </c>
      <c r="AA205" s="10">
        <f>'A) Base RI'!V205</f>
        <v>2603</v>
      </c>
    </row>
    <row r="206" spans="1:27" x14ac:dyDescent="0.25">
      <c r="A206" s="8">
        <f>'A) Base RI'!A206</f>
        <v>5728</v>
      </c>
      <c r="B206" s="32" t="str">
        <f>'A) Base RI'!B206</f>
        <v>Signy-Avenex</v>
      </c>
      <c r="C206" s="10">
        <f>'A) Base RI'!C206+'A) Base RI'!D206</f>
        <v>1629698.9</v>
      </c>
      <c r="D206" s="10">
        <f>'A) Base RI'!W206</f>
        <v>-4838.91</v>
      </c>
      <c r="E206" s="397">
        <f>'A) Base RI'!X206</f>
        <v>0</v>
      </c>
      <c r="F206" s="397">
        <f>'A) Base RI'!Y206</f>
        <v>-1784.33</v>
      </c>
      <c r="G206" s="405">
        <f t="shared" si="18"/>
        <v>1623075.66</v>
      </c>
      <c r="H206" s="10">
        <f>+'A) Base RI'!E206</f>
        <v>0</v>
      </c>
      <c r="I206" s="10">
        <f>+'A) Base RI'!F206</f>
        <v>0</v>
      </c>
      <c r="J206" s="10">
        <f>+'A) Base RI'!G206+'A) Base RI'!H206+'A) Base RI'!I206</f>
        <v>528043.26646746788</v>
      </c>
      <c r="K206" s="10">
        <f>+'A) Base RI'!J206</f>
        <v>28169.15</v>
      </c>
      <c r="L206" s="10">
        <f>+'A) Base RI'!K206</f>
        <v>66834.240000000005</v>
      </c>
      <c r="M206" s="10">
        <f>+'A) Base RI'!L206</f>
        <v>50858.95</v>
      </c>
      <c r="N206" s="10">
        <f>+'A) Base RI'!R206</f>
        <v>2879.79</v>
      </c>
      <c r="O206" s="10">
        <f t="shared" si="19"/>
        <v>218789.9</v>
      </c>
      <c r="P206" s="10">
        <f>+'A) Base RI'!M206</f>
        <v>218789.9</v>
      </c>
      <c r="Q206" s="413">
        <f>'A) Base RI'!Z206</f>
        <v>1</v>
      </c>
      <c r="R206" s="405">
        <f t="shared" si="20"/>
        <v>2518650.9564674683</v>
      </c>
      <c r="S206" s="401">
        <f>+'A) Base RI'!U206</f>
        <v>58</v>
      </c>
      <c r="T206" s="405">
        <f t="shared" si="21"/>
        <v>2249002.1064674682</v>
      </c>
      <c r="U206" s="405">
        <f t="shared" si="22"/>
        <v>43425.016490818416</v>
      </c>
      <c r="V206" s="10">
        <f>+'A) Base RI'!P206</f>
        <v>0</v>
      </c>
      <c r="W206" s="10">
        <f>+'A) Base RI'!Q206</f>
        <v>53415.6</v>
      </c>
      <c r="X206" s="10">
        <f>+'A) Base RI'!S206</f>
        <v>36772.9</v>
      </c>
      <c r="Y206" s="405">
        <f t="shared" si="23"/>
        <v>90188.5</v>
      </c>
      <c r="Z206" s="10">
        <f>+'A) Base RI'!O206</f>
        <v>207284.05</v>
      </c>
      <c r="AA206" s="10">
        <f>'A) Base RI'!V206</f>
        <v>586</v>
      </c>
    </row>
    <row r="207" spans="1:27" x14ac:dyDescent="0.25">
      <c r="A207" s="8">
        <f>'A) Base RI'!A207</f>
        <v>5729</v>
      </c>
      <c r="B207" s="32" t="str">
        <f>'A) Base RI'!B207</f>
        <v>Tannay</v>
      </c>
      <c r="C207" s="10">
        <f>'A) Base RI'!C207+'A) Base RI'!D207</f>
        <v>9582144.8399999999</v>
      </c>
      <c r="D207" s="10">
        <f>'A) Base RI'!W207</f>
        <v>-55924.56</v>
      </c>
      <c r="E207" s="397">
        <f>'A) Base RI'!X207</f>
        <v>0</v>
      </c>
      <c r="F207" s="397">
        <f>'A) Base RI'!Y207</f>
        <v>-25477.88</v>
      </c>
      <c r="G207" s="405">
        <f t="shared" si="18"/>
        <v>9500742.3999999985</v>
      </c>
      <c r="H207" s="10">
        <f>+'A) Base RI'!E207</f>
        <v>0</v>
      </c>
      <c r="I207" s="10">
        <f>+'A) Base RI'!F207</f>
        <v>0</v>
      </c>
      <c r="J207" s="10">
        <f>+'A) Base RI'!G207+'A) Base RI'!H207+'A) Base RI'!I207</f>
        <v>539746.65194036544</v>
      </c>
      <c r="K207" s="10">
        <f>+'A) Base RI'!J207</f>
        <v>145551.9</v>
      </c>
      <c r="L207" s="10">
        <f>+'A) Base RI'!K207</f>
        <v>37140.22</v>
      </c>
      <c r="M207" s="10">
        <f>+'A) Base RI'!L207</f>
        <v>4914.5</v>
      </c>
      <c r="N207" s="10">
        <f>+'A) Base RI'!R207</f>
        <v>1404.43</v>
      </c>
      <c r="O207" s="10">
        <f t="shared" si="19"/>
        <v>554392.46666666667</v>
      </c>
      <c r="P207" s="10">
        <f>+'A) Base RI'!M207</f>
        <v>831588.7</v>
      </c>
      <c r="Q207" s="413">
        <f>'A) Base RI'!Z207</f>
        <v>1.5</v>
      </c>
      <c r="R207" s="405">
        <f t="shared" si="20"/>
        <v>10783892.568607032</v>
      </c>
      <c r="S207" s="401">
        <f>+'A) Base RI'!U207</f>
        <v>61</v>
      </c>
      <c r="T207" s="405">
        <f t="shared" si="21"/>
        <v>10224585.601940366</v>
      </c>
      <c r="U207" s="405">
        <f t="shared" si="22"/>
        <v>176785.12407552512</v>
      </c>
      <c r="V207" s="10">
        <f>+'A) Base RI'!P207</f>
        <v>12157</v>
      </c>
      <c r="W207" s="10">
        <f>+'A) Base RI'!Q207</f>
        <v>560232.55000000005</v>
      </c>
      <c r="X207" s="10">
        <f>+'A) Base RI'!S207</f>
        <v>377963.25</v>
      </c>
      <c r="Y207" s="405">
        <f t="shared" si="23"/>
        <v>950352.8</v>
      </c>
      <c r="Z207" s="10">
        <f>+'A) Base RI'!O207</f>
        <v>8148.6</v>
      </c>
      <c r="AA207" s="10">
        <f>'A) Base RI'!V207</f>
        <v>1600</v>
      </c>
    </row>
    <row r="208" spans="1:27" x14ac:dyDescent="0.25">
      <c r="A208" s="8">
        <f>'A) Base RI'!A208</f>
        <v>5730</v>
      </c>
      <c r="B208" s="32" t="str">
        <f>'A) Base RI'!B208</f>
        <v>Trélex</v>
      </c>
      <c r="C208" s="10">
        <f>'A) Base RI'!C208+'A) Base RI'!D208</f>
        <v>7252490.8000000007</v>
      </c>
      <c r="D208" s="10">
        <f>'A) Base RI'!W208</f>
        <v>-100825.03</v>
      </c>
      <c r="E208" s="397">
        <f>'A) Base RI'!X208</f>
        <v>0</v>
      </c>
      <c r="F208" s="397">
        <f>'A) Base RI'!Y208</f>
        <v>-100409.53</v>
      </c>
      <c r="G208" s="405">
        <f t="shared" si="18"/>
        <v>7051256.2400000002</v>
      </c>
      <c r="H208" s="10">
        <f>+'A) Base RI'!E208</f>
        <v>0</v>
      </c>
      <c r="I208" s="10">
        <f>+'A) Base RI'!F208</f>
        <v>0</v>
      </c>
      <c r="J208" s="10">
        <f>+'A) Base RI'!G208+'A) Base RI'!H208+'A) Base RI'!I208</f>
        <v>24239.043785895665</v>
      </c>
      <c r="K208" s="10">
        <f>+'A) Base RI'!J208</f>
        <v>68556.05</v>
      </c>
      <c r="L208" s="10">
        <f>+'A) Base RI'!K208</f>
        <v>49267.199999999997</v>
      </c>
      <c r="M208" s="10">
        <f>+'A) Base RI'!L208</f>
        <v>5000.7</v>
      </c>
      <c r="N208" s="10">
        <f>+'A) Base RI'!R208</f>
        <v>42579.76</v>
      </c>
      <c r="O208" s="10">
        <f t="shared" si="19"/>
        <v>419316.44444444444</v>
      </c>
      <c r="P208" s="10">
        <f>+'A) Base RI'!M208</f>
        <v>377384.8</v>
      </c>
      <c r="Q208" s="413">
        <f>'A) Base RI'!Z208</f>
        <v>0.9</v>
      </c>
      <c r="R208" s="405">
        <f t="shared" si="20"/>
        <v>7660215.4382303394</v>
      </c>
      <c r="S208" s="401">
        <f>+'A) Base RI'!U208</f>
        <v>57</v>
      </c>
      <c r="T208" s="405">
        <f t="shared" si="21"/>
        <v>7235898.2937858952</v>
      </c>
      <c r="U208" s="405">
        <f t="shared" si="22"/>
        <v>134389.74453035684</v>
      </c>
      <c r="V208" s="10">
        <f>+'A) Base RI'!P208</f>
        <v>221.9</v>
      </c>
      <c r="W208" s="10">
        <f>+'A) Base RI'!Q208</f>
        <v>315881.5</v>
      </c>
      <c r="X208" s="10">
        <f>+'A) Base RI'!S208</f>
        <v>204150</v>
      </c>
      <c r="Y208" s="405">
        <f t="shared" si="23"/>
        <v>520253.4</v>
      </c>
      <c r="Z208" s="10">
        <f>+'A) Base RI'!O208</f>
        <v>9246.0499999999993</v>
      </c>
      <c r="AA208" s="10">
        <f>'A) Base RI'!V208</f>
        <v>1434</v>
      </c>
    </row>
    <row r="209" spans="1:27" x14ac:dyDescent="0.25">
      <c r="A209" s="8">
        <f>'A) Base RI'!A209</f>
        <v>5731</v>
      </c>
      <c r="B209" s="32" t="str">
        <f>'A) Base RI'!B209</f>
        <v>Le Vaud</v>
      </c>
      <c r="C209" s="10">
        <f>'A) Base RI'!C209+'A) Base RI'!D209</f>
        <v>4363007.0199999996</v>
      </c>
      <c r="D209" s="10">
        <f>'A) Base RI'!W209</f>
        <v>-64816.57</v>
      </c>
      <c r="E209" s="397">
        <f>'A) Base RI'!X209</f>
        <v>0</v>
      </c>
      <c r="F209" s="397">
        <f>'A) Base RI'!Y209</f>
        <v>-528.07000000000005</v>
      </c>
      <c r="G209" s="405">
        <f t="shared" si="18"/>
        <v>4297662.379999999</v>
      </c>
      <c r="H209" s="10">
        <f>+'A) Base RI'!E209</f>
        <v>0</v>
      </c>
      <c r="I209" s="10">
        <f>+'A) Base RI'!F209</f>
        <v>0</v>
      </c>
      <c r="J209" s="10">
        <f>+'A) Base RI'!G209+'A) Base RI'!H209+'A) Base RI'!I209</f>
        <v>32698.020757188264</v>
      </c>
      <c r="K209" s="10">
        <f>+'A) Base RI'!J209</f>
        <v>0</v>
      </c>
      <c r="L209" s="10">
        <f>+'A) Base RI'!K209</f>
        <v>44706.05</v>
      </c>
      <c r="M209" s="10">
        <f>+'A) Base RI'!L209</f>
        <v>4190.5</v>
      </c>
      <c r="N209" s="10">
        <f>+'A) Base RI'!R209</f>
        <v>3324.37</v>
      </c>
      <c r="O209" s="10">
        <f t="shared" si="19"/>
        <v>263777.2</v>
      </c>
      <c r="P209" s="10">
        <f>+'A) Base RI'!M209</f>
        <v>395665.8</v>
      </c>
      <c r="Q209" s="413">
        <f>'A) Base RI'!Z209</f>
        <v>1.5</v>
      </c>
      <c r="R209" s="405">
        <f t="shared" si="20"/>
        <v>4646358.5207571872</v>
      </c>
      <c r="S209" s="401">
        <f>+'A) Base RI'!U209</f>
        <v>75</v>
      </c>
      <c r="T209" s="405">
        <f t="shared" si="21"/>
        <v>4378390.820757187</v>
      </c>
      <c r="U209" s="405">
        <f t="shared" si="22"/>
        <v>61951.44694342916</v>
      </c>
      <c r="V209" s="10">
        <f>+'A) Base RI'!P209</f>
        <v>426957.4</v>
      </c>
      <c r="W209" s="10">
        <f>+'A) Base RI'!Q209</f>
        <v>170662.15</v>
      </c>
      <c r="X209" s="10">
        <f>+'A) Base RI'!S209</f>
        <v>122454.25</v>
      </c>
      <c r="Y209" s="405">
        <f t="shared" si="23"/>
        <v>720073.8</v>
      </c>
      <c r="Z209" s="10">
        <f>+'A) Base RI'!O209</f>
        <v>36501.300000000003</v>
      </c>
      <c r="AA209" s="10">
        <f>'A) Base RI'!V209</f>
        <v>1362</v>
      </c>
    </row>
    <row r="210" spans="1:27" x14ac:dyDescent="0.25">
      <c r="A210" s="8">
        <f>'A) Base RI'!A210</f>
        <v>5732</v>
      </c>
      <c r="B210" s="32" t="str">
        <f>'A) Base RI'!B210</f>
        <v>Vich</v>
      </c>
      <c r="C210" s="10">
        <f>'A) Base RI'!C210+'A) Base RI'!D210</f>
        <v>3562331.32</v>
      </c>
      <c r="D210" s="10">
        <f>'A) Base RI'!W210</f>
        <v>-96968.61</v>
      </c>
      <c r="E210" s="397">
        <f>'A) Base RI'!X210</f>
        <v>0</v>
      </c>
      <c r="F210" s="397">
        <f>'A) Base RI'!Y210</f>
        <v>-7152.81</v>
      </c>
      <c r="G210" s="405">
        <f t="shared" si="18"/>
        <v>3458209.9</v>
      </c>
      <c r="H210" s="10">
        <f>+'A) Base RI'!E210</f>
        <v>0</v>
      </c>
      <c r="I210" s="10">
        <f>+'A) Base RI'!F210</f>
        <v>0</v>
      </c>
      <c r="J210" s="10">
        <f>+'A) Base RI'!G210+'A) Base RI'!H210+'A) Base RI'!I210</f>
        <v>-161175.6</v>
      </c>
      <c r="K210" s="10">
        <f>+'A) Base RI'!J210</f>
        <v>392553.95</v>
      </c>
      <c r="L210" s="10">
        <f>+'A) Base RI'!K210</f>
        <v>55985.18</v>
      </c>
      <c r="M210" s="10">
        <f>+'A) Base RI'!L210</f>
        <v>15660.35</v>
      </c>
      <c r="N210" s="10">
        <f>+'A) Base RI'!R210</f>
        <v>3748.62</v>
      </c>
      <c r="O210" s="10">
        <f t="shared" si="19"/>
        <v>365980.3</v>
      </c>
      <c r="P210" s="10">
        <f>+'A) Base RI'!M210</f>
        <v>365980.3</v>
      </c>
      <c r="Q210" s="413">
        <f>'A) Base RI'!Z210</f>
        <v>1</v>
      </c>
      <c r="R210" s="405">
        <f t="shared" si="20"/>
        <v>4130962.7</v>
      </c>
      <c r="S210" s="401">
        <f>+'A) Base RI'!U210</f>
        <v>66</v>
      </c>
      <c r="T210" s="405">
        <f t="shared" si="21"/>
        <v>3749322.0500000003</v>
      </c>
      <c r="U210" s="405">
        <f t="shared" si="22"/>
        <v>62590.343939393941</v>
      </c>
      <c r="V210" s="10">
        <f>+'A) Base RI'!P210</f>
        <v>0</v>
      </c>
      <c r="W210" s="10">
        <f>+'A) Base RI'!Q210</f>
        <v>71467</v>
      </c>
      <c r="X210" s="10">
        <f>+'A) Base RI'!S210</f>
        <v>293405.75</v>
      </c>
      <c r="Y210" s="405">
        <f t="shared" si="23"/>
        <v>364872.75</v>
      </c>
      <c r="Z210" s="10">
        <f>+'A) Base RI'!O210</f>
        <v>81769.7</v>
      </c>
      <c r="AA210" s="10">
        <f>'A) Base RI'!V210</f>
        <v>1083</v>
      </c>
    </row>
    <row r="211" spans="1:27" x14ac:dyDescent="0.25">
      <c r="A211" s="8">
        <f>'A) Base RI'!A211</f>
        <v>5741</v>
      </c>
      <c r="B211" s="32" t="str">
        <f>'A) Base RI'!B211</f>
        <v>L'Abergement</v>
      </c>
      <c r="C211" s="10">
        <f>'A) Base RI'!C211+'A) Base RI'!D211</f>
        <v>536422.25</v>
      </c>
      <c r="D211" s="10">
        <f>'A) Base RI'!W211</f>
        <v>-7718</v>
      </c>
      <c r="E211" s="397">
        <f>'A) Base RI'!X211</f>
        <v>0</v>
      </c>
      <c r="F211" s="397">
        <f>'A) Base RI'!Y211</f>
        <v>-7.0000000000000007E-2</v>
      </c>
      <c r="G211" s="405">
        <f t="shared" si="18"/>
        <v>528704.18000000005</v>
      </c>
      <c r="H211" s="10">
        <f>+'A) Base RI'!E211</f>
        <v>0</v>
      </c>
      <c r="I211" s="10">
        <f>+'A) Base RI'!F211</f>
        <v>1480</v>
      </c>
      <c r="J211" s="10">
        <f>+'A) Base RI'!G211+'A) Base RI'!H211+'A) Base RI'!I211</f>
        <v>7219.0867728859721</v>
      </c>
      <c r="K211" s="10">
        <f>+'A) Base RI'!J211</f>
        <v>0</v>
      </c>
      <c r="L211" s="10">
        <f>+'A) Base RI'!K211</f>
        <v>2049.08</v>
      </c>
      <c r="M211" s="10">
        <f>+'A) Base RI'!L211</f>
        <v>0</v>
      </c>
      <c r="N211" s="10">
        <f>+'A) Base RI'!R211</f>
        <v>0</v>
      </c>
      <c r="O211" s="10">
        <f t="shared" si="19"/>
        <v>38590</v>
      </c>
      <c r="P211" s="10">
        <f>+'A) Base RI'!M211</f>
        <v>46308</v>
      </c>
      <c r="Q211" s="413">
        <f>'A) Base RI'!Z211</f>
        <v>1.2</v>
      </c>
      <c r="R211" s="405">
        <f t="shared" si="20"/>
        <v>578042.346772886</v>
      </c>
      <c r="S211" s="401">
        <f>+'A) Base RI'!U211</f>
        <v>81</v>
      </c>
      <c r="T211" s="405">
        <f t="shared" si="21"/>
        <v>537972.346772886</v>
      </c>
      <c r="U211" s="405">
        <f t="shared" si="22"/>
        <v>7136.3252688010616</v>
      </c>
      <c r="V211" s="10">
        <f>+'A) Base RI'!P211</f>
        <v>0</v>
      </c>
      <c r="W211" s="10">
        <f>+'A) Base RI'!Q211</f>
        <v>17160</v>
      </c>
      <c r="X211" s="10">
        <f>+'A) Base RI'!S211</f>
        <v>17949.900000000001</v>
      </c>
      <c r="Y211" s="405">
        <f t="shared" si="23"/>
        <v>35109.9</v>
      </c>
      <c r="Z211" s="10">
        <f>+'A) Base RI'!O211</f>
        <v>21051.95</v>
      </c>
      <c r="AA211" s="10">
        <f>'A) Base RI'!V211</f>
        <v>244</v>
      </c>
    </row>
    <row r="212" spans="1:27" x14ac:dyDescent="0.25">
      <c r="A212" s="8">
        <f>'A) Base RI'!A212</f>
        <v>5742</v>
      </c>
      <c r="B212" s="32" t="str">
        <f>'A) Base RI'!B212</f>
        <v>Agiez</v>
      </c>
      <c r="C212" s="10">
        <f>'A) Base RI'!C212+'A) Base RI'!D212</f>
        <v>608918.17000000004</v>
      </c>
      <c r="D212" s="10">
        <f>'A) Base RI'!W212</f>
        <v>-17619.240000000002</v>
      </c>
      <c r="E212" s="397">
        <f>'A) Base RI'!X212</f>
        <v>0</v>
      </c>
      <c r="F212" s="397">
        <f>'A) Base RI'!Y212</f>
        <v>0</v>
      </c>
      <c r="G212" s="405">
        <f t="shared" si="18"/>
        <v>591298.93000000005</v>
      </c>
      <c r="H212" s="10">
        <f>+'A) Base RI'!E212</f>
        <v>0</v>
      </c>
      <c r="I212" s="10">
        <f>+'A) Base RI'!F212</f>
        <v>0</v>
      </c>
      <c r="J212" s="10">
        <f>+'A) Base RI'!G212+'A) Base RI'!H212+'A) Base RI'!I212</f>
        <v>9375.4249115445546</v>
      </c>
      <c r="K212" s="10">
        <f>+'A) Base RI'!J212</f>
        <v>0</v>
      </c>
      <c r="L212" s="10">
        <f>+'A) Base RI'!K212</f>
        <v>31129.64</v>
      </c>
      <c r="M212" s="10">
        <f>+'A) Base RI'!L212</f>
        <v>798.3</v>
      </c>
      <c r="N212" s="10">
        <f>+'A) Base RI'!R212</f>
        <v>0</v>
      </c>
      <c r="O212" s="10">
        <f t="shared" si="19"/>
        <v>52334.6</v>
      </c>
      <c r="P212" s="10">
        <f>+'A) Base RI'!M212</f>
        <v>26167.3</v>
      </c>
      <c r="Q212" s="413">
        <f>'A) Base RI'!Z212</f>
        <v>0.5</v>
      </c>
      <c r="R212" s="405">
        <f t="shared" si="20"/>
        <v>684936.89491154463</v>
      </c>
      <c r="S212" s="401">
        <f>+'A) Base RI'!U212</f>
        <v>76</v>
      </c>
      <c r="T212" s="405">
        <f t="shared" si="21"/>
        <v>631803.99491154461</v>
      </c>
      <c r="U212" s="405">
        <f t="shared" si="22"/>
        <v>9012.3275646255879</v>
      </c>
      <c r="V212" s="10">
        <f>+'A) Base RI'!P212</f>
        <v>0</v>
      </c>
      <c r="W212" s="10">
        <f>+'A) Base RI'!Q212</f>
        <v>49908.25</v>
      </c>
      <c r="X212" s="10">
        <f>+'A) Base RI'!S212</f>
        <v>17004.599999999999</v>
      </c>
      <c r="Y212" s="405">
        <f t="shared" si="23"/>
        <v>66912.850000000006</v>
      </c>
      <c r="Z212" s="10">
        <f>+'A) Base RI'!O212</f>
        <v>0</v>
      </c>
      <c r="AA212" s="10">
        <f>'A) Base RI'!V212</f>
        <v>354</v>
      </c>
    </row>
    <row r="213" spans="1:27" x14ac:dyDescent="0.25">
      <c r="A213" s="8">
        <f>'A) Base RI'!A213</f>
        <v>5743</v>
      </c>
      <c r="B213" s="32" t="str">
        <f>'A) Base RI'!B213</f>
        <v>Arnex-sur-Orbe</v>
      </c>
      <c r="C213" s="10">
        <f>'A) Base RI'!C213+'A) Base RI'!D213</f>
        <v>1292967.47</v>
      </c>
      <c r="D213" s="10">
        <f>'A) Base RI'!W213</f>
        <v>-4378.76</v>
      </c>
      <c r="E213" s="397">
        <f>'A) Base RI'!X213</f>
        <v>0</v>
      </c>
      <c r="F213" s="397">
        <f>'A) Base RI'!Y213</f>
        <v>-284.19</v>
      </c>
      <c r="G213" s="405">
        <f t="shared" si="18"/>
        <v>1288304.52</v>
      </c>
      <c r="H213" s="10">
        <f>+'A) Base RI'!E213</f>
        <v>0</v>
      </c>
      <c r="I213" s="10">
        <f>+'A) Base RI'!F213</f>
        <v>0</v>
      </c>
      <c r="J213" s="10">
        <f>+'A) Base RI'!G213+'A) Base RI'!H213+'A) Base RI'!I213</f>
        <v>6112.9627691566056</v>
      </c>
      <c r="K213" s="10">
        <f>+'A) Base RI'!J213</f>
        <v>0</v>
      </c>
      <c r="L213" s="10">
        <f>+'A) Base RI'!K213</f>
        <v>3711.66</v>
      </c>
      <c r="M213" s="10">
        <f>+'A) Base RI'!L213</f>
        <v>0</v>
      </c>
      <c r="N213" s="10">
        <f>+'A) Base RI'!R213</f>
        <v>2130.6999999999998</v>
      </c>
      <c r="O213" s="10">
        <f t="shared" si="19"/>
        <v>85670.0625</v>
      </c>
      <c r="P213" s="10">
        <f>+'A) Base RI'!M213</f>
        <v>68536.05</v>
      </c>
      <c r="Q213" s="413">
        <f>'A) Base RI'!Z213</f>
        <v>0.8</v>
      </c>
      <c r="R213" s="405">
        <f t="shared" si="20"/>
        <v>1385929.9052691564</v>
      </c>
      <c r="S213" s="401">
        <f>+'A) Base RI'!U213</f>
        <v>73</v>
      </c>
      <c r="T213" s="405">
        <f t="shared" si="21"/>
        <v>1300259.8427691564</v>
      </c>
      <c r="U213" s="405">
        <f t="shared" si="22"/>
        <v>18985.341168070638</v>
      </c>
      <c r="V213" s="10">
        <f>+'A) Base RI'!P213</f>
        <v>143911.6</v>
      </c>
      <c r="W213" s="10">
        <f>+'A) Base RI'!Q213</f>
        <v>31227.9</v>
      </c>
      <c r="X213" s="10">
        <f>+'A) Base RI'!S213</f>
        <v>25402.85</v>
      </c>
      <c r="Y213" s="405">
        <f t="shared" si="23"/>
        <v>200542.35</v>
      </c>
      <c r="Z213" s="10">
        <f>+'A) Base RI'!O213</f>
        <v>28664.35</v>
      </c>
      <c r="AA213" s="10">
        <f>'A) Base RI'!V213</f>
        <v>633</v>
      </c>
    </row>
    <row r="214" spans="1:27" x14ac:dyDescent="0.25">
      <c r="A214" s="8">
        <f>'A) Base RI'!A214</f>
        <v>5744</v>
      </c>
      <c r="B214" s="32" t="str">
        <f>'A) Base RI'!B214</f>
        <v>Ballaigues</v>
      </c>
      <c r="C214" s="10">
        <f>'A) Base RI'!C214+'A) Base RI'!D214</f>
        <v>1517822.26</v>
      </c>
      <c r="D214" s="10">
        <f>'A) Base RI'!W214</f>
        <v>-33141.129999999997</v>
      </c>
      <c r="E214" s="397">
        <f>'A) Base RI'!X214</f>
        <v>0</v>
      </c>
      <c r="F214" s="397">
        <f>'A) Base RI'!Y214</f>
        <v>-2056.0500000000002</v>
      </c>
      <c r="G214" s="405">
        <f t="shared" si="18"/>
        <v>1482625.08</v>
      </c>
      <c r="H214" s="10">
        <f>+'A) Base RI'!E214</f>
        <v>0</v>
      </c>
      <c r="I214" s="10">
        <f>+'A) Base RI'!F214</f>
        <v>6290</v>
      </c>
      <c r="J214" s="10">
        <f>+'A) Base RI'!G214+'A) Base RI'!H214+'A) Base RI'!I214</f>
        <v>2201670.4921591729</v>
      </c>
      <c r="K214" s="10">
        <f>+'A) Base RI'!J214</f>
        <v>0</v>
      </c>
      <c r="L214" s="10">
        <f>+'A) Base RI'!K214</f>
        <v>76190.789999999994</v>
      </c>
      <c r="M214" s="10">
        <f>+'A) Base RI'!L214</f>
        <v>0</v>
      </c>
      <c r="N214" s="10">
        <f>+'A) Base RI'!R214</f>
        <v>9578.92</v>
      </c>
      <c r="O214" s="10">
        <f t="shared" si="19"/>
        <v>173957.15</v>
      </c>
      <c r="P214" s="10">
        <f>+'A) Base RI'!M214</f>
        <v>173957.15</v>
      </c>
      <c r="Q214" s="413">
        <f>'A) Base RI'!Z214</f>
        <v>1</v>
      </c>
      <c r="R214" s="405">
        <f t="shared" si="20"/>
        <v>3950312.4321591728</v>
      </c>
      <c r="S214" s="401">
        <f>+'A) Base RI'!U214</f>
        <v>66</v>
      </c>
      <c r="T214" s="405">
        <f t="shared" si="21"/>
        <v>3770065.2821591729</v>
      </c>
      <c r="U214" s="405">
        <f t="shared" si="22"/>
        <v>59853.218669078378</v>
      </c>
      <c r="V214" s="10">
        <f>+'A) Base RI'!P214</f>
        <v>57070.8</v>
      </c>
      <c r="W214" s="10">
        <f>+'A) Base RI'!Q214</f>
        <v>60399.9</v>
      </c>
      <c r="X214" s="10">
        <f>+'A) Base RI'!S214</f>
        <v>25503.8</v>
      </c>
      <c r="Y214" s="405">
        <f t="shared" si="23"/>
        <v>142974.5</v>
      </c>
      <c r="Z214" s="10">
        <f>+'A) Base RI'!O214</f>
        <v>1627852.05</v>
      </c>
      <c r="AA214" s="10">
        <f>'A) Base RI'!V214</f>
        <v>1108</v>
      </c>
    </row>
    <row r="215" spans="1:27" x14ac:dyDescent="0.25">
      <c r="A215" s="8">
        <f>'A) Base RI'!A215</f>
        <v>5745</v>
      </c>
      <c r="B215" s="32" t="str">
        <f>'A) Base RI'!B215</f>
        <v>Baulmes</v>
      </c>
      <c r="C215" s="10">
        <f>'A) Base RI'!C215+'A) Base RI'!D215</f>
        <v>1931719.7400000002</v>
      </c>
      <c r="D215" s="10">
        <f>'A) Base RI'!W215</f>
        <v>-32505.78</v>
      </c>
      <c r="E215" s="397">
        <f>'A) Base RI'!X215</f>
        <v>0</v>
      </c>
      <c r="F215" s="397">
        <f>'A) Base RI'!Y215</f>
        <v>-14.75</v>
      </c>
      <c r="G215" s="405">
        <f t="shared" si="18"/>
        <v>1899199.2100000002</v>
      </c>
      <c r="H215" s="10">
        <f>+'A) Base RI'!E215</f>
        <v>0</v>
      </c>
      <c r="I215" s="10">
        <f>+'A) Base RI'!F215</f>
        <v>0</v>
      </c>
      <c r="J215" s="10">
        <f>+'A) Base RI'!G215+'A) Base RI'!H215+'A) Base RI'!I215</f>
        <v>84471.349112914366</v>
      </c>
      <c r="K215" s="10">
        <f>+'A) Base RI'!J215</f>
        <v>0</v>
      </c>
      <c r="L215" s="10">
        <f>+'A) Base RI'!K215</f>
        <v>27582.799999999999</v>
      </c>
      <c r="M215" s="10">
        <f>+'A) Base RI'!L215</f>
        <v>0</v>
      </c>
      <c r="N215" s="10">
        <f>+'A) Base RI'!R215</f>
        <v>16897.87</v>
      </c>
      <c r="O215" s="10">
        <f t="shared" si="19"/>
        <v>131546.1</v>
      </c>
      <c r="P215" s="10">
        <f>+'A) Base RI'!M215</f>
        <v>131546.1</v>
      </c>
      <c r="Q215" s="413">
        <f>'A) Base RI'!Z215</f>
        <v>1</v>
      </c>
      <c r="R215" s="405">
        <f t="shared" si="20"/>
        <v>2159697.3291129149</v>
      </c>
      <c r="S215" s="401">
        <f>+'A) Base RI'!U215</f>
        <v>78</v>
      </c>
      <c r="T215" s="405">
        <f t="shared" si="21"/>
        <v>2028151.2291129148</v>
      </c>
      <c r="U215" s="405">
        <f t="shared" si="22"/>
        <v>27688.42729631942</v>
      </c>
      <c r="V215" s="10">
        <f>+'A) Base RI'!P215</f>
        <v>0</v>
      </c>
      <c r="W215" s="10">
        <f>+'A) Base RI'!Q215</f>
        <v>65257.65</v>
      </c>
      <c r="X215" s="10">
        <f>+'A) Base RI'!S215</f>
        <v>53988.15</v>
      </c>
      <c r="Y215" s="405">
        <f t="shared" si="23"/>
        <v>119245.8</v>
      </c>
      <c r="Z215" s="10">
        <f>+'A) Base RI'!O215</f>
        <v>185403.2</v>
      </c>
      <c r="AA215" s="10">
        <f>'A) Base RI'!V215</f>
        <v>1042</v>
      </c>
    </row>
    <row r="216" spans="1:27" x14ac:dyDescent="0.25">
      <c r="A216" s="8">
        <f>'A) Base RI'!A216</f>
        <v>5746</v>
      </c>
      <c r="B216" s="32" t="str">
        <f>'A) Base RI'!B216</f>
        <v>Bavois</v>
      </c>
      <c r="C216" s="10">
        <f>'A) Base RI'!C216+'A) Base RI'!D216</f>
        <v>1699542.5</v>
      </c>
      <c r="D216" s="10">
        <f>'A) Base RI'!W216</f>
        <v>-54535.56</v>
      </c>
      <c r="E216" s="397">
        <f>'A) Base RI'!X216</f>
        <v>0</v>
      </c>
      <c r="F216" s="397">
        <f>'A) Base RI'!Y216</f>
        <v>-106.41</v>
      </c>
      <c r="G216" s="405">
        <f t="shared" si="18"/>
        <v>1644900.53</v>
      </c>
      <c r="H216" s="10">
        <f>+'A) Base RI'!E216</f>
        <v>0</v>
      </c>
      <c r="I216" s="10">
        <f>+'A) Base RI'!F216</f>
        <v>0</v>
      </c>
      <c r="J216" s="10">
        <f>+'A) Base RI'!G216+'A) Base RI'!H216+'A) Base RI'!I216</f>
        <v>39071.971470915509</v>
      </c>
      <c r="K216" s="10">
        <f>+'A) Base RI'!J216</f>
        <v>0</v>
      </c>
      <c r="L216" s="10">
        <f>+'A) Base RI'!K216</f>
        <v>26732.77</v>
      </c>
      <c r="M216" s="10">
        <f>+'A) Base RI'!L216</f>
        <v>0</v>
      </c>
      <c r="N216" s="10">
        <f>+'A) Base RI'!R216</f>
        <v>26529.05</v>
      </c>
      <c r="O216" s="10">
        <f t="shared" si="19"/>
        <v>176100.41666666669</v>
      </c>
      <c r="P216" s="10">
        <f>+'A) Base RI'!M216</f>
        <v>211320.5</v>
      </c>
      <c r="Q216" s="413">
        <f>'A) Base RI'!Z216</f>
        <v>1.2</v>
      </c>
      <c r="R216" s="405">
        <f t="shared" si="20"/>
        <v>1913334.7381375823</v>
      </c>
      <c r="S216" s="401">
        <f>+'A) Base RI'!U216</f>
        <v>73</v>
      </c>
      <c r="T216" s="405">
        <f t="shared" si="21"/>
        <v>1737234.3214709156</v>
      </c>
      <c r="U216" s="405">
        <f t="shared" si="22"/>
        <v>26210.064905994277</v>
      </c>
      <c r="V216" s="10">
        <f>+'A) Base RI'!P216</f>
        <v>18580</v>
      </c>
      <c r="W216" s="10">
        <f>+'A) Base RI'!Q216</f>
        <v>161482.9</v>
      </c>
      <c r="X216" s="10">
        <f>+'A) Base RI'!S216</f>
        <v>16487.599999999999</v>
      </c>
      <c r="Y216" s="405">
        <f t="shared" si="23"/>
        <v>196550.5</v>
      </c>
      <c r="Z216" s="10">
        <f>+'A) Base RI'!O216</f>
        <v>21961.55</v>
      </c>
      <c r="AA216" s="10">
        <f>'A) Base RI'!V216</f>
        <v>952</v>
      </c>
    </row>
    <row r="217" spans="1:27" x14ac:dyDescent="0.25">
      <c r="A217" s="8">
        <f>'A) Base RI'!A217</f>
        <v>5747</v>
      </c>
      <c r="B217" s="32" t="str">
        <f>'A) Base RI'!B217</f>
        <v>Bofflens</v>
      </c>
      <c r="C217" s="10">
        <f>'A) Base RI'!C217+'A) Base RI'!D217</f>
        <v>361100.25</v>
      </c>
      <c r="D217" s="10">
        <f>'A) Base RI'!W217</f>
        <v>-498.38</v>
      </c>
      <c r="E217" s="397">
        <f>'A) Base RI'!X217</f>
        <v>0</v>
      </c>
      <c r="F217" s="397">
        <f>'A) Base RI'!Y217</f>
        <v>0</v>
      </c>
      <c r="G217" s="405">
        <f t="shared" si="18"/>
        <v>360601.87</v>
      </c>
      <c r="H217" s="10">
        <f>+'A) Base RI'!E217</f>
        <v>0</v>
      </c>
      <c r="I217" s="10">
        <f>+'A) Base RI'!F217</f>
        <v>0</v>
      </c>
      <c r="J217" s="10">
        <f>+'A) Base RI'!G217+'A) Base RI'!H217+'A) Base RI'!I217</f>
        <v>9247.2440619845656</v>
      </c>
      <c r="K217" s="10">
        <f>+'A) Base RI'!J217</f>
        <v>0</v>
      </c>
      <c r="L217" s="10">
        <f>+'A) Base RI'!K217</f>
        <v>6565.94</v>
      </c>
      <c r="M217" s="10">
        <f>+'A) Base RI'!L217</f>
        <v>0</v>
      </c>
      <c r="N217" s="10">
        <f>+'A) Base RI'!R217</f>
        <v>334.1</v>
      </c>
      <c r="O217" s="10">
        <f t="shared" si="19"/>
        <v>31648.6</v>
      </c>
      <c r="P217" s="10">
        <f>+'A) Base RI'!M217</f>
        <v>31648.6</v>
      </c>
      <c r="Q217" s="413">
        <f>'A) Base RI'!Z217</f>
        <v>1</v>
      </c>
      <c r="R217" s="405">
        <f t="shared" si="20"/>
        <v>408397.75406198454</v>
      </c>
      <c r="S217" s="401">
        <f>+'A) Base RI'!U217</f>
        <v>69</v>
      </c>
      <c r="T217" s="405">
        <f t="shared" si="21"/>
        <v>376749.15406198456</v>
      </c>
      <c r="U217" s="405">
        <f t="shared" si="22"/>
        <v>5918.808029883834</v>
      </c>
      <c r="V217" s="10">
        <f>+'A) Base RI'!P217</f>
        <v>0</v>
      </c>
      <c r="W217" s="10">
        <f>+'A) Base RI'!Q217</f>
        <v>12906.35</v>
      </c>
      <c r="X217" s="10">
        <f>+'A) Base RI'!S217</f>
        <v>1265.0999999999999</v>
      </c>
      <c r="Y217" s="405">
        <f t="shared" si="23"/>
        <v>14171.45</v>
      </c>
      <c r="Z217" s="10">
        <f>+'A) Base RI'!O217</f>
        <v>0</v>
      </c>
      <c r="AA217" s="10">
        <f>'A) Base RI'!V217</f>
        <v>194</v>
      </c>
    </row>
    <row r="218" spans="1:27" x14ac:dyDescent="0.25">
      <c r="A218" s="8">
        <f>'A) Base RI'!A218</f>
        <v>5748</v>
      </c>
      <c r="B218" s="32" t="str">
        <f>'A) Base RI'!B218</f>
        <v>Bretonnières</v>
      </c>
      <c r="C218" s="10">
        <f>'A) Base RI'!C218+'A) Base RI'!D218</f>
        <v>489761.27</v>
      </c>
      <c r="D218" s="10">
        <f>'A) Base RI'!W218</f>
        <v>-22846.58</v>
      </c>
      <c r="E218" s="397">
        <f>'A) Base RI'!X218</f>
        <v>0</v>
      </c>
      <c r="F218" s="397">
        <f>'A) Base RI'!Y218</f>
        <v>0</v>
      </c>
      <c r="G218" s="405">
        <f t="shared" si="18"/>
        <v>466914.69</v>
      </c>
      <c r="H218" s="10">
        <f>+'A) Base RI'!E218</f>
        <v>0</v>
      </c>
      <c r="I218" s="10">
        <f>+'A) Base RI'!F218</f>
        <v>2080</v>
      </c>
      <c r="J218" s="10">
        <f>+'A) Base RI'!G218+'A) Base RI'!H218+'A) Base RI'!I218</f>
        <v>519.60634878850726</v>
      </c>
      <c r="K218" s="10">
        <f>+'A) Base RI'!J218</f>
        <v>0</v>
      </c>
      <c r="L218" s="10">
        <f>+'A) Base RI'!K218</f>
        <v>-704.07</v>
      </c>
      <c r="M218" s="10">
        <f>+'A) Base RI'!L218</f>
        <v>0</v>
      </c>
      <c r="N218" s="10">
        <f>+'A) Base RI'!R218</f>
        <v>20981.279999999999</v>
      </c>
      <c r="O218" s="10">
        <f t="shared" si="19"/>
        <v>36516.916666666672</v>
      </c>
      <c r="P218" s="10">
        <f>+'A) Base RI'!M218</f>
        <v>21910.15</v>
      </c>
      <c r="Q218" s="413">
        <f>'A) Base RI'!Z218</f>
        <v>0.6</v>
      </c>
      <c r="R218" s="405">
        <f t="shared" si="20"/>
        <v>526308.42301545513</v>
      </c>
      <c r="S218" s="401">
        <f>+'A) Base RI'!U218</f>
        <v>72</v>
      </c>
      <c r="T218" s="405">
        <f t="shared" si="21"/>
        <v>487711.50634878851</v>
      </c>
      <c r="U218" s="405">
        <f t="shared" si="22"/>
        <v>7309.8392085479882</v>
      </c>
      <c r="V218" s="10">
        <f>+'A) Base RI'!P218</f>
        <v>0</v>
      </c>
      <c r="W218" s="10">
        <f>+'A) Base RI'!Q218</f>
        <v>21835</v>
      </c>
      <c r="X218" s="10">
        <f>+'A) Base RI'!S218</f>
        <v>8822</v>
      </c>
      <c r="Y218" s="405">
        <f t="shared" si="23"/>
        <v>30657</v>
      </c>
      <c r="Z218" s="10">
        <f>+'A) Base RI'!O218</f>
        <v>3153.95</v>
      </c>
      <c r="AA218" s="10">
        <f>'A) Base RI'!V218</f>
        <v>269</v>
      </c>
    </row>
    <row r="219" spans="1:27" x14ac:dyDescent="0.25">
      <c r="A219" s="8">
        <f>'A) Base RI'!A219</f>
        <v>5749</v>
      </c>
      <c r="B219" s="32" t="str">
        <f>'A) Base RI'!B219</f>
        <v>Chavornay</v>
      </c>
      <c r="C219" s="10">
        <f>'A) Base RI'!C219+'A) Base RI'!D219</f>
        <v>8489721.5199999996</v>
      </c>
      <c r="D219" s="10">
        <f>'A) Base RI'!W219</f>
        <v>-262098.52</v>
      </c>
      <c r="E219" s="397">
        <f>'A) Base RI'!X219</f>
        <v>0</v>
      </c>
      <c r="F219" s="397">
        <f>'A) Base RI'!Y219</f>
        <v>-2137.56</v>
      </c>
      <c r="G219" s="405">
        <f t="shared" si="18"/>
        <v>8225485.4400000004</v>
      </c>
      <c r="H219" s="10">
        <f>+'A) Base RI'!E219</f>
        <v>0</v>
      </c>
      <c r="I219" s="10">
        <f>+'A) Base RI'!F219</f>
        <v>0</v>
      </c>
      <c r="J219" s="10">
        <f>+'A) Base RI'!G219+'A) Base RI'!H219+'A) Base RI'!I219</f>
        <v>222673.71825397189</v>
      </c>
      <c r="K219" s="10">
        <f>+'A) Base RI'!J219</f>
        <v>-53462.9</v>
      </c>
      <c r="L219" s="10">
        <f>+'A) Base RI'!K219</f>
        <v>197893</v>
      </c>
      <c r="M219" s="10">
        <f>+'A) Base RI'!L219</f>
        <v>73983.199999999997</v>
      </c>
      <c r="N219" s="10">
        <f>+'A) Base RI'!R219</f>
        <v>49747.63</v>
      </c>
      <c r="O219" s="10">
        <f t="shared" si="19"/>
        <v>819167.95</v>
      </c>
      <c r="P219" s="10">
        <f>+'A) Base RI'!M219</f>
        <v>819167.95</v>
      </c>
      <c r="Q219" s="413">
        <f>'A) Base RI'!Z219</f>
        <v>1</v>
      </c>
      <c r="R219" s="405">
        <f t="shared" si="20"/>
        <v>9535488.0382539704</v>
      </c>
      <c r="S219" s="401">
        <f>+'A) Base RI'!U219</f>
        <v>72</v>
      </c>
      <c r="T219" s="405">
        <f t="shared" si="21"/>
        <v>8642336.8882539719</v>
      </c>
      <c r="U219" s="405">
        <f t="shared" si="22"/>
        <v>132437.33386463847</v>
      </c>
      <c r="V219" s="10">
        <f>+'A) Base RI'!P219</f>
        <v>255643.9</v>
      </c>
      <c r="W219" s="10">
        <f>+'A) Base RI'!Q219</f>
        <v>396785.65</v>
      </c>
      <c r="X219" s="10">
        <f>+'A) Base RI'!S219</f>
        <v>226660.5</v>
      </c>
      <c r="Y219" s="405">
        <f t="shared" si="23"/>
        <v>879090.05</v>
      </c>
      <c r="Z219" s="10">
        <f>+'A) Base RI'!O219</f>
        <v>582192.94999999995</v>
      </c>
      <c r="AA219" s="10">
        <f>'A) Base RI'!V219</f>
        <v>5135</v>
      </c>
    </row>
    <row r="220" spans="1:27" x14ac:dyDescent="0.25">
      <c r="A220" s="8">
        <f>'A) Base RI'!A220</f>
        <v>5750</v>
      </c>
      <c r="B220" s="32" t="str">
        <f>'A) Base RI'!B220</f>
        <v>Les Clées</v>
      </c>
      <c r="C220" s="10">
        <f>'A) Base RI'!C220+'A) Base RI'!D220</f>
        <v>371760.54000000004</v>
      </c>
      <c r="D220" s="10">
        <f>'A) Base RI'!W220</f>
        <v>-2778.65</v>
      </c>
      <c r="E220" s="397">
        <f>'A) Base RI'!X220</f>
        <v>0</v>
      </c>
      <c r="F220" s="397">
        <f>'A) Base RI'!Y220</f>
        <v>0</v>
      </c>
      <c r="G220" s="405">
        <f t="shared" si="18"/>
        <v>368981.89</v>
      </c>
      <c r="H220" s="10">
        <f>+'A) Base RI'!E220</f>
        <v>0</v>
      </c>
      <c r="I220" s="10">
        <f>+'A) Base RI'!F220</f>
        <v>1090</v>
      </c>
      <c r="J220" s="10">
        <f>+'A) Base RI'!G220+'A) Base RI'!H220+'A) Base RI'!I220</f>
        <v>25.275097096335749</v>
      </c>
      <c r="K220" s="10">
        <f>+'A) Base RI'!J220</f>
        <v>0</v>
      </c>
      <c r="L220" s="10">
        <f>+'A) Base RI'!K220</f>
        <v>11155.51</v>
      </c>
      <c r="M220" s="10">
        <f>+'A) Base RI'!L220</f>
        <v>229.5</v>
      </c>
      <c r="N220" s="10">
        <f>+'A) Base RI'!R220</f>
        <v>6.8</v>
      </c>
      <c r="O220" s="10">
        <f t="shared" si="19"/>
        <v>22159.666666666668</v>
      </c>
      <c r="P220" s="10">
        <f>+'A) Base RI'!M220</f>
        <v>13295.8</v>
      </c>
      <c r="Q220" s="413">
        <f>'A) Base RI'!Z220</f>
        <v>0.6</v>
      </c>
      <c r="R220" s="405">
        <f t="shared" si="20"/>
        <v>403648.64176376304</v>
      </c>
      <c r="S220" s="401">
        <f>+'A) Base RI'!U220</f>
        <v>80</v>
      </c>
      <c r="T220" s="405">
        <f t="shared" si="21"/>
        <v>380169.47509709635</v>
      </c>
      <c r="U220" s="405">
        <f t="shared" si="22"/>
        <v>5045.6080220470376</v>
      </c>
      <c r="V220" s="10">
        <f>+'A) Base RI'!P220</f>
        <v>0</v>
      </c>
      <c r="W220" s="10">
        <f>+'A) Base RI'!Q220</f>
        <v>1837</v>
      </c>
      <c r="X220" s="10">
        <f>+'A) Base RI'!S220</f>
        <v>0</v>
      </c>
      <c r="Y220" s="405">
        <f t="shared" si="23"/>
        <v>1837</v>
      </c>
      <c r="Z220" s="10">
        <f>+'A) Base RI'!O220</f>
        <v>9385.1</v>
      </c>
      <c r="AA220" s="10">
        <f>'A) Base RI'!V220</f>
        <v>185</v>
      </c>
    </row>
    <row r="221" spans="1:27" x14ac:dyDescent="0.25">
      <c r="A221" s="8">
        <f>'A) Base RI'!A221</f>
        <v>5752</v>
      </c>
      <c r="B221" s="32" t="str">
        <f>'A) Base RI'!B221</f>
        <v>Croy</v>
      </c>
      <c r="C221" s="10">
        <f>'A) Base RI'!C221+'A) Base RI'!D221</f>
        <v>665605.32000000007</v>
      </c>
      <c r="D221" s="10">
        <f>'A) Base RI'!W221</f>
        <v>-21537.07</v>
      </c>
      <c r="E221" s="397">
        <f>'A) Base RI'!X221</f>
        <v>0</v>
      </c>
      <c r="F221" s="397">
        <f>'A) Base RI'!Y221</f>
        <v>-5783.06</v>
      </c>
      <c r="G221" s="405">
        <f t="shared" si="18"/>
        <v>638285.19000000006</v>
      </c>
      <c r="H221" s="10">
        <f>+'A) Base RI'!E221</f>
        <v>0</v>
      </c>
      <c r="I221" s="10">
        <f>+'A) Base RI'!F221</f>
        <v>0</v>
      </c>
      <c r="J221" s="10">
        <f>+'A) Base RI'!G221+'A) Base RI'!H221+'A) Base RI'!I221</f>
        <v>1235.3767882108514</v>
      </c>
      <c r="K221" s="10">
        <f>+'A) Base RI'!J221</f>
        <v>0</v>
      </c>
      <c r="L221" s="10">
        <f>+'A) Base RI'!K221</f>
        <v>15676.71</v>
      </c>
      <c r="M221" s="10">
        <f>+'A) Base RI'!L221</f>
        <v>833.4</v>
      </c>
      <c r="N221" s="10">
        <f>+'A) Base RI'!R221</f>
        <v>1825.8</v>
      </c>
      <c r="O221" s="10">
        <f t="shared" si="19"/>
        <v>60562.857142857145</v>
      </c>
      <c r="P221" s="10">
        <f>+'A) Base RI'!M221</f>
        <v>42394</v>
      </c>
      <c r="Q221" s="413">
        <f>'A) Base RI'!Z221</f>
        <v>0.7</v>
      </c>
      <c r="R221" s="405">
        <f t="shared" si="20"/>
        <v>718419.33393106807</v>
      </c>
      <c r="S221" s="401">
        <f>+'A) Base RI'!U221</f>
        <v>74</v>
      </c>
      <c r="T221" s="405">
        <f t="shared" si="21"/>
        <v>657023.07678821089</v>
      </c>
      <c r="U221" s="405">
        <f t="shared" si="22"/>
        <v>9708.3693774468666</v>
      </c>
      <c r="V221" s="10">
        <f>+'A) Base RI'!P221</f>
        <v>0</v>
      </c>
      <c r="W221" s="10">
        <f>+'A) Base RI'!Q221</f>
        <v>16794.05</v>
      </c>
      <c r="X221" s="10">
        <f>+'A) Base RI'!S221</f>
        <v>17285.95</v>
      </c>
      <c r="Y221" s="405">
        <f t="shared" si="23"/>
        <v>34080</v>
      </c>
      <c r="Z221" s="10">
        <f>+'A) Base RI'!O221</f>
        <v>25500.3</v>
      </c>
      <c r="AA221" s="10">
        <f>'A) Base RI'!V221</f>
        <v>403</v>
      </c>
    </row>
    <row r="222" spans="1:27" x14ac:dyDescent="0.25">
      <c r="A222" s="8">
        <f>'A) Base RI'!A222</f>
        <v>5754</v>
      </c>
      <c r="B222" s="32" t="str">
        <f>'A) Base RI'!B222</f>
        <v>Juriens</v>
      </c>
      <c r="C222" s="10">
        <f>'A) Base RI'!C222+'A) Base RI'!D222</f>
        <v>686074.54</v>
      </c>
      <c r="D222" s="10">
        <f>'A) Base RI'!W222</f>
        <v>-9602.36</v>
      </c>
      <c r="E222" s="397">
        <f>'A) Base RI'!X222</f>
        <v>0</v>
      </c>
      <c r="F222" s="397">
        <f>'A) Base RI'!Y222</f>
        <v>-101.41</v>
      </c>
      <c r="G222" s="405">
        <f t="shared" si="18"/>
        <v>676370.77</v>
      </c>
      <c r="H222" s="10">
        <f>+'A) Base RI'!E222</f>
        <v>0</v>
      </c>
      <c r="I222" s="10">
        <f>+'A) Base RI'!F222</f>
        <v>0</v>
      </c>
      <c r="J222" s="10">
        <f>+'A) Base RI'!G222+'A) Base RI'!H222+'A) Base RI'!I222</f>
        <v>2251.4018409070759</v>
      </c>
      <c r="K222" s="10">
        <f>+'A) Base RI'!J222</f>
        <v>0</v>
      </c>
      <c r="L222" s="10">
        <f>+'A) Base RI'!K222</f>
        <v>3966.51</v>
      </c>
      <c r="M222" s="10">
        <f>+'A) Base RI'!L222</f>
        <v>1575.5</v>
      </c>
      <c r="N222" s="10">
        <f>+'A) Base RI'!R222</f>
        <v>5657.1</v>
      </c>
      <c r="O222" s="10">
        <f t="shared" si="19"/>
        <v>39827.1</v>
      </c>
      <c r="P222" s="10">
        <f>+'A) Base RI'!M222</f>
        <v>39827.1</v>
      </c>
      <c r="Q222" s="413">
        <f>'A) Base RI'!Z222</f>
        <v>1</v>
      </c>
      <c r="R222" s="405">
        <f t="shared" si="20"/>
        <v>729648.38184090704</v>
      </c>
      <c r="S222" s="401">
        <f>+'A) Base RI'!U222</f>
        <v>79</v>
      </c>
      <c r="T222" s="405">
        <f t="shared" si="21"/>
        <v>688245.78184090706</v>
      </c>
      <c r="U222" s="405">
        <f t="shared" si="22"/>
        <v>9236.0554663405946</v>
      </c>
      <c r="V222" s="10">
        <f>+'A) Base RI'!P222</f>
        <v>0</v>
      </c>
      <c r="W222" s="10">
        <f>+'A) Base RI'!Q222</f>
        <v>2444.85</v>
      </c>
      <c r="X222" s="10">
        <f>+'A) Base RI'!S222</f>
        <v>0</v>
      </c>
      <c r="Y222" s="405">
        <f t="shared" si="23"/>
        <v>2444.85</v>
      </c>
      <c r="Z222" s="10">
        <f>+'A) Base RI'!O222</f>
        <v>5642.65</v>
      </c>
      <c r="AA222" s="10">
        <f>'A) Base RI'!V222</f>
        <v>328</v>
      </c>
    </row>
    <row r="223" spans="1:27" x14ac:dyDescent="0.25">
      <c r="A223" s="8">
        <f>'A) Base RI'!A223</f>
        <v>5755</v>
      </c>
      <c r="B223" s="32" t="str">
        <f>'A) Base RI'!B223</f>
        <v>Lignerolle</v>
      </c>
      <c r="C223" s="10">
        <f>'A) Base RI'!C223+'A) Base RI'!D223</f>
        <v>712732.88</v>
      </c>
      <c r="D223" s="10">
        <f>'A) Base RI'!W223</f>
        <v>-8185.46</v>
      </c>
      <c r="E223" s="397">
        <f>'A) Base RI'!X223</f>
        <v>0</v>
      </c>
      <c r="F223" s="397">
        <f>'A) Base RI'!Y223</f>
        <v>0</v>
      </c>
      <c r="G223" s="405">
        <f t="shared" si="18"/>
        <v>704547.42</v>
      </c>
      <c r="H223" s="10">
        <f>+'A) Base RI'!E223</f>
        <v>0</v>
      </c>
      <c r="I223" s="10">
        <f>+'A) Base RI'!F223</f>
        <v>0</v>
      </c>
      <c r="J223" s="10">
        <f>+'A) Base RI'!G223+'A) Base RI'!H223+'A) Base RI'!I223</f>
        <v>7173.6141651635462</v>
      </c>
      <c r="K223" s="10">
        <f>+'A) Base RI'!J223</f>
        <v>0</v>
      </c>
      <c r="L223" s="10">
        <f>+'A) Base RI'!K223</f>
        <v>3785.33</v>
      </c>
      <c r="M223" s="10">
        <f>+'A) Base RI'!L223</f>
        <v>2533.1</v>
      </c>
      <c r="N223" s="10">
        <f>+'A) Base RI'!R223</f>
        <v>5562.9</v>
      </c>
      <c r="O223" s="10">
        <f t="shared" si="19"/>
        <v>61581.500000000007</v>
      </c>
      <c r="P223" s="10">
        <f>+'A) Base RI'!M223</f>
        <v>43107.05</v>
      </c>
      <c r="Q223" s="413">
        <f>'A) Base RI'!Z223</f>
        <v>0.7</v>
      </c>
      <c r="R223" s="405">
        <f t="shared" si="20"/>
        <v>785183.8641651636</v>
      </c>
      <c r="S223" s="401">
        <f>+'A) Base RI'!U223</f>
        <v>80</v>
      </c>
      <c r="T223" s="405">
        <f t="shared" si="21"/>
        <v>721069.26416516362</v>
      </c>
      <c r="U223" s="405">
        <f t="shared" si="22"/>
        <v>9814.7983020645443</v>
      </c>
      <c r="V223" s="10">
        <f>+'A) Base RI'!P223</f>
        <v>0</v>
      </c>
      <c r="W223" s="10">
        <f>+'A) Base RI'!Q223</f>
        <v>63834.9</v>
      </c>
      <c r="X223" s="10">
        <f>+'A) Base RI'!S223</f>
        <v>34972.15</v>
      </c>
      <c r="Y223" s="405">
        <f t="shared" si="23"/>
        <v>98807.05</v>
      </c>
      <c r="Z223" s="10">
        <f>+'A) Base RI'!O223</f>
        <v>25416.95</v>
      </c>
      <c r="AA223" s="10">
        <f>'A) Base RI'!V223</f>
        <v>437</v>
      </c>
    </row>
    <row r="224" spans="1:27" x14ac:dyDescent="0.25">
      <c r="A224" s="8">
        <f>'A) Base RI'!A224</f>
        <v>5756</v>
      </c>
      <c r="B224" s="32" t="str">
        <f>'A) Base RI'!B224</f>
        <v>Montcherand</v>
      </c>
      <c r="C224" s="10">
        <f>'A) Base RI'!C224+'A) Base RI'!D224</f>
        <v>1108171.1399999999</v>
      </c>
      <c r="D224" s="10">
        <f>'A) Base RI'!W224</f>
        <v>-20702.57</v>
      </c>
      <c r="E224" s="397">
        <f>'A) Base RI'!X224</f>
        <v>0</v>
      </c>
      <c r="F224" s="397">
        <f>'A) Base RI'!Y224</f>
        <v>-1228.77</v>
      </c>
      <c r="G224" s="405">
        <f t="shared" si="18"/>
        <v>1086239.7999999998</v>
      </c>
      <c r="H224" s="10">
        <f>+'A) Base RI'!E224</f>
        <v>0</v>
      </c>
      <c r="I224" s="10">
        <f>+'A) Base RI'!F224</f>
        <v>0</v>
      </c>
      <c r="J224" s="10">
        <f>+'A) Base RI'!G224+'A) Base RI'!H224+'A) Base RI'!I224</f>
        <v>-7647.7</v>
      </c>
      <c r="K224" s="10">
        <f>+'A) Base RI'!J224</f>
        <v>0</v>
      </c>
      <c r="L224" s="10">
        <f>+'A) Base RI'!K224</f>
        <v>5914.32</v>
      </c>
      <c r="M224" s="10">
        <f>+'A) Base RI'!L224</f>
        <v>160.4</v>
      </c>
      <c r="N224" s="10">
        <f>+'A) Base RI'!R224</f>
        <v>0</v>
      </c>
      <c r="O224" s="10">
        <f t="shared" si="19"/>
        <v>84984</v>
      </c>
      <c r="P224" s="10">
        <f>+'A) Base RI'!M224</f>
        <v>84984</v>
      </c>
      <c r="Q224" s="413">
        <f>'A) Base RI'!Z224</f>
        <v>1</v>
      </c>
      <c r="R224" s="405">
        <f t="shared" si="20"/>
        <v>1169650.8199999998</v>
      </c>
      <c r="S224" s="401">
        <f>+'A) Base RI'!U224</f>
        <v>72</v>
      </c>
      <c r="T224" s="405">
        <f t="shared" si="21"/>
        <v>1084506.42</v>
      </c>
      <c r="U224" s="405">
        <f t="shared" si="22"/>
        <v>16245.150277777775</v>
      </c>
      <c r="V224" s="10">
        <f>+'A) Base RI'!P224</f>
        <v>765</v>
      </c>
      <c r="W224" s="10">
        <f>+'A) Base RI'!Q224</f>
        <v>31400.6</v>
      </c>
      <c r="X224" s="10">
        <f>+'A) Base RI'!S224</f>
        <v>6990.4</v>
      </c>
      <c r="Y224" s="405">
        <f t="shared" si="23"/>
        <v>39156</v>
      </c>
      <c r="Z224" s="10">
        <f>+'A) Base RI'!O224</f>
        <v>29390.1</v>
      </c>
      <c r="AA224" s="10">
        <f>'A) Base RI'!V224</f>
        <v>505</v>
      </c>
    </row>
    <row r="225" spans="1:27" x14ac:dyDescent="0.25">
      <c r="A225" s="8">
        <f>'A) Base RI'!A225</f>
        <v>5757</v>
      </c>
      <c r="B225" s="32" t="str">
        <f>'A) Base RI'!B225</f>
        <v>Orbe</v>
      </c>
      <c r="C225" s="10">
        <f>'A) Base RI'!C225+'A) Base RI'!D225</f>
        <v>12299340.270000001</v>
      </c>
      <c r="D225" s="10">
        <f>'A) Base RI'!W225</f>
        <v>-409528.08</v>
      </c>
      <c r="E225" s="397">
        <f>'A) Base RI'!X225</f>
        <v>0</v>
      </c>
      <c r="F225" s="397">
        <f>'A) Base RI'!Y225</f>
        <v>-24544.12</v>
      </c>
      <c r="G225" s="405">
        <f t="shared" si="18"/>
        <v>11865268.070000002</v>
      </c>
      <c r="H225" s="10">
        <f>+'A) Base RI'!E225</f>
        <v>0</v>
      </c>
      <c r="I225" s="10">
        <f>+'A) Base RI'!F225</f>
        <v>0</v>
      </c>
      <c r="J225" s="10">
        <f>+'A) Base RI'!G225+'A) Base RI'!H225+'A) Base RI'!I225</f>
        <v>1757636.4016005723</v>
      </c>
      <c r="K225" s="10">
        <f>+'A) Base RI'!J225</f>
        <v>0</v>
      </c>
      <c r="L225" s="10">
        <f>+'A) Base RI'!K225</f>
        <v>421751.35</v>
      </c>
      <c r="M225" s="10">
        <f>+'A) Base RI'!L225</f>
        <v>110574.45</v>
      </c>
      <c r="N225" s="10">
        <f>+'A) Base RI'!R225</f>
        <v>59814.36</v>
      </c>
      <c r="O225" s="10">
        <f t="shared" si="19"/>
        <v>1290165.8</v>
      </c>
      <c r="P225" s="10">
        <f>+'A) Base RI'!M225</f>
        <v>1290165.8</v>
      </c>
      <c r="Q225" s="413">
        <f>'A) Base RI'!Z225</f>
        <v>1</v>
      </c>
      <c r="R225" s="405">
        <f t="shared" si="20"/>
        <v>15505210.431600573</v>
      </c>
      <c r="S225" s="401">
        <f>+'A) Base RI'!U225</f>
        <v>77</v>
      </c>
      <c r="T225" s="405">
        <f t="shared" si="21"/>
        <v>14104470.181600573</v>
      </c>
      <c r="U225" s="405">
        <f t="shared" si="22"/>
        <v>201366.36924156587</v>
      </c>
      <c r="V225" s="10">
        <f>+'A) Base RI'!P225</f>
        <v>77692.2</v>
      </c>
      <c r="W225" s="10">
        <f>+'A) Base RI'!Q225</f>
        <v>525535</v>
      </c>
      <c r="X225" s="10">
        <f>+'A) Base RI'!S225</f>
        <v>409342.65</v>
      </c>
      <c r="Y225" s="405">
        <f t="shared" si="23"/>
        <v>1012569.85</v>
      </c>
      <c r="Z225" s="10">
        <f>+'A) Base RI'!O225</f>
        <v>2385887.2999999998</v>
      </c>
      <c r="AA225" s="10">
        <f>'A) Base RI'!V225</f>
        <v>7030</v>
      </c>
    </row>
    <row r="226" spans="1:27" x14ac:dyDescent="0.25">
      <c r="A226" s="8">
        <f>'A) Base RI'!A226</f>
        <v>5758</v>
      </c>
      <c r="B226" s="32" t="str">
        <f>'A) Base RI'!B226</f>
        <v>La Praz</v>
      </c>
      <c r="C226" s="10">
        <f>'A) Base RI'!C226+'A) Base RI'!D226</f>
        <v>338593.07</v>
      </c>
      <c r="D226" s="10">
        <f>'A) Base RI'!W226</f>
        <v>-3824.08</v>
      </c>
      <c r="E226" s="397">
        <f>'A) Base RI'!X226</f>
        <v>0</v>
      </c>
      <c r="F226" s="397">
        <f>'A) Base RI'!Y226</f>
        <v>0</v>
      </c>
      <c r="G226" s="405">
        <f t="shared" si="18"/>
        <v>334768.99</v>
      </c>
      <c r="H226" s="10">
        <f>+'A) Base RI'!E226</f>
        <v>0</v>
      </c>
      <c r="I226" s="10">
        <f>+'A) Base RI'!F226</f>
        <v>1010</v>
      </c>
      <c r="J226" s="10">
        <f>+'A) Base RI'!G226+'A) Base RI'!H226+'A) Base RI'!I226</f>
        <v>7260.610146687095</v>
      </c>
      <c r="K226" s="10">
        <f>+'A) Base RI'!J226</f>
        <v>0</v>
      </c>
      <c r="L226" s="10">
        <f>+'A) Base RI'!K226</f>
        <v>699.76</v>
      </c>
      <c r="M226" s="10">
        <f>+'A) Base RI'!L226</f>
        <v>0</v>
      </c>
      <c r="N226" s="10">
        <f>+'A) Base RI'!R226</f>
        <v>5040.37</v>
      </c>
      <c r="O226" s="10">
        <f t="shared" si="19"/>
        <v>26244.333333333336</v>
      </c>
      <c r="P226" s="10">
        <f>+'A) Base RI'!M226</f>
        <v>23619.9</v>
      </c>
      <c r="Q226" s="413">
        <f>'A) Base RI'!Z226</f>
        <v>0.9</v>
      </c>
      <c r="R226" s="405">
        <f t="shared" si="20"/>
        <v>375024.06348002038</v>
      </c>
      <c r="S226" s="401">
        <f>+'A) Base RI'!U226</f>
        <v>83</v>
      </c>
      <c r="T226" s="405">
        <f t="shared" si="21"/>
        <v>347769.73014668707</v>
      </c>
      <c r="U226" s="405">
        <f t="shared" si="22"/>
        <v>4518.3622106026551</v>
      </c>
      <c r="V226" s="10">
        <f>+'A) Base RI'!P226</f>
        <v>0</v>
      </c>
      <c r="W226" s="10">
        <f>+'A) Base RI'!Q226</f>
        <v>25718.400000000001</v>
      </c>
      <c r="X226" s="10">
        <f>+'A) Base RI'!S226</f>
        <v>34052.5</v>
      </c>
      <c r="Y226" s="405">
        <f t="shared" si="23"/>
        <v>59770.9</v>
      </c>
      <c r="Z226" s="10">
        <f>+'A) Base RI'!O226</f>
        <v>0</v>
      </c>
      <c r="AA226" s="10">
        <f>'A) Base RI'!V226</f>
        <v>165</v>
      </c>
    </row>
    <row r="227" spans="1:27" x14ac:dyDescent="0.25">
      <c r="A227" s="8">
        <f>'A) Base RI'!A227</f>
        <v>5759</v>
      </c>
      <c r="B227" s="32" t="str">
        <f>'A) Base RI'!B227</f>
        <v>Premier</v>
      </c>
      <c r="C227" s="10">
        <f>'A) Base RI'!C227+'A) Base RI'!D227</f>
        <v>393004.19999999995</v>
      </c>
      <c r="D227" s="10">
        <f>'A) Base RI'!W227</f>
        <v>-11258.17</v>
      </c>
      <c r="E227" s="397">
        <f>'A) Base RI'!X227</f>
        <v>0</v>
      </c>
      <c r="F227" s="397">
        <f>'A) Base RI'!Y227</f>
        <v>-113.05</v>
      </c>
      <c r="G227" s="405">
        <f t="shared" si="18"/>
        <v>381632.98</v>
      </c>
      <c r="H227" s="10">
        <f>+'A) Base RI'!E227</f>
        <v>0</v>
      </c>
      <c r="I227" s="10">
        <f>+'A) Base RI'!F227</f>
        <v>0</v>
      </c>
      <c r="J227" s="10">
        <f>+'A) Base RI'!G227+'A) Base RI'!H227+'A) Base RI'!I227</f>
        <v>8474.4918188405718</v>
      </c>
      <c r="K227" s="10">
        <f>+'A) Base RI'!J227</f>
        <v>0</v>
      </c>
      <c r="L227" s="10">
        <f>+'A) Base RI'!K227</f>
        <v>8237.02</v>
      </c>
      <c r="M227" s="10">
        <f>+'A) Base RI'!L227</f>
        <v>242.95</v>
      </c>
      <c r="N227" s="10">
        <f>+'A) Base RI'!R227</f>
        <v>27.03</v>
      </c>
      <c r="O227" s="10">
        <f t="shared" si="19"/>
        <v>28590.3</v>
      </c>
      <c r="P227" s="10">
        <f>+'A) Base RI'!M227</f>
        <v>28590.3</v>
      </c>
      <c r="Q227" s="413">
        <f>'A) Base RI'!Z227</f>
        <v>1</v>
      </c>
      <c r="R227" s="405">
        <f t="shared" si="20"/>
        <v>427204.77181884059</v>
      </c>
      <c r="S227" s="401">
        <f>+'A) Base RI'!U227</f>
        <v>81</v>
      </c>
      <c r="T227" s="405">
        <f t="shared" si="21"/>
        <v>398371.52181884059</v>
      </c>
      <c r="U227" s="405">
        <f t="shared" si="22"/>
        <v>5274.1329854177848</v>
      </c>
      <c r="V227" s="10">
        <f>+'A) Base RI'!P227</f>
        <v>0</v>
      </c>
      <c r="W227" s="10">
        <f>+'A) Base RI'!Q227</f>
        <v>7397.8</v>
      </c>
      <c r="X227" s="10">
        <f>+'A) Base RI'!S227</f>
        <v>15682</v>
      </c>
      <c r="Y227" s="405">
        <f t="shared" si="23"/>
        <v>23079.8</v>
      </c>
      <c r="Z227" s="10">
        <f>+'A) Base RI'!O227</f>
        <v>3194.25</v>
      </c>
      <c r="AA227" s="10">
        <f>'A) Base RI'!V227</f>
        <v>215</v>
      </c>
    </row>
    <row r="228" spans="1:27" x14ac:dyDescent="0.25">
      <c r="A228" s="8">
        <f>'A) Base RI'!A228</f>
        <v>5760</v>
      </c>
      <c r="B228" s="32" t="str">
        <f>'A) Base RI'!B228</f>
        <v>Rances</v>
      </c>
      <c r="C228" s="10">
        <f>'A) Base RI'!C228+'A) Base RI'!D228</f>
        <v>899182.16</v>
      </c>
      <c r="D228" s="10">
        <f>'A) Base RI'!W228</f>
        <v>-11699.49</v>
      </c>
      <c r="E228" s="397">
        <f>'A) Base RI'!X228</f>
        <v>0</v>
      </c>
      <c r="F228" s="397">
        <f>'A) Base RI'!Y228</f>
        <v>-1918.01</v>
      </c>
      <c r="G228" s="405">
        <f t="shared" si="18"/>
        <v>885564.66</v>
      </c>
      <c r="H228" s="10">
        <f>+'A) Base RI'!E228</f>
        <v>0</v>
      </c>
      <c r="I228" s="10">
        <f>+'A) Base RI'!F228</f>
        <v>0</v>
      </c>
      <c r="J228" s="10">
        <f>+'A) Base RI'!G228+'A) Base RI'!H228+'A) Base RI'!I228</f>
        <v>2306.1833571582852</v>
      </c>
      <c r="K228" s="10">
        <f>+'A) Base RI'!J228</f>
        <v>0</v>
      </c>
      <c r="L228" s="10">
        <f>+'A) Base RI'!K228</f>
        <v>4654.07</v>
      </c>
      <c r="M228" s="10">
        <f>+'A) Base RI'!L228</f>
        <v>0</v>
      </c>
      <c r="N228" s="10">
        <f>+'A) Base RI'!R228</f>
        <v>2427.5</v>
      </c>
      <c r="O228" s="10">
        <f t="shared" si="19"/>
        <v>70239.03333333334</v>
      </c>
      <c r="P228" s="10">
        <f>+'A) Base RI'!M228</f>
        <v>105358.55</v>
      </c>
      <c r="Q228" s="413">
        <f>'A) Base RI'!Z228</f>
        <v>1.5</v>
      </c>
      <c r="R228" s="405">
        <f t="shared" si="20"/>
        <v>965191.44669049163</v>
      </c>
      <c r="S228" s="401">
        <f>+'A) Base RI'!U228</f>
        <v>78</v>
      </c>
      <c r="T228" s="405">
        <f t="shared" si="21"/>
        <v>894952.41335715831</v>
      </c>
      <c r="U228" s="405">
        <f t="shared" si="22"/>
        <v>12374.249316544765</v>
      </c>
      <c r="V228" s="10">
        <f>+'A) Base RI'!P228</f>
        <v>477.2</v>
      </c>
      <c r="W228" s="10">
        <f>+'A) Base RI'!Q228</f>
        <v>21138.6</v>
      </c>
      <c r="X228" s="10">
        <f>+'A) Base RI'!S228</f>
        <v>892.7</v>
      </c>
      <c r="Y228" s="405">
        <f t="shared" si="23"/>
        <v>22508.5</v>
      </c>
      <c r="Z228" s="10">
        <f>+'A) Base RI'!O228</f>
        <v>16854.2</v>
      </c>
      <c r="AA228" s="10">
        <f>'A) Base RI'!V228</f>
        <v>505</v>
      </c>
    </row>
    <row r="229" spans="1:27" x14ac:dyDescent="0.25">
      <c r="A229" s="8">
        <f>'A) Base RI'!A229</f>
        <v>5761</v>
      </c>
      <c r="B229" s="32" t="str">
        <f>'A) Base RI'!B229</f>
        <v>Romainmôtier-Envy</v>
      </c>
      <c r="C229" s="10">
        <f>'A) Base RI'!C229+'A) Base RI'!D229</f>
        <v>894604.48</v>
      </c>
      <c r="D229" s="10">
        <f>'A) Base RI'!W229</f>
        <v>-35972.910000000003</v>
      </c>
      <c r="E229" s="397">
        <f>'A) Base RI'!X229</f>
        <v>0</v>
      </c>
      <c r="F229" s="397">
        <f>'A) Base RI'!Y229</f>
        <v>0</v>
      </c>
      <c r="G229" s="405">
        <f t="shared" si="18"/>
        <v>858631.57</v>
      </c>
      <c r="H229" s="10">
        <f>+'A) Base RI'!E229</f>
        <v>0</v>
      </c>
      <c r="I229" s="10">
        <f>+'A) Base RI'!F229</f>
        <v>0</v>
      </c>
      <c r="J229" s="10">
        <f>+'A) Base RI'!G229+'A) Base RI'!H229+'A) Base RI'!I229</f>
        <v>16580.068771804046</v>
      </c>
      <c r="K229" s="10">
        <f>+'A) Base RI'!J229</f>
        <v>0</v>
      </c>
      <c r="L229" s="10">
        <f>+'A) Base RI'!K229</f>
        <v>17533.5</v>
      </c>
      <c r="M229" s="10">
        <f>+'A) Base RI'!L229</f>
        <v>6520.55</v>
      </c>
      <c r="N229" s="10">
        <f>+'A) Base RI'!R229</f>
        <v>12561.89</v>
      </c>
      <c r="O229" s="10">
        <f t="shared" si="19"/>
        <v>83861.045454545441</v>
      </c>
      <c r="P229" s="10">
        <f>+'A) Base RI'!M229</f>
        <v>92247.15</v>
      </c>
      <c r="Q229" s="413">
        <f>'A) Base RI'!Z229</f>
        <v>1.1000000000000001</v>
      </c>
      <c r="R229" s="405">
        <f t="shared" si="20"/>
        <v>995688.62422634952</v>
      </c>
      <c r="S229" s="401">
        <f>+'A) Base RI'!U229</f>
        <v>81</v>
      </c>
      <c r="T229" s="405">
        <f t="shared" si="21"/>
        <v>905307.02877180406</v>
      </c>
      <c r="U229" s="405">
        <f t="shared" si="22"/>
        <v>12292.452150942587</v>
      </c>
      <c r="V229" s="10">
        <f>+'A) Base RI'!P229</f>
        <v>17444</v>
      </c>
      <c r="W229" s="10">
        <f>+'A) Base RI'!Q229</f>
        <v>31666.35</v>
      </c>
      <c r="X229" s="10">
        <f>+'A) Base RI'!S229</f>
        <v>61949.05</v>
      </c>
      <c r="Y229" s="405">
        <f t="shared" si="23"/>
        <v>111059.4</v>
      </c>
      <c r="Z229" s="10">
        <f>+'A) Base RI'!O229</f>
        <v>54355.95</v>
      </c>
      <c r="AA229" s="10">
        <f>'A) Base RI'!V229</f>
        <v>535</v>
      </c>
    </row>
    <row r="230" spans="1:27" x14ac:dyDescent="0.25">
      <c r="A230" s="8">
        <f>'A) Base RI'!A230</f>
        <v>5762</v>
      </c>
      <c r="B230" s="32" t="str">
        <f>'A) Base RI'!B230</f>
        <v>Sergey</v>
      </c>
      <c r="C230" s="10">
        <f>'A) Base RI'!C230+'A) Base RI'!D230</f>
        <v>273820.53999999998</v>
      </c>
      <c r="D230" s="10">
        <f>'A) Base RI'!W230</f>
        <v>-3659.26</v>
      </c>
      <c r="E230" s="397">
        <f>'A) Base RI'!X230</f>
        <v>0</v>
      </c>
      <c r="F230" s="397">
        <f>'A) Base RI'!Y230</f>
        <v>0</v>
      </c>
      <c r="G230" s="405">
        <f t="shared" si="18"/>
        <v>270161.27999999997</v>
      </c>
      <c r="H230" s="10">
        <f>+'A) Base RI'!E230</f>
        <v>0</v>
      </c>
      <c r="I230" s="10">
        <f>+'A) Base RI'!F230</f>
        <v>0</v>
      </c>
      <c r="J230" s="10">
        <f>+'A) Base RI'!G230+'A) Base RI'!H230+'A) Base RI'!I230</f>
        <v>16426.725660402619</v>
      </c>
      <c r="K230" s="10">
        <f>+'A) Base RI'!J230</f>
        <v>0</v>
      </c>
      <c r="L230" s="10">
        <f>+'A) Base RI'!K230</f>
        <v>1087.5</v>
      </c>
      <c r="M230" s="10">
        <f>+'A) Base RI'!L230</f>
        <v>75</v>
      </c>
      <c r="N230" s="10">
        <f>+'A) Base RI'!R230</f>
        <v>4050.2</v>
      </c>
      <c r="O230" s="10">
        <f t="shared" si="19"/>
        <v>19868.599999999999</v>
      </c>
      <c r="P230" s="10">
        <f>+'A) Base RI'!M230</f>
        <v>19868.599999999999</v>
      </c>
      <c r="Q230" s="413">
        <f>'A) Base RI'!Z230</f>
        <v>1</v>
      </c>
      <c r="R230" s="405">
        <f t="shared" si="20"/>
        <v>311669.30566040258</v>
      </c>
      <c r="S230" s="401">
        <f>+'A) Base RI'!U230</f>
        <v>78</v>
      </c>
      <c r="T230" s="405">
        <f t="shared" si="21"/>
        <v>291725.7056604026</v>
      </c>
      <c r="U230" s="405">
        <f t="shared" si="22"/>
        <v>3995.7603289795202</v>
      </c>
      <c r="V230" s="10">
        <f>+'A) Base RI'!P230</f>
        <v>0</v>
      </c>
      <c r="W230" s="10">
        <f>+'A) Base RI'!Q230</f>
        <v>880</v>
      </c>
      <c r="X230" s="10">
        <f>+'A) Base RI'!S230</f>
        <v>1152.75</v>
      </c>
      <c r="Y230" s="405">
        <f t="shared" si="23"/>
        <v>2032.75</v>
      </c>
      <c r="Z230" s="10">
        <f>+'A) Base RI'!O230</f>
        <v>8622.5</v>
      </c>
      <c r="AA230" s="10">
        <f>'A) Base RI'!V230</f>
        <v>145</v>
      </c>
    </row>
    <row r="231" spans="1:27" x14ac:dyDescent="0.25">
      <c r="A231" s="8">
        <f>'A) Base RI'!A231</f>
        <v>5763</v>
      </c>
      <c r="B231" s="32" t="str">
        <f>'A) Base RI'!B231</f>
        <v>Valeyres-sous-Rances</v>
      </c>
      <c r="C231" s="10">
        <f>'A) Base RI'!C231+'A) Base RI'!D231</f>
        <v>1349224.44</v>
      </c>
      <c r="D231" s="10">
        <f>'A) Base RI'!W231</f>
        <v>-14704.25</v>
      </c>
      <c r="E231" s="397">
        <f>'A) Base RI'!X231</f>
        <v>0</v>
      </c>
      <c r="F231" s="397">
        <f>'A) Base RI'!Y231</f>
        <v>-348.45</v>
      </c>
      <c r="G231" s="405">
        <f t="shared" si="18"/>
        <v>1334171.74</v>
      </c>
      <c r="H231" s="10">
        <f>+'A) Base RI'!E231</f>
        <v>0</v>
      </c>
      <c r="I231" s="10">
        <f>+'A) Base RI'!F231</f>
        <v>3240</v>
      </c>
      <c r="J231" s="10">
        <f>+'A) Base RI'!G231+'A) Base RI'!H231+'A) Base RI'!I231</f>
        <v>38316.460683293983</v>
      </c>
      <c r="K231" s="10">
        <f>+'A) Base RI'!J231</f>
        <v>0</v>
      </c>
      <c r="L231" s="10">
        <f>+'A) Base RI'!K231</f>
        <v>16727.34</v>
      </c>
      <c r="M231" s="10">
        <f>+'A) Base RI'!L231</f>
        <v>3519.35</v>
      </c>
      <c r="N231" s="10">
        <f>+'A) Base RI'!R231</f>
        <v>7621.41</v>
      </c>
      <c r="O231" s="10">
        <f t="shared" si="19"/>
        <v>88555</v>
      </c>
      <c r="P231" s="10">
        <f>+'A) Base RI'!M231</f>
        <v>88555</v>
      </c>
      <c r="Q231" s="413">
        <f>'A) Base RI'!Z231</f>
        <v>1</v>
      </c>
      <c r="R231" s="405">
        <f t="shared" si="20"/>
        <v>1492151.300683294</v>
      </c>
      <c r="S231" s="401">
        <f>+'A) Base RI'!U231</f>
        <v>68</v>
      </c>
      <c r="T231" s="405">
        <f t="shared" si="21"/>
        <v>1396836.9506832939</v>
      </c>
      <c r="U231" s="405">
        <f t="shared" si="22"/>
        <v>21943.401480636676</v>
      </c>
      <c r="V231" s="10">
        <f>+'A) Base RI'!P231</f>
        <v>0</v>
      </c>
      <c r="W231" s="10">
        <f>+'A) Base RI'!Q231</f>
        <v>24332.65</v>
      </c>
      <c r="X231" s="10">
        <f>+'A) Base RI'!S231</f>
        <v>6556.05</v>
      </c>
      <c r="Y231" s="405">
        <f t="shared" si="23"/>
        <v>30888.7</v>
      </c>
      <c r="Z231" s="10">
        <f>+'A) Base RI'!O231</f>
        <v>45726.7</v>
      </c>
      <c r="AA231" s="10">
        <f>'A) Base RI'!V231</f>
        <v>620</v>
      </c>
    </row>
    <row r="232" spans="1:27" x14ac:dyDescent="0.25">
      <c r="A232" s="8">
        <f>'A) Base RI'!A232</f>
        <v>5764</v>
      </c>
      <c r="B232" s="32" t="str">
        <f>'A) Base RI'!B232</f>
        <v>Vallorbe</v>
      </c>
      <c r="C232" s="10">
        <f>'A) Base RI'!C232+'A) Base RI'!D232</f>
        <v>5377467.9199999999</v>
      </c>
      <c r="D232" s="10">
        <f>'A) Base RI'!W232</f>
        <v>-220639.95</v>
      </c>
      <c r="E232" s="397">
        <f>'A) Base RI'!X232</f>
        <v>0</v>
      </c>
      <c r="F232" s="397">
        <f>'A) Base RI'!Y232</f>
        <v>-1324.77</v>
      </c>
      <c r="G232" s="405">
        <f t="shared" si="18"/>
        <v>5155503.2</v>
      </c>
      <c r="H232" s="10">
        <f>+'A) Base RI'!E232</f>
        <v>0</v>
      </c>
      <c r="I232" s="10">
        <f>+'A) Base RI'!F232</f>
        <v>0</v>
      </c>
      <c r="J232" s="10">
        <f>+'A) Base RI'!G232+'A) Base RI'!H232+'A) Base RI'!I232</f>
        <v>539042.9548732168</v>
      </c>
      <c r="K232" s="10">
        <f>+'A) Base RI'!J232</f>
        <v>0</v>
      </c>
      <c r="L232" s="10">
        <f>+'A) Base RI'!K232</f>
        <v>183049.14</v>
      </c>
      <c r="M232" s="10">
        <f>+'A) Base RI'!L232</f>
        <v>36197.4</v>
      </c>
      <c r="N232" s="10">
        <f>+'A) Base RI'!R232</f>
        <v>26109.17</v>
      </c>
      <c r="O232" s="10">
        <f t="shared" si="19"/>
        <v>454100.85</v>
      </c>
      <c r="P232" s="10">
        <f>+'A) Base RI'!M232</f>
        <v>454100.85</v>
      </c>
      <c r="Q232" s="413">
        <f>'A) Base RI'!Z232</f>
        <v>1</v>
      </c>
      <c r="R232" s="405">
        <f t="shared" si="20"/>
        <v>6394002.7148732161</v>
      </c>
      <c r="S232" s="401">
        <f>+'A) Base RI'!U232</f>
        <v>73</v>
      </c>
      <c r="T232" s="405">
        <f t="shared" si="21"/>
        <v>5903704.4648732161</v>
      </c>
      <c r="U232" s="405">
        <f t="shared" si="22"/>
        <v>87589.078285934462</v>
      </c>
      <c r="V232" s="10">
        <f>+'A) Base RI'!P232</f>
        <v>327432.7</v>
      </c>
      <c r="W232" s="10">
        <f>+'A) Base RI'!Q232</f>
        <v>245586.45</v>
      </c>
      <c r="X232" s="10">
        <f>+'A) Base RI'!S232</f>
        <v>135465.70000000001</v>
      </c>
      <c r="Y232" s="405">
        <f t="shared" si="23"/>
        <v>708484.85000000009</v>
      </c>
      <c r="Z232" s="10">
        <f>+'A) Base RI'!O232</f>
        <v>2136567.6</v>
      </c>
      <c r="AA232" s="10">
        <f>'A) Base RI'!V232</f>
        <v>3857</v>
      </c>
    </row>
    <row r="233" spans="1:27" x14ac:dyDescent="0.25">
      <c r="A233" s="8">
        <f>'A) Base RI'!A233</f>
        <v>5765</v>
      </c>
      <c r="B233" s="32" t="str">
        <f>'A) Base RI'!B233</f>
        <v>Vaulion</v>
      </c>
      <c r="C233" s="10">
        <f>'A) Base RI'!C233+'A) Base RI'!D233</f>
        <v>895542.36999999988</v>
      </c>
      <c r="D233" s="10">
        <f>'A) Base RI'!W233</f>
        <v>-10251.64</v>
      </c>
      <c r="E233" s="397">
        <f>'A) Base RI'!X233</f>
        <v>0</v>
      </c>
      <c r="F233" s="397">
        <f>'A) Base RI'!Y233</f>
        <v>-3.44</v>
      </c>
      <c r="G233" s="405">
        <f t="shared" si="18"/>
        <v>885287.28999999992</v>
      </c>
      <c r="H233" s="10">
        <f>+'A) Base RI'!E233</f>
        <v>0</v>
      </c>
      <c r="I233" s="10">
        <f>+'A) Base RI'!F233</f>
        <v>0</v>
      </c>
      <c r="J233" s="10">
        <f>+'A) Base RI'!G233+'A) Base RI'!H233+'A) Base RI'!I233</f>
        <v>5752.172041631904</v>
      </c>
      <c r="K233" s="10">
        <f>+'A) Base RI'!J233</f>
        <v>0</v>
      </c>
      <c r="L233" s="10">
        <f>+'A) Base RI'!K233</f>
        <v>13487.21</v>
      </c>
      <c r="M233" s="10">
        <f>+'A) Base RI'!L233</f>
        <v>0</v>
      </c>
      <c r="N233" s="10">
        <f>+'A) Base RI'!R233</f>
        <v>208.07</v>
      </c>
      <c r="O233" s="10">
        <f t="shared" si="19"/>
        <v>63552</v>
      </c>
      <c r="P233" s="10">
        <f>+'A) Base RI'!M233</f>
        <v>31776</v>
      </c>
      <c r="Q233" s="413">
        <f>'A) Base RI'!Z233</f>
        <v>0.5</v>
      </c>
      <c r="R233" s="405">
        <f t="shared" si="20"/>
        <v>968286.74204163172</v>
      </c>
      <c r="S233" s="401">
        <f>+'A) Base RI'!U233</f>
        <v>81</v>
      </c>
      <c r="T233" s="405">
        <f t="shared" si="21"/>
        <v>904734.74204163172</v>
      </c>
      <c r="U233" s="405">
        <f t="shared" si="22"/>
        <v>11954.157309155948</v>
      </c>
      <c r="V233" s="10">
        <f>+'A) Base RI'!P233</f>
        <v>922.5</v>
      </c>
      <c r="W233" s="10">
        <f>+'A) Base RI'!Q233</f>
        <v>50292</v>
      </c>
      <c r="X233" s="10">
        <f>+'A) Base RI'!S233</f>
        <v>31876.2</v>
      </c>
      <c r="Y233" s="405">
        <f t="shared" si="23"/>
        <v>83090.7</v>
      </c>
      <c r="Z233" s="10">
        <f>+'A) Base RI'!O233</f>
        <v>28462.45</v>
      </c>
      <c r="AA233" s="10">
        <f>'A) Base RI'!V233</f>
        <v>496</v>
      </c>
    </row>
    <row r="234" spans="1:27" x14ac:dyDescent="0.25">
      <c r="A234" s="8">
        <f>'A) Base RI'!A234</f>
        <v>5766</v>
      </c>
      <c r="B234" s="32" t="str">
        <f>'A) Base RI'!B234</f>
        <v>Vuiteboeuf</v>
      </c>
      <c r="C234" s="10">
        <f>'A) Base RI'!C234+'A) Base RI'!D234</f>
        <v>955641.28</v>
      </c>
      <c r="D234" s="10">
        <f>'A) Base RI'!W234</f>
        <v>-7853.91</v>
      </c>
      <c r="E234" s="397">
        <f>'A) Base RI'!X234</f>
        <v>0</v>
      </c>
      <c r="F234" s="397">
        <f>'A) Base RI'!Y234</f>
        <v>-105.29</v>
      </c>
      <c r="G234" s="405">
        <f t="shared" si="18"/>
        <v>947682.08</v>
      </c>
      <c r="H234" s="10">
        <f>+'A) Base RI'!E234</f>
        <v>0</v>
      </c>
      <c r="I234" s="10">
        <f>+'A) Base RI'!F234</f>
        <v>0</v>
      </c>
      <c r="J234" s="10">
        <f>+'A) Base RI'!G234+'A) Base RI'!H234+'A) Base RI'!I234</f>
        <v>14994.451352401116</v>
      </c>
      <c r="K234" s="10">
        <f>+'A) Base RI'!J234</f>
        <v>0</v>
      </c>
      <c r="L234" s="10">
        <f>+'A) Base RI'!K234</f>
        <v>26259.51</v>
      </c>
      <c r="M234" s="10">
        <f>+'A) Base RI'!L234</f>
        <v>4564.6499999999996</v>
      </c>
      <c r="N234" s="10">
        <f>+'A) Base RI'!R234</f>
        <v>200.2</v>
      </c>
      <c r="O234" s="10">
        <f t="shared" si="19"/>
        <v>80084.000000000015</v>
      </c>
      <c r="P234" s="10">
        <f>+'A) Base RI'!M234</f>
        <v>56058.8</v>
      </c>
      <c r="Q234" s="413">
        <f>'A) Base RI'!Z234</f>
        <v>0.7</v>
      </c>
      <c r="R234" s="405">
        <f t="shared" si="20"/>
        <v>1073784.8913524011</v>
      </c>
      <c r="S234" s="401">
        <f>+'A) Base RI'!U234</f>
        <v>77</v>
      </c>
      <c r="T234" s="405">
        <f t="shared" si="21"/>
        <v>989136.24135240109</v>
      </c>
      <c r="U234" s="405">
        <f t="shared" si="22"/>
        <v>13945.258329251963</v>
      </c>
      <c r="V234" s="10">
        <f>+'A) Base RI'!P234</f>
        <v>0</v>
      </c>
      <c r="W234" s="10">
        <f>+'A) Base RI'!Q234</f>
        <v>61265.599999999999</v>
      </c>
      <c r="X234" s="10">
        <f>+'A) Base RI'!S234</f>
        <v>33834.949999999997</v>
      </c>
      <c r="Y234" s="405">
        <f t="shared" si="23"/>
        <v>95100.549999999988</v>
      </c>
      <c r="Z234" s="10">
        <f>+'A) Base RI'!O234</f>
        <v>0</v>
      </c>
      <c r="AA234" s="10">
        <f>'A) Base RI'!V234</f>
        <v>576</v>
      </c>
    </row>
    <row r="235" spans="1:27" x14ac:dyDescent="0.25">
      <c r="A235" s="8">
        <f>'A) Base RI'!A235</f>
        <v>5785</v>
      </c>
      <c r="B235" s="32" t="str">
        <f>'A) Base RI'!B235</f>
        <v>Corcelles-le-Jorat</v>
      </c>
      <c r="C235" s="10">
        <f>'A) Base RI'!C235+'A) Base RI'!D235</f>
        <v>1192410.69</v>
      </c>
      <c r="D235" s="10">
        <f>'A) Base RI'!W235</f>
        <v>-1740.53</v>
      </c>
      <c r="E235" s="397">
        <f>'A) Base RI'!X235</f>
        <v>0</v>
      </c>
      <c r="F235" s="397">
        <f>'A) Base RI'!Y235</f>
        <v>-602.91</v>
      </c>
      <c r="G235" s="405">
        <f t="shared" si="18"/>
        <v>1190067.25</v>
      </c>
      <c r="H235" s="10">
        <f>+'A) Base RI'!E235</f>
        <v>0</v>
      </c>
      <c r="I235" s="10">
        <f>+'A) Base RI'!F235</f>
        <v>0</v>
      </c>
      <c r="J235" s="10">
        <f>+'A) Base RI'!G235+'A) Base RI'!H235+'A) Base RI'!I235</f>
        <v>16175.780053517574</v>
      </c>
      <c r="K235" s="10">
        <f>+'A) Base RI'!J235</f>
        <v>0</v>
      </c>
      <c r="L235" s="10">
        <f>+'A) Base RI'!K235</f>
        <v>25805.360000000001</v>
      </c>
      <c r="M235" s="10">
        <f>+'A) Base RI'!L235</f>
        <v>1333.1</v>
      </c>
      <c r="N235" s="10">
        <f>+'A) Base RI'!R235</f>
        <v>2431.35</v>
      </c>
      <c r="O235" s="10">
        <f t="shared" si="19"/>
        <v>69341.75</v>
      </c>
      <c r="P235" s="10">
        <f>+'A) Base RI'!M235</f>
        <v>69341.75</v>
      </c>
      <c r="Q235" s="413">
        <f>'A) Base RI'!Z235</f>
        <v>1</v>
      </c>
      <c r="R235" s="405">
        <f t="shared" si="20"/>
        <v>1305154.5900535178</v>
      </c>
      <c r="S235" s="401">
        <f>+'A) Base RI'!U235</f>
        <v>77</v>
      </c>
      <c r="T235" s="405">
        <f t="shared" si="21"/>
        <v>1234479.7400535177</v>
      </c>
      <c r="U235" s="405">
        <f t="shared" si="22"/>
        <v>16950.059611084645</v>
      </c>
      <c r="V235" s="10">
        <f>+'A) Base RI'!P235</f>
        <v>26156.9</v>
      </c>
      <c r="W235" s="10">
        <f>+'A) Base RI'!Q235</f>
        <v>36959.550000000003</v>
      </c>
      <c r="X235" s="10">
        <f>+'A) Base RI'!S235</f>
        <v>27893.15</v>
      </c>
      <c r="Y235" s="405">
        <f t="shared" si="23"/>
        <v>91009.600000000006</v>
      </c>
      <c r="Z235" s="10">
        <f>+'A) Base RI'!O235</f>
        <v>0</v>
      </c>
      <c r="AA235" s="10">
        <f>'A) Base RI'!V235</f>
        <v>458</v>
      </c>
    </row>
    <row r="236" spans="1:27" x14ac:dyDescent="0.25">
      <c r="A236" s="8">
        <f>'A) Base RI'!A236</f>
        <v>5788</v>
      </c>
      <c r="B236" s="32" t="str">
        <f>'A) Base RI'!B236</f>
        <v>Essertes</v>
      </c>
      <c r="C236" s="10">
        <f>'A) Base RI'!C236+'A) Base RI'!D236</f>
        <v>800792.87</v>
      </c>
      <c r="D236" s="10">
        <f>'A) Base RI'!W236</f>
        <v>-13344.28</v>
      </c>
      <c r="E236" s="397">
        <f>'A) Base RI'!X236</f>
        <v>0</v>
      </c>
      <c r="F236" s="397">
        <f>'A) Base RI'!Y236</f>
        <v>-82.54</v>
      </c>
      <c r="G236" s="405">
        <f t="shared" si="18"/>
        <v>787366.04999999993</v>
      </c>
      <c r="H236" s="10">
        <f>+'A) Base RI'!E236</f>
        <v>0</v>
      </c>
      <c r="I236" s="10">
        <f>+'A) Base RI'!F236</f>
        <v>0</v>
      </c>
      <c r="J236" s="10">
        <f>+'A) Base RI'!G236+'A) Base RI'!H236+'A) Base RI'!I236</f>
        <v>7502.359680298252</v>
      </c>
      <c r="K236" s="10">
        <f>+'A) Base RI'!J236</f>
        <v>0</v>
      </c>
      <c r="L236" s="10">
        <f>+'A) Base RI'!K236</f>
        <v>18807.8</v>
      </c>
      <c r="M236" s="10">
        <f>+'A) Base RI'!L236</f>
        <v>3926</v>
      </c>
      <c r="N236" s="10">
        <f>+'A) Base RI'!R236</f>
        <v>0</v>
      </c>
      <c r="O236" s="10">
        <f t="shared" si="19"/>
        <v>72148.800000000003</v>
      </c>
      <c r="P236" s="10">
        <f>+'A) Base RI'!M236</f>
        <v>90186</v>
      </c>
      <c r="Q236" s="413">
        <f>'A) Base RI'!Z236</f>
        <v>1.25</v>
      </c>
      <c r="R236" s="405">
        <f t="shared" si="20"/>
        <v>889751.00968029827</v>
      </c>
      <c r="S236" s="401">
        <f>+'A) Base RI'!U236</f>
        <v>72</v>
      </c>
      <c r="T236" s="405">
        <f t="shared" si="21"/>
        <v>813676.20968029823</v>
      </c>
      <c r="U236" s="405">
        <f t="shared" si="22"/>
        <v>12357.652912226366</v>
      </c>
      <c r="V236" s="10">
        <f>+'A) Base RI'!P236</f>
        <v>0</v>
      </c>
      <c r="W236" s="10">
        <f>+'A) Base RI'!Q236</f>
        <v>58045.05</v>
      </c>
      <c r="X236" s="10">
        <f>+'A) Base RI'!S236</f>
        <v>41283.75</v>
      </c>
      <c r="Y236" s="405">
        <f t="shared" si="23"/>
        <v>99328.8</v>
      </c>
      <c r="Z236" s="10">
        <f>+'A) Base RI'!O236</f>
        <v>0</v>
      </c>
      <c r="AA236" s="10">
        <f>'A) Base RI'!V236</f>
        <v>380</v>
      </c>
    </row>
    <row r="237" spans="1:27" x14ac:dyDescent="0.25">
      <c r="A237" s="8">
        <f>'A) Base RI'!A237</f>
        <v>5790</v>
      </c>
      <c r="B237" s="32" t="str">
        <f>'A) Base RI'!B237</f>
        <v>Maracon</v>
      </c>
      <c r="C237" s="10">
        <f>'A) Base RI'!C237+'A) Base RI'!D237</f>
        <v>983851.16</v>
      </c>
      <c r="D237" s="10">
        <f>'A) Base RI'!W237</f>
        <v>-4880.07</v>
      </c>
      <c r="E237" s="397">
        <f>'A) Base RI'!X237</f>
        <v>0</v>
      </c>
      <c r="F237" s="397">
        <f>'A) Base RI'!Y237</f>
        <v>-267.56</v>
      </c>
      <c r="G237" s="405">
        <f t="shared" si="18"/>
        <v>978703.53</v>
      </c>
      <c r="H237" s="10">
        <f>+'A) Base RI'!E237</f>
        <v>0</v>
      </c>
      <c r="I237" s="10">
        <f>+'A) Base RI'!F237</f>
        <v>0</v>
      </c>
      <c r="J237" s="10">
        <f>+'A) Base RI'!G237+'A) Base RI'!H237+'A) Base RI'!I237</f>
        <v>4571.3510991624726</v>
      </c>
      <c r="K237" s="10">
        <f>+'A) Base RI'!J237</f>
        <v>0</v>
      </c>
      <c r="L237" s="10">
        <f>+'A) Base RI'!K237</f>
        <v>31803.69</v>
      </c>
      <c r="M237" s="10">
        <f>+'A) Base RI'!L237</f>
        <v>-1145.5</v>
      </c>
      <c r="N237" s="10">
        <f>+'A) Base RI'!R237</f>
        <v>0</v>
      </c>
      <c r="O237" s="10">
        <f t="shared" si="19"/>
        <v>82914.25</v>
      </c>
      <c r="P237" s="10">
        <f>+'A) Base RI'!M237</f>
        <v>82914.25</v>
      </c>
      <c r="Q237" s="413">
        <f>'A) Base RI'!Z237</f>
        <v>1</v>
      </c>
      <c r="R237" s="405">
        <f t="shared" si="20"/>
        <v>1096847.3210991626</v>
      </c>
      <c r="S237" s="401">
        <f>+'A) Base RI'!U237</f>
        <v>76</v>
      </c>
      <c r="T237" s="405">
        <f t="shared" si="21"/>
        <v>1015078.5710991625</v>
      </c>
      <c r="U237" s="405">
        <f t="shared" si="22"/>
        <v>14432.201593410035</v>
      </c>
      <c r="V237" s="10">
        <f>+'A) Base RI'!P237</f>
        <v>147675</v>
      </c>
      <c r="W237" s="10">
        <f>+'A) Base RI'!Q237</f>
        <v>68988</v>
      </c>
      <c r="X237" s="10">
        <f>+'A) Base RI'!S237</f>
        <v>20856.2</v>
      </c>
      <c r="Y237" s="405">
        <f t="shared" si="23"/>
        <v>237519.2</v>
      </c>
      <c r="Z237" s="10">
        <f>+'A) Base RI'!O237</f>
        <v>9920.6</v>
      </c>
      <c r="AA237" s="10">
        <f>'A) Base RI'!V237</f>
        <v>538</v>
      </c>
    </row>
    <row r="238" spans="1:27" x14ac:dyDescent="0.25">
      <c r="A238" s="8">
        <f>'A) Base RI'!A238</f>
        <v>5792</v>
      </c>
      <c r="B238" s="32" t="str">
        <f>'A) Base RI'!B238</f>
        <v>Montpreveyres</v>
      </c>
      <c r="C238" s="10">
        <f>'A) Base RI'!C238+'A) Base RI'!D238</f>
        <v>1349668.1</v>
      </c>
      <c r="D238" s="10">
        <f>'A) Base RI'!W238</f>
        <v>-12155.98</v>
      </c>
      <c r="E238" s="397">
        <f>'A) Base RI'!X238</f>
        <v>0</v>
      </c>
      <c r="F238" s="397">
        <f>'A) Base RI'!Y238</f>
        <v>-4.79</v>
      </c>
      <c r="G238" s="405">
        <f t="shared" si="18"/>
        <v>1337507.33</v>
      </c>
      <c r="H238" s="10">
        <f>+'A) Base RI'!E238</f>
        <v>0</v>
      </c>
      <c r="I238" s="10">
        <f>+'A) Base RI'!F238</f>
        <v>0</v>
      </c>
      <c r="J238" s="10">
        <f>+'A) Base RI'!G238+'A) Base RI'!H238+'A) Base RI'!I238</f>
        <v>69556.051691821631</v>
      </c>
      <c r="K238" s="10">
        <f>+'A) Base RI'!J238</f>
        <v>0</v>
      </c>
      <c r="L238" s="10">
        <f>+'A) Base RI'!K238</f>
        <v>29622.68</v>
      </c>
      <c r="M238" s="10">
        <f>+'A) Base RI'!L238</f>
        <v>456.7</v>
      </c>
      <c r="N238" s="10">
        <f>+'A) Base RI'!R238</f>
        <v>922.61</v>
      </c>
      <c r="O238" s="10">
        <f t="shared" si="19"/>
        <v>117252.9</v>
      </c>
      <c r="P238" s="10">
        <f>+'A) Base RI'!M238</f>
        <v>117252.9</v>
      </c>
      <c r="Q238" s="413">
        <f>'A) Base RI'!Z238</f>
        <v>1</v>
      </c>
      <c r="R238" s="405">
        <f t="shared" si="20"/>
        <v>1555318.2716918215</v>
      </c>
      <c r="S238" s="401">
        <f>+'A) Base RI'!U238</f>
        <v>77</v>
      </c>
      <c r="T238" s="405">
        <f t="shared" si="21"/>
        <v>1437608.6716918217</v>
      </c>
      <c r="U238" s="405">
        <f t="shared" si="22"/>
        <v>20198.938593400278</v>
      </c>
      <c r="V238" s="10">
        <f>+'A) Base RI'!P238</f>
        <v>4994.2</v>
      </c>
      <c r="W238" s="10">
        <f>+'A) Base RI'!Q238</f>
        <v>78135.05</v>
      </c>
      <c r="X238" s="10">
        <f>+'A) Base RI'!S238</f>
        <v>37993.5</v>
      </c>
      <c r="Y238" s="405">
        <f t="shared" si="23"/>
        <v>121122.75</v>
      </c>
      <c r="Z238" s="10">
        <f>+'A) Base RI'!O238</f>
        <v>0</v>
      </c>
      <c r="AA238" s="10">
        <f>'A) Base RI'!V238</f>
        <v>657</v>
      </c>
    </row>
    <row r="239" spans="1:27" x14ac:dyDescent="0.25">
      <c r="A239" s="8">
        <f>'A) Base RI'!A239</f>
        <v>5798</v>
      </c>
      <c r="B239" s="32" t="str">
        <f>'A) Base RI'!B239</f>
        <v>Ropraz</v>
      </c>
      <c r="C239" s="10">
        <f>'A) Base RI'!C239+'A) Base RI'!D239</f>
        <v>1013776.34</v>
      </c>
      <c r="D239" s="10">
        <f>'A) Base RI'!W239</f>
        <v>-8728.89</v>
      </c>
      <c r="E239" s="397">
        <f>'A) Base RI'!X239</f>
        <v>0</v>
      </c>
      <c r="F239" s="397">
        <f>'A) Base RI'!Y239</f>
        <v>-86.47</v>
      </c>
      <c r="G239" s="405">
        <f t="shared" si="18"/>
        <v>1004960.98</v>
      </c>
      <c r="H239" s="10">
        <f>+'A) Base RI'!E239</f>
        <v>0</v>
      </c>
      <c r="I239" s="10">
        <f>+'A) Base RI'!F239</f>
        <v>0</v>
      </c>
      <c r="J239" s="10">
        <f>+'A) Base RI'!G239+'A) Base RI'!H239+'A) Base RI'!I239</f>
        <v>13700.400231645201</v>
      </c>
      <c r="K239" s="10">
        <f>+'A) Base RI'!J239</f>
        <v>0</v>
      </c>
      <c r="L239" s="10">
        <f>+'A) Base RI'!K239</f>
        <v>13283.32</v>
      </c>
      <c r="M239" s="10">
        <f>+'A) Base RI'!L239</f>
        <v>3941.45</v>
      </c>
      <c r="N239" s="10">
        <f>+'A) Base RI'!R239</f>
        <v>0</v>
      </c>
      <c r="O239" s="10">
        <f t="shared" si="19"/>
        <v>76999.3</v>
      </c>
      <c r="P239" s="10">
        <f>+'A) Base RI'!M239</f>
        <v>38499.65</v>
      </c>
      <c r="Q239" s="413">
        <f>'A) Base RI'!Z239</f>
        <v>0.5</v>
      </c>
      <c r="R239" s="405">
        <f t="shared" si="20"/>
        <v>1112885.450231645</v>
      </c>
      <c r="S239" s="401">
        <f>+'A) Base RI'!U239</f>
        <v>77.5</v>
      </c>
      <c r="T239" s="405">
        <f t="shared" si="21"/>
        <v>1031944.7002316451</v>
      </c>
      <c r="U239" s="405">
        <f t="shared" si="22"/>
        <v>14359.812261053485</v>
      </c>
      <c r="V239" s="10">
        <f>+'A) Base RI'!P239</f>
        <v>0</v>
      </c>
      <c r="W239" s="10">
        <f>+'A) Base RI'!Q239</f>
        <v>7406.05</v>
      </c>
      <c r="X239" s="10">
        <f>+'A) Base RI'!S239</f>
        <v>0</v>
      </c>
      <c r="Y239" s="405">
        <f t="shared" si="23"/>
        <v>7406.05</v>
      </c>
      <c r="Z239" s="10">
        <f>+'A) Base RI'!O239</f>
        <v>15436.75</v>
      </c>
      <c r="AA239" s="10">
        <f>'A) Base RI'!V239</f>
        <v>488</v>
      </c>
    </row>
    <row r="240" spans="1:27" x14ac:dyDescent="0.25">
      <c r="A240" s="8">
        <f>'A) Base RI'!A240</f>
        <v>5799</v>
      </c>
      <c r="B240" s="32" t="str">
        <f>'A) Base RI'!B240</f>
        <v>Servion</v>
      </c>
      <c r="C240" s="10">
        <f>'A) Base RI'!C240+'A) Base RI'!D240</f>
        <v>4438352.3100000005</v>
      </c>
      <c r="D240" s="10">
        <f>'A) Base RI'!W240</f>
        <v>-19385.689999999999</v>
      </c>
      <c r="E240" s="397">
        <f>'A) Base RI'!X240</f>
        <v>0</v>
      </c>
      <c r="F240" s="397">
        <f>'A) Base RI'!Y240</f>
        <v>-1090.27</v>
      </c>
      <c r="G240" s="405">
        <f t="shared" si="18"/>
        <v>4417876.3500000006</v>
      </c>
      <c r="H240" s="10">
        <f>+'A) Base RI'!E240</f>
        <v>0</v>
      </c>
      <c r="I240" s="10">
        <f>+'A) Base RI'!F240</f>
        <v>0</v>
      </c>
      <c r="J240" s="10">
        <f>+'A) Base RI'!G240+'A) Base RI'!H240+'A) Base RI'!I240</f>
        <v>-1990</v>
      </c>
      <c r="K240" s="10">
        <f>+'A) Base RI'!J240</f>
        <v>0</v>
      </c>
      <c r="L240" s="10">
        <f>+'A) Base RI'!K240</f>
        <v>53771.66</v>
      </c>
      <c r="M240" s="10">
        <f>+'A) Base RI'!L240</f>
        <v>14351.4</v>
      </c>
      <c r="N240" s="10">
        <f>+'A) Base RI'!R240</f>
        <v>7395.42</v>
      </c>
      <c r="O240" s="10">
        <f t="shared" si="19"/>
        <v>407035</v>
      </c>
      <c r="P240" s="10">
        <f>+'A) Base RI'!M240</f>
        <v>407035</v>
      </c>
      <c r="Q240" s="413">
        <f>'A) Base RI'!Z240</f>
        <v>1</v>
      </c>
      <c r="R240" s="405">
        <f t="shared" si="20"/>
        <v>4898439.830000001</v>
      </c>
      <c r="S240" s="401">
        <f>+'A) Base RI'!U240</f>
        <v>69</v>
      </c>
      <c r="T240" s="405">
        <f t="shared" si="21"/>
        <v>4477053.4300000006</v>
      </c>
      <c r="U240" s="405">
        <f t="shared" si="22"/>
        <v>70991.881594202918</v>
      </c>
      <c r="V240" s="10">
        <f>+'A) Base RI'!P240</f>
        <v>0</v>
      </c>
      <c r="W240" s="10">
        <f>+'A) Base RI'!Q240</f>
        <v>208055.75</v>
      </c>
      <c r="X240" s="10">
        <f>+'A) Base RI'!S240</f>
        <v>229546.5</v>
      </c>
      <c r="Y240" s="405">
        <f t="shared" si="23"/>
        <v>437602.25</v>
      </c>
      <c r="Z240" s="10">
        <f>+'A) Base RI'!O240</f>
        <v>11845.95</v>
      </c>
      <c r="AA240" s="10">
        <f>'A) Base RI'!V240</f>
        <v>1997</v>
      </c>
    </row>
    <row r="241" spans="1:27" x14ac:dyDescent="0.25">
      <c r="A241" s="8">
        <f>'A) Base RI'!A241</f>
        <v>5803</v>
      </c>
      <c r="B241" s="32" t="str">
        <f>'A) Base RI'!B241</f>
        <v>Vulliens</v>
      </c>
      <c r="C241" s="10">
        <f>'A) Base RI'!C241+'A) Base RI'!D241</f>
        <v>1277002.2000000002</v>
      </c>
      <c r="D241" s="10">
        <f>'A) Base RI'!W241</f>
        <v>-18498.72</v>
      </c>
      <c r="E241" s="397">
        <f>'A) Base RI'!X241</f>
        <v>0</v>
      </c>
      <c r="F241" s="397">
        <f>'A) Base RI'!Y241</f>
        <v>-225.66</v>
      </c>
      <c r="G241" s="405">
        <f t="shared" si="18"/>
        <v>1258277.8200000003</v>
      </c>
      <c r="H241" s="10">
        <f>+'A) Base RI'!E241</f>
        <v>0</v>
      </c>
      <c r="I241" s="10">
        <f>+'A) Base RI'!F241</f>
        <v>0</v>
      </c>
      <c r="J241" s="10">
        <f>+'A) Base RI'!G241+'A) Base RI'!H241+'A) Base RI'!I241</f>
        <v>-15215.55</v>
      </c>
      <c r="K241" s="10">
        <f>+'A) Base RI'!J241</f>
        <v>0</v>
      </c>
      <c r="L241" s="10">
        <f>+'A) Base RI'!K241</f>
        <v>12121.29</v>
      </c>
      <c r="M241" s="10">
        <f>+'A) Base RI'!L241</f>
        <v>0</v>
      </c>
      <c r="N241" s="10">
        <f>+'A) Base RI'!R241</f>
        <v>336.85</v>
      </c>
      <c r="O241" s="10">
        <f t="shared" si="19"/>
        <v>104771.85</v>
      </c>
      <c r="P241" s="10">
        <f>+'A) Base RI'!M241</f>
        <v>104771.85</v>
      </c>
      <c r="Q241" s="413">
        <f>'A) Base RI'!Z241</f>
        <v>1</v>
      </c>
      <c r="R241" s="405">
        <f t="shared" si="20"/>
        <v>1360292.2600000005</v>
      </c>
      <c r="S241" s="401">
        <f>+'A) Base RI'!U241</f>
        <v>78</v>
      </c>
      <c r="T241" s="405">
        <f t="shared" si="21"/>
        <v>1255520.4100000004</v>
      </c>
      <c r="U241" s="405">
        <f t="shared" si="22"/>
        <v>17439.644358974365</v>
      </c>
      <c r="V241" s="10">
        <f>+'A) Base RI'!P241</f>
        <v>1452.3</v>
      </c>
      <c r="W241" s="10">
        <f>+'A) Base RI'!Q241</f>
        <v>16551.8</v>
      </c>
      <c r="X241" s="10">
        <f>+'A) Base RI'!S241</f>
        <v>2438.3000000000002</v>
      </c>
      <c r="Y241" s="405">
        <f t="shared" si="23"/>
        <v>20442.399999999998</v>
      </c>
      <c r="Z241" s="10">
        <f>+'A) Base RI'!O241</f>
        <v>0</v>
      </c>
      <c r="AA241" s="10">
        <f>'A) Base RI'!V241</f>
        <v>614</v>
      </c>
    </row>
    <row r="242" spans="1:27" x14ac:dyDescent="0.25">
      <c r="A242" s="8">
        <f>'A) Base RI'!A242</f>
        <v>5804</v>
      </c>
      <c r="B242" s="32" t="str">
        <f>'A) Base RI'!B242</f>
        <v>Jorat-Menthue</v>
      </c>
      <c r="C242" s="10">
        <f>'A) Base RI'!C242+'A) Base RI'!D242</f>
        <v>2890406.2800000003</v>
      </c>
      <c r="D242" s="10">
        <f>'A) Base RI'!W242</f>
        <v>-120100.77</v>
      </c>
      <c r="E242" s="397">
        <f>'A) Base RI'!X242</f>
        <v>0</v>
      </c>
      <c r="F242" s="397">
        <f>'A) Base RI'!Y242</f>
        <v>-76.150000000000006</v>
      </c>
      <c r="G242" s="405">
        <f t="shared" si="18"/>
        <v>2770229.3600000003</v>
      </c>
      <c r="H242" s="10">
        <f>+'A) Base RI'!E242</f>
        <v>0</v>
      </c>
      <c r="I242" s="10">
        <f>+'A) Base RI'!F242</f>
        <v>0</v>
      </c>
      <c r="J242" s="10">
        <f>+'A) Base RI'!G242+'A) Base RI'!H242+'A) Base RI'!I242</f>
        <v>61931.999189119822</v>
      </c>
      <c r="K242" s="10">
        <f>+'A) Base RI'!J242</f>
        <v>0</v>
      </c>
      <c r="L242" s="10">
        <f>+'A) Base RI'!K242</f>
        <v>73220.460000000006</v>
      </c>
      <c r="M242" s="10">
        <f>+'A) Base RI'!L242</f>
        <v>4390.1000000000004</v>
      </c>
      <c r="N242" s="10">
        <f>+'A) Base RI'!R242</f>
        <v>6548.47</v>
      </c>
      <c r="O242" s="10">
        <f t="shared" si="19"/>
        <v>268001.8</v>
      </c>
      <c r="P242" s="10">
        <f>+'A) Base RI'!M242</f>
        <v>268001.8</v>
      </c>
      <c r="Q242" s="413">
        <f>'A) Base RI'!Z242</f>
        <v>1</v>
      </c>
      <c r="R242" s="405">
        <f t="shared" si="20"/>
        <v>3184322.1891891202</v>
      </c>
      <c r="S242" s="401">
        <f>+'A) Base RI'!U242</f>
        <v>72</v>
      </c>
      <c r="T242" s="405">
        <f t="shared" si="21"/>
        <v>2911930.2891891203</v>
      </c>
      <c r="U242" s="405">
        <f t="shared" si="22"/>
        <v>44226.697072071111</v>
      </c>
      <c r="V242" s="10">
        <f>+'A) Base RI'!P242</f>
        <v>48892.6</v>
      </c>
      <c r="W242" s="10">
        <f>+'A) Base RI'!Q242</f>
        <v>68571.100000000006</v>
      </c>
      <c r="X242" s="10">
        <f>+'A) Base RI'!S242</f>
        <v>60966.6</v>
      </c>
      <c r="Y242" s="405">
        <f t="shared" si="23"/>
        <v>178430.30000000002</v>
      </c>
      <c r="Z242" s="10">
        <f>+'A) Base RI'!O242</f>
        <v>3973</v>
      </c>
      <c r="AA242" s="10">
        <f>'A) Base RI'!V242</f>
        <v>1591</v>
      </c>
    </row>
    <row r="243" spans="1:27" x14ac:dyDescent="0.25">
      <c r="A243" s="8">
        <f>'A) Base RI'!A243</f>
        <v>5805</v>
      </c>
      <c r="B243" s="32" t="str">
        <f>'A) Base RI'!B243</f>
        <v>Oron</v>
      </c>
      <c r="C243" s="10">
        <f>'A) Base RI'!C243+'A) Base RI'!D243</f>
        <v>9393367.4700000007</v>
      </c>
      <c r="D243" s="10">
        <f>'A) Base RI'!W243</f>
        <v>-186304.74</v>
      </c>
      <c r="E243" s="397">
        <f>'A) Base RI'!X243</f>
        <v>0</v>
      </c>
      <c r="F243" s="397">
        <f>'A) Base RI'!Y243</f>
        <v>-4320.09</v>
      </c>
      <c r="G243" s="405">
        <f t="shared" si="18"/>
        <v>9202742.6400000006</v>
      </c>
      <c r="H243" s="10">
        <f>+'A) Base RI'!E243</f>
        <v>0</v>
      </c>
      <c r="I243" s="10">
        <f>+'A) Base RI'!F243</f>
        <v>0</v>
      </c>
      <c r="J243" s="10">
        <f>+'A) Base RI'!G243+'A) Base RI'!H243+'A) Base RI'!I243</f>
        <v>432291.7205051374</v>
      </c>
      <c r="K243" s="10">
        <f>+'A) Base RI'!J243</f>
        <v>0</v>
      </c>
      <c r="L243" s="10">
        <f>+'A) Base RI'!K243</f>
        <v>208340.91</v>
      </c>
      <c r="M243" s="10">
        <f>+'A) Base RI'!L243</f>
        <v>70919.5</v>
      </c>
      <c r="N243" s="10">
        <f>+'A) Base RI'!R243</f>
        <v>71404.789999999994</v>
      </c>
      <c r="O243" s="10">
        <f t="shared" si="19"/>
        <v>900377.77272727271</v>
      </c>
      <c r="P243" s="10">
        <f>+'A) Base RI'!M243</f>
        <v>990415.55</v>
      </c>
      <c r="Q243" s="413">
        <f>'A) Base RI'!Z243</f>
        <v>1.1000000000000001</v>
      </c>
      <c r="R243" s="405">
        <f t="shared" si="20"/>
        <v>10886077.33323241</v>
      </c>
      <c r="S243" s="401">
        <f>+'A) Base RI'!U243</f>
        <v>69</v>
      </c>
      <c r="T243" s="405">
        <f t="shared" si="21"/>
        <v>9914780.0605051368</v>
      </c>
      <c r="U243" s="405">
        <f t="shared" si="22"/>
        <v>157769.23671351318</v>
      </c>
      <c r="V243" s="10">
        <f>+'A) Base RI'!P243</f>
        <v>326180</v>
      </c>
      <c r="W243" s="10">
        <f>+'A) Base RI'!Q243</f>
        <v>655368.35</v>
      </c>
      <c r="X243" s="10">
        <f>+'A) Base RI'!S243</f>
        <v>325627.5</v>
      </c>
      <c r="Y243" s="405">
        <f t="shared" si="23"/>
        <v>1307175.8500000001</v>
      </c>
      <c r="Z243" s="10">
        <f>+'A) Base RI'!O243</f>
        <v>97651.95</v>
      </c>
      <c r="AA243" s="10">
        <f>'A) Base RI'!V243</f>
        <v>5669</v>
      </c>
    </row>
    <row r="244" spans="1:27" x14ac:dyDescent="0.25">
      <c r="A244" s="8">
        <f>'A) Base RI'!A244</f>
        <v>5806</v>
      </c>
      <c r="B244" s="32" t="str">
        <f>'A) Base RI'!B244</f>
        <v>Jorat-Mézières</v>
      </c>
      <c r="C244" s="10">
        <f>'A) Base RI'!C244+'A) Base RI'!D244</f>
        <v>6283494.540000001</v>
      </c>
      <c r="D244" s="10">
        <f>'A) Base RI'!W244</f>
        <v>-117362.91</v>
      </c>
      <c r="E244" s="397">
        <f>'A) Base RI'!X244</f>
        <v>0</v>
      </c>
      <c r="F244" s="397">
        <f>'A) Base RI'!Y244</f>
        <v>-1600.01</v>
      </c>
      <c r="G244" s="405">
        <f t="shared" si="18"/>
        <v>6164531.620000001</v>
      </c>
      <c r="H244" s="10">
        <f>+'A) Base RI'!E244</f>
        <v>0</v>
      </c>
      <c r="I244" s="10">
        <f>+'A) Base RI'!F244</f>
        <v>0</v>
      </c>
      <c r="J244" s="10">
        <f>+'A) Base RI'!G244+'A) Base RI'!H244+'A) Base RI'!I244</f>
        <v>162463.07729589287</v>
      </c>
      <c r="K244" s="10">
        <f>+'A) Base RI'!J244</f>
        <v>54947.5</v>
      </c>
      <c r="L244" s="10">
        <f>+'A) Base RI'!K244</f>
        <v>36005.19</v>
      </c>
      <c r="M244" s="10">
        <f>+'A) Base RI'!L244</f>
        <v>24994.85</v>
      </c>
      <c r="N244" s="10">
        <f>+'A) Base RI'!R244</f>
        <v>39163.879999999997</v>
      </c>
      <c r="O244" s="10">
        <f t="shared" si="19"/>
        <v>496965</v>
      </c>
      <c r="P244" s="10">
        <f>+'A) Base RI'!M244</f>
        <v>496965</v>
      </c>
      <c r="Q244" s="413">
        <f>'A) Base RI'!Z244</f>
        <v>1</v>
      </c>
      <c r="R244" s="405">
        <f t="shared" si="20"/>
        <v>6979071.1172958938</v>
      </c>
      <c r="S244" s="401">
        <f>+'A) Base RI'!U244</f>
        <v>76</v>
      </c>
      <c r="T244" s="405">
        <f t="shared" si="21"/>
        <v>6457111.2672958942</v>
      </c>
      <c r="U244" s="405">
        <f t="shared" si="22"/>
        <v>91829.883122314393</v>
      </c>
      <c r="V244" s="10">
        <f>+'A) Base RI'!P244</f>
        <v>12728.8</v>
      </c>
      <c r="W244" s="10">
        <f>+'A) Base RI'!Q244</f>
        <v>239262.65</v>
      </c>
      <c r="X244" s="10">
        <f>+'A) Base RI'!S244</f>
        <v>88587.65</v>
      </c>
      <c r="Y244" s="405">
        <f t="shared" si="23"/>
        <v>340579.1</v>
      </c>
      <c r="Z244" s="10">
        <f>+'A) Base RI'!O244</f>
        <v>32523.45</v>
      </c>
      <c r="AA244" s="10">
        <f>'A) Base RI'!V244</f>
        <v>2949</v>
      </c>
    </row>
    <row r="245" spans="1:27" x14ac:dyDescent="0.25">
      <c r="A245" s="8">
        <f>'A) Base RI'!A245</f>
        <v>5812</v>
      </c>
      <c r="B245" s="32" t="str">
        <f>'A) Base RI'!B245</f>
        <v>Champtauroz</v>
      </c>
      <c r="C245" s="10">
        <f>'A) Base RI'!C245+'A) Base RI'!D245</f>
        <v>260846.16</v>
      </c>
      <c r="D245" s="10">
        <f>'A) Base RI'!W245</f>
        <v>-7905.96</v>
      </c>
      <c r="E245" s="397">
        <f>'A) Base RI'!X245</f>
        <v>0</v>
      </c>
      <c r="F245" s="397">
        <f>'A) Base RI'!Y245</f>
        <v>0</v>
      </c>
      <c r="G245" s="405">
        <f t="shared" si="18"/>
        <v>252940.2</v>
      </c>
      <c r="H245" s="10">
        <f>+'A) Base RI'!E245</f>
        <v>0</v>
      </c>
      <c r="I245" s="10">
        <f>+'A) Base RI'!F245</f>
        <v>0</v>
      </c>
      <c r="J245" s="10">
        <f>+'A) Base RI'!G245+'A) Base RI'!H245+'A) Base RI'!I245</f>
        <v>10061.181173165</v>
      </c>
      <c r="K245" s="10">
        <f>+'A) Base RI'!J245</f>
        <v>0</v>
      </c>
      <c r="L245" s="10">
        <f>+'A) Base RI'!K245</f>
        <v>3497.81</v>
      </c>
      <c r="M245" s="10">
        <f>+'A) Base RI'!L245</f>
        <v>637.5</v>
      </c>
      <c r="N245" s="10">
        <f>+'A) Base RI'!R245</f>
        <v>0</v>
      </c>
      <c r="O245" s="10">
        <f t="shared" si="19"/>
        <v>18583.9375</v>
      </c>
      <c r="P245" s="10">
        <f>+'A) Base RI'!M245</f>
        <v>14867.15</v>
      </c>
      <c r="Q245" s="413">
        <f>'A) Base RI'!Z245</f>
        <v>0.8</v>
      </c>
      <c r="R245" s="405">
        <f t="shared" si="20"/>
        <v>285720.62867316499</v>
      </c>
      <c r="S245" s="401">
        <f>+'A) Base RI'!U245</f>
        <v>77</v>
      </c>
      <c r="T245" s="405">
        <f t="shared" si="21"/>
        <v>266499.19117316499</v>
      </c>
      <c r="U245" s="405">
        <f t="shared" si="22"/>
        <v>3710.6575152359092</v>
      </c>
      <c r="V245" s="10">
        <f>+'A) Base RI'!P245</f>
        <v>38923.599999999999</v>
      </c>
      <c r="W245" s="10">
        <f>+'A) Base RI'!Q245</f>
        <v>4767.1000000000004</v>
      </c>
      <c r="X245" s="10">
        <f>+'A) Base RI'!S245</f>
        <v>18737.3</v>
      </c>
      <c r="Y245" s="405">
        <f t="shared" si="23"/>
        <v>62428</v>
      </c>
      <c r="Z245" s="10">
        <f>+'A) Base RI'!O245</f>
        <v>0</v>
      </c>
      <c r="AA245" s="10">
        <f>'A) Base RI'!V245</f>
        <v>130</v>
      </c>
    </row>
    <row r="246" spans="1:27" x14ac:dyDescent="0.25">
      <c r="A246" s="8">
        <f>'A) Base RI'!A246</f>
        <v>5813</v>
      </c>
      <c r="B246" s="32" t="str">
        <f>'A) Base RI'!B246</f>
        <v>Chevroux</v>
      </c>
      <c r="C246" s="10">
        <f>'A) Base RI'!C246+'A) Base RI'!D246</f>
        <v>911501.26</v>
      </c>
      <c r="D246" s="10">
        <f>'A) Base RI'!W246</f>
        <v>-11356.09</v>
      </c>
      <c r="E246" s="397">
        <f>'A) Base RI'!X246</f>
        <v>0</v>
      </c>
      <c r="F246" s="397">
        <f>'A) Base RI'!Y246</f>
        <v>-55.8</v>
      </c>
      <c r="G246" s="405">
        <f t="shared" si="18"/>
        <v>900089.37</v>
      </c>
      <c r="H246" s="10">
        <f>+'A) Base RI'!E246</f>
        <v>0</v>
      </c>
      <c r="I246" s="10">
        <f>+'A) Base RI'!F246</f>
        <v>3100</v>
      </c>
      <c r="J246" s="10">
        <f>+'A) Base RI'!G246+'A) Base RI'!H246+'A) Base RI'!I246</f>
        <v>21810.5470124319</v>
      </c>
      <c r="K246" s="10">
        <f>+'A) Base RI'!J246</f>
        <v>0</v>
      </c>
      <c r="L246" s="10">
        <f>+'A) Base RI'!K246</f>
        <v>14431.02</v>
      </c>
      <c r="M246" s="10">
        <f>+'A) Base RI'!L246</f>
        <v>0</v>
      </c>
      <c r="N246" s="10">
        <f>+'A) Base RI'!R246</f>
        <v>0</v>
      </c>
      <c r="O246" s="10">
        <f t="shared" si="19"/>
        <v>90265.25</v>
      </c>
      <c r="P246" s="10">
        <f>+'A) Base RI'!M246</f>
        <v>108318.3</v>
      </c>
      <c r="Q246" s="413">
        <f>'A) Base RI'!Z246</f>
        <v>1.2</v>
      </c>
      <c r="R246" s="405">
        <f t="shared" si="20"/>
        <v>1029696.1870124319</v>
      </c>
      <c r="S246" s="401">
        <f>+'A) Base RI'!U246</f>
        <v>70</v>
      </c>
      <c r="T246" s="405">
        <f t="shared" si="21"/>
        <v>936330.93701243191</v>
      </c>
      <c r="U246" s="405">
        <f t="shared" si="22"/>
        <v>14709.945528749027</v>
      </c>
      <c r="V246" s="10">
        <f>+'A) Base RI'!P246</f>
        <v>0</v>
      </c>
      <c r="W246" s="10">
        <f>+'A) Base RI'!Q246</f>
        <v>36850</v>
      </c>
      <c r="X246" s="10">
        <f>+'A) Base RI'!S246</f>
        <v>3259.3</v>
      </c>
      <c r="Y246" s="405">
        <f t="shared" si="23"/>
        <v>40109.300000000003</v>
      </c>
      <c r="Z246" s="10">
        <f>+'A) Base RI'!O246</f>
        <v>0</v>
      </c>
      <c r="AA246" s="10">
        <f>'A) Base RI'!V246</f>
        <v>492</v>
      </c>
    </row>
    <row r="247" spans="1:27" x14ac:dyDescent="0.25">
      <c r="A247" s="8">
        <f>'A) Base RI'!A247</f>
        <v>5816</v>
      </c>
      <c r="B247" s="32" t="str">
        <f>'A) Base RI'!B247</f>
        <v>Corcelles-près-Payerne</v>
      </c>
      <c r="C247" s="10">
        <f>'A) Base RI'!C247+'A) Base RI'!D247</f>
        <v>3612125.16</v>
      </c>
      <c r="D247" s="10">
        <f>'A) Base RI'!W247</f>
        <v>-106669.5</v>
      </c>
      <c r="E247" s="397">
        <f>'A) Base RI'!X247</f>
        <v>0</v>
      </c>
      <c r="F247" s="397">
        <f>'A) Base RI'!Y247</f>
        <v>-115.51</v>
      </c>
      <c r="G247" s="405">
        <f t="shared" si="18"/>
        <v>3505340.1500000004</v>
      </c>
      <c r="H247" s="10">
        <f>+'A) Base RI'!E247</f>
        <v>0</v>
      </c>
      <c r="I247" s="10">
        <f>+'A) Base RI'!F247</f>
        <v>0</v>
      </c>
      <c r="J247" s="10">
        <f>+'A) Base RI'!G247+'A) Base RI'!H247+'A) Base RI'!I247</f>
        <v>155578.94197716081</v>
      </c>
      <c r="K247" s="10">
        <f>+'A) Base RI'!J247</f>
        <v>0</v>
      </c>
      <c r="L247" s="10">
        <f>+'A) Base RI'!K247</f>
        <v>172168.66</v>
      </c>
      <c r="M247" s="10">
        <f>+'A) Base RI'!L247</f>
        <v>26633.4</v>
      </c>
      <c r="N247" s="10">
        <f>+'A) Base RI'!R247</f>
        <v>10120.69</v>
      </c>
      <c r="O247" s="10">
        <f t="shared" si="19"/>
        <v>359183.1428571429</v>
      </c>
      <c r="P247" s="10">
        <f>+'A) Base RI'!M247</f>
        <v>251428.2</v>
      </c>
      <c r="Q247" s="413">
        <f>'A) Base RI'!Z247</f>
        <v>0.7</v>
      </c>
      <c r="R247" s="405">
        <f t="shared" si="20"/>
        <v>4229024.9848343041</v>
      </c>
      <c r="S247" s="401">
        <f>+'A) Base RI'!U247</f>
        <v>70</v>
      </c>
      <c r="T247" s="405">
        <f t="shared" si="21"/>
        <v>3843208.4419771614</v>
      </c>
      <c r="U247" s="405">
        <f t="shared" si="22"/>
        <v>60414.642640490056</v>
      </c>
      <c r="V247" s="10">
        <f>+'A) Base RI'!P247</f>
        <v>37659.5</v>
      </c>
      <c r="W247" s="10">
        <f>+'A) Base RI'!Q247</f>
        <v>80623.05</v>
      </c>
      <c r="X247" s="10">
        <f>+'A) Base RI'!S247</f>
        <v>87255.15</v>
      </c>
      <c r="Y247" s="405">
        <f t="shared" si="23"/>
        <v>205537.7</v>
      </c>
      <c r="Z247" s="10">
        <f>+'A) Base RI'!O247</f>
        <v>19660.349999999999</v>
      </c>
      <c r="AA247" s="10">
        <f>'A) Base RI'!V247</f>
        <v>2571</v>
      </c>
    </row>
    <row r="248" spans="1:27" x14ac:dyDescent="0.25">
      <c r="A248" s="8">
        <f>'A) Base RI'!A248</f>
        <v>5817</v>
      </c>
      <c r="B248" s="32" t="str">
        <f>'A) Base RI'!B248</f>
        <v>Grandcour</v>
      </c>
      <c r="C248" s="10">
        <f>'A) Base RI'!C248+'A) Base RI'!D248</f>
        <v>1525111.58</v>
      </c>
      <c r="D248" s="10">
        <f>'A) Base RI'!W248</f>
        <v>-41595.360000000001</v>
      </c>
      <c r="E248" s="397">
        <f>'A) Base RI'!X248</f>
        <v>0</v>
      </c>
      <c r="F248" s="397">
        <f>'A) Base RI'!Y248</f>
        <v>-10.69</v>
      </c>
      <c r="G248" s="405">
        <f t="shared" si="18"/>
        <v>1483505.53</v>
      </c>
      <c r="H248" s="10">
        <f>+'A) Base RI'!E248</f>
        <v>0</v>
      </c>
      <c r="I248" s="10">
        <f>+'A) Base RI'!F248</f>
        <v>5290</v>
      </c>
      <c r="J248" s="10">
        <f>+'A) Base RI'!G248+'A) Base RI'!H248+'A) Base RI'!I248</f>
        <v>24188.211503565759</v>
      </c>
      <c r="K248" s="10">
        <f>+'A) Base RI'!J248</f>
        <v>0</v>
      </c>
      <c r="L248" s="10">
        <f>+'A) Base RI'!K248</f>
        <v>30595.45</v>
      </c>
      <c r="M248" s="10">
        <f>+'A) Base RI'!L248</f>
        <v>4527.95</v>
      </c>
      <c r="N248" s="10">
        <f>+'A) Base RI'!R248</f>
        <v>4040.66</v>
      </c>
      <c r="O248" s="10">
        <f t="shared" si="19"/>
        <v>127142.9</v>
      </c>
      <c r="P248" s="10">
        <f>+'A) Base RI'!M248</f>
        <v>127142.9</v>
      </c>
      <c r="Q248" s="413">
        <f>'A) Base RI'!Z248</f>
        <v>1</v>
      </c>
      <c r="R248" s="405">
        <f t="shared" si="20"/>
        <v>1679290.7015035655</v>
      </c>
      <c r="S248" s="401">
        <f>+'A) Base RI'!U248</f>
        <v>77</v>
      </c>
      <c r="T248" s="405">
        <f t="shared" si="21"/>
        <v>1542329.8515035657</v>
      </c>
      <c r="U248" s="405">
        <f t="shared" si="22"/>
        <v>21808.970149396955</v>
      </c>
      <c r="V248" s="10">
        <f>+'A) Base RI'!P248</f>
        <v>0</v>
      </c>
      <c r="W248" s="10">
        <f>+'A) Base RI'!Q248</f>
        <v>25362.55</v>
      </c>
      <c r="X248" s="10">
        <f>+'A) Base RI'!S248</f>
        <v>22571.1</v>
      </c>
      <c r="Y248" s="405">
        <f t="shared" si="23"/>
        <v>47933.649999999994</v>
      </c>
      <c r="Z248" s="10">
        <f>+'A) Base RI'!O248</f>
        <v>0</v>
      </c>
      <c r="AA248" s="10">
        <f>'A) Base RI'!V248</f>
        <v>953</v>
      </c>
    </row>
    <row r="249" spans="1:27" x14ac:dyDescent="0.25">
      <c r="A249" s="8">
        <f>'A) Base RI'!A249</f>
        <v>5819</v>
      </c>
      <c r="B249" s="32" t="str">
        <f>'A) Base RI'!B249</f>
        <v>Henniez</v>
      </c>
      <c r="C249" s="10">
        <f>'A) Base RI'!C249+'A) Base RI'!D249</f>
        <v>691734.57000000007</v>
      </c>
      <c r="D249" s="10">
        <f>'A) Base RI'!W249</f>
        <v>-1283.44</v>
      </c>
      <c r="E249" s="397">
        <f>'A) Base RI'!X249</f>
        <v>0</v>
      </c>
      <c r="F249" s="397">
        <f>'A) Base RI'!Y249</f>
        <v>-176.44</v>
      </c>
      <c r="G249" s="405">
        <f t="shared" si="18"/>
        <v>690274.69000000018</v>
      </c>
      <c r="H249" s="10">
        <f>+'A) Base RI'!E249</f>
        <v>0</v>
      </c>
      <c r="I249" s="10">
        <f>+'A) Base RI'!F249</f>
        <v>0</v>
      </c>
      <c r="J249" s="10">
        <f>+'A) Base RI'!G249+'A) Base RI'!H249+'A) Base RI'!I249</f>
        <v>30972.600456971228</v>
      </c>
      <c r="K249" s="10">
        <f>+'A) Base RI'!J249</f>
        <v>0</v>
      </c>
      <c r="L249" s="10">
        <f>+'A) Base RI'!K249</f>
        <v>13378.75</v>
      </c>
      <c r="M249" s="10">
        <f>+'A) Base RI'!L249</f>
        <v>2011.65</v>
      </c>
      <c r="N249" s="10">
        <f>+'A) Base RI'!R249</f>
        <v>0</v>
      </c>
      <c r="O249" s="10">
        <f t="shared" si="19"/>
        <v>82861.149999999994</v>
      </c>
      <c r="P249" s="10">
        <f>+'A) Base RI'!M249</f>
        <v>82861.149999999994</v>
      </c>
      <c r="Q249" s="413">
        <f>'A) Base RI'!Z249</f>
        <v>1</v>
      </c>
      <c r="R249" s="405">
        <f t="shared" si="20"/>
        <v>819498.84045697143</v>
      </c>
      <c r="S249" s="401">
        <f>+'A) Base RI'!U249</f>
        <v>69</v>
      </c>
      <c r="T249" s="405">
        <f t="shared" si="21"/>
        <v>734626.04045697139</v>
      </c>
      <c r="U249" s="405">
        <f t="shared" si="22"/>
        <v>11876.79478923147</v>
      </c>
      <c r="V249" s="10">
        <f>+'A) Base RI'!P249</f>
        <v>1378</v>
      </c>
      <c r="W249" s="10">
        <f>+'A) Base RI'!Q249</f>
        <v>28832.45</v>
      </c>
      <c r="X249" s="10">
        <f>+'A) Base RI'!S249</f>
        <v>19825.95</v>
      </c>
      <c r="Y249" s="405">
        <f t="shared" si="23"/>
        <v>50036.4</v>
      </c>
      <c r="Z249" s="10">
        <f>+'A) Base RI'!O249</f>
        <v>23421.9</v>
      </c>
      <c r="AA249" s="10">
        <f>'A) Base RI'!V249</f>
        <v>376</v>
      </c>
    </row>
    <row r="250" spans="1:27" x14ac:dyDescent="0.25">
      <c r="A250" s="8">
        <f>'A) Base RI'!A250</f>
        <v>5821</v>
      </c>
      <c r="B250" s="32" t="str">
        <f>'A) Base RI'!B250</f>
        <v>Missy</v>
      </c>
      <c r="C250" s="10">
        <f>'A) Base RI'!C250+'A) Base RI'!D250</f>
        <v>531677.32999999996</v>
      </c>
      <c r="D250" s="10">
        <f>'A) Base RI'!W250</f>
        <v>-9920.1200000000008</v>
      </c>
      <c r="E250" s="397">
        <f>'A) Base RI'!X250</f>
        <v>0</v>
      </c>
      <c r="F250" s="397">
        <f>'A) Base RI'!Y250</f>
        <v>0</v>
      </c>
      <c r="G250" s="405">
        <f t="shared" si="18"/>
        <v>521757.20999999996</v>
      </c>
      <c r="H250" s="10">
        <f>+'A) Base RI'!E250</f>
        <v>0</v>
      </c>
      <c r="I250" s="10">
        <f>+'A) Base RI'!F250</f>
        <v>2100</v>
      </c>
      <c r="J250" s="10">
        <f>+'A) Base RI'!G250+'A) Base RI'!H250+'A) Base RI'!I250</f>
        <v>-113.55000000000001</v>
      </c>
      <c r="K250" s="10">
        <f>+'A) Base RI'!J250</f>
        <v>0</v>
      </c>
      <c r="L250" s="10">
        <f>+'A) Base RI'!K250</f>
        <v>8585.49</v>
      </c>
      <c r="M250" s="10">
        <f>+'A) Base RI'!L250</f>
        <v>1346.65</v>
      </c>
      <c r="N250" s="10">
        <f>+'A) Base RI'!R250</f>
        <v>16980.38</v>
      </c>
      <c r="O250" s="10">
        <f t="shared" si="19"/>
        <v>50446.3</v>
      </c>
      <c r="P250" s="10">
        <f>+'A) Base RI'!M250</f>
        <v>50446.3</v>
      </c>
      <c r="Q250" s="413">
        <f>'A) Base RI'!Z250</f>
        <v>1</v>
      </c>
      <c r="R250" s="405">
        <f t="shared" si="20"/>
        <v>601102.4800000001</v>
      </c>
      <c r="S250" s="401">
        <f>+'A) Base RI'!U250</f>
        <v>72</v>
      </c>
      <c r="T250" s="405">
        <f t="shared" si="21"/>
        <v>547209.53</v>
      </c>
      <c r="U250" s="405">
        <f t="shared" si="22"/>
        <v>8348.6455555555567</v>
      </c>
      <c r="V250" s="10">
        <f>+'A) Base RI'!P250</f>
        <v>0</v>
      </c>
      <c r="W250" s="10">
        <f>+'A) Base RI'!Q250</f>
        <v>3630</v>
      </c>
      <c r="X250" s="10">
        <f>+'A) Base RI'!S250</f>
        <v>0</v>
      </c>
      <c r="Y250" s="405">
        <f t="shared" si="23"/>
        <v>3630</v>
      </c>
      <c r="Z250" s="10">
        <f>+'A) Base RI'!O250</f>
        <v>0</v>
      </c>
      <c r="AA250" s="10">
        <f>'A) Base RI'!V250</f>
        <v>362</v>
      </c>
    </row>
    <row r="251" spans="1:27" x14ac:dyDescent="0.25">
      <c r="A251" s="8">
        <f>'A) Base RI'!A251</f>
        <v>5822</v>
      </c>
      <c r="B251" s="32" t="str">
        <f>'A) Base RI'!B251</f>
        <v>Payerne</v>
      </c>
      <c r="C251" s="10">
        <f>'A) Base RI'!C251+'A) Base RI'!D251</f>
        <v>15382045.530000001</v>
      </c>
      <c r="D251" s="10">
        <f>'A) Base RI'!W251</f>
        <v>-541005.63</v>
      </c>
      <c r="E251" s="397">
        <f>'A) Base RI'!X251</f>
        <v>0</v>
      </c>
      <c r="F251" s="397">
        <f>'A) Base RI'!Y251</f>
        <v>-1059.3900000000001</v>
      </c>
      <c r="G251" s="405">
        <f t="shared" si="18"/>
        <v>14839980.51</v>
      </c>
      <c r="H251" s="10">
        <f>+'A) Base RI'!E251</f>
        <v>0</v>
      </c>
      <c r="I251" s="10">
        <f>+'A) Base RI'!F251</f>
        <v>0</v>
      </c>
      <c r="J251" s="10">
        <f>+'A) Base RI'!G251+'A) Base RI'!H251+'A) Base RI'!I251</f>
        <v>714769.75996431371</v>
      </c>
      <c r="K251" s="10">
        <f>+'A) Base RI'!J251</f>
        <v>0</v>
      </c>
      <c r="L251" s="10">
        <f>+'A) Base RI'!K251</f>
        <v>906432.77</v>
      </c>
      <c r="M251" s="10">
        <f>+'A) Base RI'!L251</f>
        <v>208173.85</v>
      </c>
      <c r="N251" s="10">
        <f>+'A) Base RI'!R251</f>
        <v>197416.49</v>
      </c>
      <c r="O251" s="10">
        <f t="shared" si="19"/>
        <v>1406155.3</v>
      </c>
      <c r="P251" s="10">
        <f>+'A) Base RI'!M251</f>
        <v>1406155.3</v>
      </c>
      <c r="Q251" s="413">
        <f>'A) Base RI'!Z251</f>
        <v>1</v>
      </c>
      <c r="R251" s="405">
        <f t="shared" si="20"/>
        <v>18272928.679964311</v>
      </c>
      <c r="S251" s="401">
        <f>+'A) Base RI'!U251</f>
        <v>75</v>
      </c>
      <c r="T251" s="405">
        <f t="shared" si="21"/>
        <v>16658599.529964313</v>
      </c>
      <c r="U251" s="405">
        <f t="shared" si="22"/>
        <v>243639.04906619081</v>
      </c>
      <c r="V251" s="10">
        <f>+'A) Base RI'!P251</f>
        <v>152337.1</v>
      </c>
      <c r="W251" s="10">
        <f>+'A) Base RI'!Q251</f>
        <v>604071.85</v>
      </c>
      <c r="X251" s="10">
        <f>+'A) Base RI'!S251</f>
        <v>412749.45</v>
      </c>
      <c r="Y251" s="405">
        <f t="shared" si="23"/>
        <v>1169158.3999999999</v>
      </c>
      <c r="Z251" s="10">
        <f>+'A) Base RI'!O251</f>
        <v>76138.3</v>
      </c>
      <c r="AA251" s="10">
        <f>'A) Base RI'!V251</f>
        <v>10072</v>
      </c>
    </row>
    <row r="252" spans="1:27" x14ac:dyDescent="0.25">
      <c r="A252" s="8">
        <f>'A) Base RI'!A252</f>
        <v>5827</v>
      </c>
      <c r="B252" s="32" t="str">
        <f>'A) Base RI'!B252</f>
        <v>Trey</v>
      </c>
      <c r="C252" s="10">
        <f>'A) Base RI'!C252+'A) Base RI'!D252</f>
        <v>499897.22</v>
      </c>
      <c r="D252" s="10">
        <f>'A) Base RI'!W252</f>
        <v>-3387.34</v>
      </c>
      <c r="E252" s="397">
        <f>'A) Base RI'!X252</f>
        <v>0</v>
      </c>
      <c r="F252" s="397">
        <f>'A) Base RI'!Y252</f>
        <v>0</v>
      </c>
      <c r="G252" s="405">
        <f t="shared" si="18"/>
        <v>496509.87999999995</v>
      </c>
      <c r="H252" s="10">
        <f>+'A) Base RI'!E252</f>
        <v>0</v>
      </c>
      <c r="I252" s="10">
        <f>+'A) Base RI'!F252</f>
        <v>1620</v>
      </c>
      <c r="J252" s="10">
        <f>+'A) Base RI'!G252+'A) Base RI'!H252+'A) Base RI'!I252</f>
        <v>8522.50321979812</v>
      </c>
      <c r="K252" s="10">
        <f>+'A) Base RI'!J252</f>
        <v>0</v>
      </c>
      <c r="L252" s="10">
        <f>+'A) Base RI'!K252</f>
        <v>-2811.11</v>
      </c>
      <c r="M252" s="10">
        <f>+'A) Base RI'!L252</f>
        <v>30.85</v>
      </c>
      <c r="N252" s="10">
        <f>+'A) Base RI'!R252</f>
        <v>120.26</v>
      </c>
      <c r="O252" s="10">
        <f t="shared" si="19"/>
        <v>36758.050000000003</v>
      </c>
      <c r="P252" s="10">
        <f>+'A) Base RI'!M252</f>
        <v>36758.050000000003</v>
      </c>
      <c r="Q252" s="413">
        <f>'A) Base RI'!Z252</f>
        <v>1</v>
      </c>
      <c r="R252" s="405">
        <f t="shared" si="20"/>
        <v>540750.43321979814</v>
      </c>
      <c r="S252" s="401">
        <f>+'A) Base RI'!U252</f>
        <v>80</v>
      </c>
      <c r="T252" s="405">
        <f t="shared" si="21"/>
        <v>502341.53321979812</v>
      </c>
      <c r="U252" s="405">
        <f t="shared" si="22"/>
        <v>6759.3804152474768</v>
      </c>
      <c r="V252" s="10">
        <f>+'A) Base RI'!P252</f>
        <v>14325</v>
      </c>
      <c r="W252" s="10">
        <f>+'A) Base RI'!Q252</f>
        <v>5967.7</v>
      </c>
      <c r="X252" s="10">
        <f>+'A) Base RI'!S252</f>
        <v>0</v>
      </c>
      <c r="Y252" s="405">
        <f t="shared" si="23"/>
        <v>20292.7</v>
      </c>
      <c r="Z252" s="10">
        <f>+'A) Base RI'!O252</f>
        <v>0</v>
      </c>
      <c r="AA252" s="10">
        <f>'A) Base RI'!V252</f>
        <v>285</v>
      </c>
    </row>
    <row r="253" spans="1:27" x14ac:dyDescent="0.25">
      <c r="A253" s="8">
        <f>'A) Base RI'!A253</f>
        <v>5828</v>
      </c>
      <c r="B253" s="32" t="str">
        <f>'A) Base RI'!B253</f>
        <v>Treytorrens (Payerne)</v>
      </c>
      <c r="C253" s="10">
        <f>'A) Base RI'!C253+'A) Base RI'!D253</f>
        <v>188118.02000000002</v>
      </c>
      <c r="D253" s="10">
        <f>'A) Base RI'!W253</f>
        <v>-74.88</v>
      </c>
      <c r="E253" s="397">
        <f>'A) Base RI'!X253</f>
        <v>0</v>
      </c>
      <c r="F253" s="397">
        <f>'A) Base RI'!Y253</f>
        <v>0</v>
      </c>
      <c r="G253" s="405">
        <f t="shared" si="18"/>
        <v>188043.14</v>
      </c>
      <c r="H253" s="10">
        <f>+'A) Base RI'!E253</f>
        <v>0</v>
      </c>
      <c r="I253" s="10">
        <f>+'A) Base RI'!F253</f>
        <v>0</v>
      </c>
      <c r="J253" s="10">
        <f>+'A) Base RI'!G253+'A) Base RI'!H253+'A) Base RI'!I253</f>
        <v>-273.05</v>
      </c>
      <c r="K253" s="10">
        <f>+'A) Base RI'!J253</f>
        <v>0</v>
      </c>
      <c r="L253" s="10">
        <f>+'A) Base RI'!K253</f>
        <v>38.200000000000003</v>
      </c>
      <c r="M253" s="10">
        <f>+'A) Base RI'!L253</f>
        <v>0</v>
      </c>
      <c r="N253" s="10">
        <f>+'A) Base RI'!R253</f>
        <v>0</v>
      </c>
      <c r="O253" s="10">
        <f t="shared" si="19"/>
        <v>15724.933333333334</v>
      </c>
      <c r="P253" s="10">
        <f>+'A) Base RI'!M253</f>
        <v>23587.4</v>
      </c>
      <c r="Q253" s="413">
        <f>'A) Base RI'!Z253</f>
        <v>1.5</v>
      </c>
      <c r="R253" s="405">
        <f t="shared" si="20"/>
        <v>203533.22333333339</v>
      </c>
      <c r="S253" s="401">
        <f>+'A) Base RI'!U253</f>
        <v>84</v>
      </c>
      <c r="T253" s="405">
        <f t="shared" si="21"/>
        <v>187808.29000000004</v>
      </c>
      <c r="U253" s="405">
        <f t="shared" si="22"/>
        <v>2423.0145634920641</v>
      </c>
      <c r="V253" s="10">
        <f>+'A) Base RI'!P253</f>
        <v>0</v>
      </c>
      <c r="W253" s="10">
        <f>+'A) Base RI'!Q253</f>
        <v>14374.45</v>
      </c>
      <c r="X253" s="10">
        <f>+'A) Base RI'!S253</f>
        <v>17585.900000000001</v>
      </c>
      <c r="Y253" s="405">
        <f t="shared" si="23"/>
        <v>31960.350000000002</v>
      </c>
      <c r="Z253" s="10">
        <f>+'A) Base RI'!O253</f>
        <v>0</v>
      </c>
      <c r="AA253" s="10">
        <f>'A) Base RI'!V253</f>
        <v>111</v>
      </c>
    </row>
    <row r="254" spans="1:27" x14ac:dyDescent="0.25">
      <c r="A254" s="8">
        <f>'A) Base RI'!A254</f>
        <v>5830</v>
      </c>
      <c r="B254" s="32" t="str">
        <f>'A) Base RI'!B254</f>
        <v>Villarzel</v>
      </c>
      <c r="C254" s="10">
        <f>'A) Base RI'!C254+'A) Base RI'!D254</f>
        <v>987184.32000000007</v>
      </c>
      <c r="D254" s="10">
        <f>'A) Base RI'!W254</f>
        <v>-28785.19</v>
      </c>
      <c r="E254" s="397">
        <f>'A) Base RI'!X254</f>
        <v>0</v>
      </c>
      <c r="F254" s="397">
        <f>'A) Base RI'!Y254</f>
        <v>-7.0000000000000007E-2</v>
      </c>
      <c r="G254" s="405">
        <f t="shared" si="18"/>
        <v>958399.06000000017</v>
      </c>
      <c r="H254" s="10">
        <f>+'A) Base RI'!E254</f>
        <v>0</v>
      </c>
      <c r="I254" s="10">
        <f>+'A) Base RI'!F254</f>
        <v>0</v>
      </c>
      <c r="J254" s="10">
        <f>+'A) Base RI'!G254+'A) Base RI'!H254+'A) Base RI'!I254</f>
        <v>20578.893787632562</v>
      </c>
      <c r="K254" s="10">
        <f>+'A) Base RI'!J254</f>
        <v>0</v>
      </c>
      <c r="L254" s="10">
        <f>+'A) Base RI'!K254</f>
        <v>9458.58</v>
      </c>
      <c r="M254" s="10">
        <f>+'A) Base RI'!L254</f>
        <v>1945.2</v>
      </c>
      <c r="N254" s="10">
        <f>+'A) Base RI'!R254</f>
        <v>4317.7700000000004</v>
      </c>
      <c r="O254" s="10">
        <f t="shared" si="19"/>
        <v>57367.65</v>
      </c>
      <c r="P254" s="10">
        <f>+'A) Base RI'!M254</f>
        <v>57367.65</v>
      </c>
      <c r="Q254" s="413">
        <f>'A) Base RI'!Z254</f>
        <v>1</v>
      </c>
      <c r="R254" s="405">
        <f t="shared" si="20"/>
        <v>1052067.1537876327</v>
      </c>
      <c r="S254" s="401">
        <f>+'A) Base RI'!U254</f>
        <v>77</v>
      </c>
      <c r="T254" s="405">
        <f t="shared" si="21"/>
        <v>992754.30378763273</v>
      </c>
      <c r="U254" s="405">
        <f t="shared" si="22"/>
        <v>13663.209789449775</v>
      </c>
      <c r="V254" s="10">
        <f>+'A) Base RI'!P254</f>
        <v>1597.2</v>
      </c>
      <c r="W254" s="10">
        <f>+'A) Base RI'!Q254</f>
        <v>33027.800000000003</v>
      </c>
      <c r="X254" s="10">
        <f>+'A) Base RI'!S254</f>
        <v>47000.800000000003</v>
      </c>
      <c r="Y254" s="405">
        <f t="shared" si="23"/>
        <v>81625.8</v>
      </c>
      <c r="Z254" s="10">
        <f>+'A) Base RI'!O254</f>
        <v>0</v>
      </c>
      <c r="AA254" s="10">
        <f>'A) Base RI'!V254</f>
        <v>451</v>
      </c>
    </row>
    <row r="255" spans="1:27" x14ac:dyDescent="0.25">
      <c r="A255" s="8">
        <f>'A) Base RI'!A255</f>
        <v>5831</v>
      </c>
      <c r="B255" s="32" t="str">
        <f>'A) Base RI'!B255</f>
        <v>Valbroye</v>
      </c>
      <c r="C255" s="10">
        <f>'A) Base RI'!C255+'A) Base RI'!D255</f>
        <v>5106832.57</v>
      </c>
      <c r="D255" s="10">
        <f>'A) Base RI'!W255</f>
        <v>-100160.31</v>
      </c>
      <c r="E255" s="397">
        <f>'A) Base RI'!X255</f>
        <v>0</v>
      </c>
      <c r="F255" s="397">
        <f>'A) Base RI'!Y255</f>
        <v>-366.07</v>
      </c>
      <c r="G255" s="405">
        <f t="shared" si="18"/>
        <v>5006306.1900000004</v>
      </c>
      <c r="H255" s="10">
        <f>+'A) Base RI'!E255</f>
        <v>0</v>
      </c>
      <c r="I255" s="10">
        <f>+'A) Base RI'!F255</f>
        <v>0</v>
      </c>
      <c r="J255" s="10">
        <f>+'A) Base RI'!G255+'A) Base RI'!H255+'A) Base RI'!I255</f>
        <v>565797.8863374918</v>
      </c>
      <c r="K255" s="10">
        <f>+'A) Base RI'!J255</f>
        <v>0</v>
      </c>
      <c r="L255" s="10">
        <f>+'A) Base RI'!K255</f>
        <v>206702.76</v>
      </c>
      <c r="M255" s="10">
        <f>+'A) Base RI'!L255</f>
        <v>22092.85</v>
      </c>
      <c r="N255" s="10">
        <f>+'A) Base RI'!R255</f>
        <v>37519.93</v>
      </c>
      <c r="O255" s="10">
        <f t="shared" si="19"/>
        <v>764927.5</v>
      </c>
      <c r="P255" s="10">
        <f>+'A) Base RI'!M255</f>
        <v>458956.5</v>
      </c>
      <c r="Q255" s="413">
        <f>'A) Base RI'!Z255</f>
        <v>0.6</v>
      </c>
      <c r="R255" s="405">
        <f t="shared" si="20"/>
        <v>6603347.1163374912</v>
      </c>
      <c r="S255" s="401">
        <f>+'A) Base RI'!U255</f>
        <v>73</v>
      </c>
      <c r="T255" s="405">
        <f t="shared" si="21"/>
        <v>5816326.7663374916</v>
      </c>
      <c r="U255" s="405">
        <f t="shared" si="22"/>
        <v>90456.809812842344</v>
      </c>
      <c r="V255" s="10">
        <f>+'A) Base RI'!P255</f>
        <v>62187.9</v>
      </c>
      <c r="W255" s="10">
        <f>+'A) Base RI'!Q255</f>
        <v>282710</v>
      </c>
      <c r="X255" s="10">
        <f>+'A) Base RI'!S255</f>
        <v>232705.05</v>
      </c>
      <c r="Y255" s="405">
        <f t="shared" si="23"/>
        <v>577602.94999999995</v>
      </c>
      <c r="Z255" s="10">
        <f>+'A) Base RI'!O255</f>
        <v>21168.7</v>
      </c>
      <c r="AA255" s="10">
        <f>'A) Base RI'!V255</f>
        <v>3296</v>
      </c>
    </row>
    <row r="256" spans="1:27" x14ac:dyDescent="0.25">
      <c r="A256" s="8">
        <f>'A) Base RI'!A256</f>
        <v>5841</v>
      </c>
      <c r="B256" s="32" t="str">
        <f>'A) Base RI'!B256</f>
        <v>Château-d'Oex</v>
      </c>
      <c r="C256" s="10">
        <f>'A) Base RI'!C256+'A) Base RI'!D256</f>
        <v>7399098.29</v>
      </c>
      <c r="D256" s="10">
        <f>'A) Base RI'!W256</f>
        <v>-69683.91</v>
      </c>
      <c r="E256" s="397">
        <f>'A) Base RI'!X256</f>
        <v>0</v>
      </c>
      <c r="F256" s="397">
        <f>'A) Base RI'!Y256</f>
        <v>-15910.69</v>
      </c>
      <c r="G256" s="405">
        <f t="shared" si="18"/>
        <v>7313503.6899999995</v>
      </c>
      <c r="H256" s="10">
        <f>+'A) Base RI'!E256</f>
        <v>0</v>
      </c>
      <c r="I256" s="10">
        <f>+'A) Base RI'!F256</f>
        <v>0</v>
      </c>
      <c r="J256" s="10">
        <f>+'A) Base RI'!G256+'A) Base RI'!H256+'A) Base RI'!I256</f>
        <v>273822.89839724981</v>
      </c>
      <c r="K256" s="10">
        <f>+'A) Base RI'!J256</f>
        <v>872877.7</v>
      </c>
      <c r="L256" s="10">
        <f>+'A) Base RI'!K256</f>
        <v>327608.68</v>
      </c>
      <c r="M256" s="10">
        <f>+'A) Base RI'!L256</f>
        <v>32338.85</v>
      </c>
      <c r="N256" s="10">
        <f>+'A) Base RI'!R256</f>
        <v>19839.59</v>
      </c>
      <c r="O256" s="10">
        <f t="shared" si="19"/>
        <v>985438</v>
      </c>
      <c r="P256" s="10">
        <f>+'A) Base RI'!M256</f>
        <v>1478157</v>
      </c>
      <c r="Q256" s="413">
        <f>'A) Base RI'!Z256</f>
        <v>1.5</v>
      </c>
      <c r="R256" s="405">
        <f t="shared" si="20"/>
        <v>9825429.408397248</v>
      </c>
      <c r="S256" s="401">
        <f>+'A) Base RI'!U256</f>
        <v>83</v>
      </c>
      <c r="T256" s="405">
        <f t="shared" si="21"/>
        <v>8807652.5583972484</v>
      </c>
      <c r="U256" s="405">
        <f t="shared" si="22"/>
        <v>118378.66757105118</v>
      </c>
      <c r="V256" s="10">
        <f>+'A) Base RI'!P256</f>
        <v>158620.4</v>
      </c>
      <c r="W256" s="10">
        <f>+'A) Base RI'!Q256</f>
        <v>374670.25</v>
      </c>
      <c r="X256" s="10">
        <f>+'A) Base RI'!S256</f>
        <v>150359.04999999999</v>
      </c>
      <c r="Y256" s="405">
        <f t="shared" si="23"/>
        <v>683649.7</v>
      </c>
      <c r="Z256" s="10">
        <f>+'A) Base RI'!O256</f>
        <v>163.25</v>
      </c>
      <c r="AA256" s="10">
        <f>'A) Base RI'!V256</f>
        <v>3468</v>
      </c>
    </row>
    <row r="257" spans="1:27" x14ac:dyDescent="0.25">
      <c r="A257" s="8">
        <f>'A) Base RI'!A257</f>
        <v>5842</v>
      </c>
      <c r="B257" s="32" t="str">
        <f>'A) Base RI'!B257</f>
        <v>Rossinière</v>
      </c>
      <c r="C257" s="10">
        <f>'A) Base RI'!C257+'A) Base RI'!D257</f>
        <v>972110.3</v>
      </c>
      <c r="D257" s="10">
        <f>'A) Base RI'!W257</f>
        <v>-2487.0300000000002</v>
      </c>
      <c r="E257" s="397">
        <f>'A) Base RI'!X257</f>
        <v>0</v>
      </c>
      <c r="F257" s="397">
        <f>'A) Base RI'!Y257</f>
        <v>-313.92</v>
      </c>
      <c r="G257" s="405">
        <f t="shared" si="18"/>
        <v>969309.35</v>
      </c>
      <c r="H257" s="10">
        <f>+'A) Base RI'!E257</f>
        <v>0</v>
      </c>
      <c r="I257" s="10">
        <f>+'A) Base RI'!F257</f>
        <v>0</v>
      </c>
      <c r="J257" s="10">
        <f>+'A) Base RI'!G257+'A) Base RI'!H257+'A) Base RI'!I257</f>
        <v>51823.088703134497</v>
      </c>
      <c r="K257" s="10">
        <f>+'A) Base RI'!J257</f>
        <v>-24596.85</v>
      </c>
      <c r="L257" s="10">
        <f>+'A) Base RI'!K257</f>
        <v>23613.599999999999</v>
      </c>
      <c r="M257" s="10">
        <f>+'A) Base RI'!L257</f>
        <v>907.25</v>
      </c>
      <c r="N257" s="10">
        <f>+'A) Base RI'!R257</f>
        <v>0</v>
      </c>
      <c r="O257" s="10">
        <f t="shared" si="19"/>
        <v>94200.033333333326</v>
      </c>
      <c r="P257" s="10">
        <f>+'A) Base RI'!M257</f>
        <v>141300.04999999999</v>
      </c>
      <c r="Q257" s="413">
        <f>'A) Base RI'!Z257</f>
        <v>1.5</v>
      </c>
      <c r="R257" s="405">
        <f t="shared" si="20"/>
        <v>1115256.4720364679</v>
      </c>
      <c r="S257" s="401">
        <f>+'A) Base RI'!U257</f>
        <v>81</v>
      </c>
      <c r="T257" s="405">
        <f t="shared" si="21"/>
        <v>1020149.1887031344</v>
      </c>
      <c r="U257" s="405">
        <f t="shared" si="22"/>
        <v>13768.598420203307</v>
      </c>
      <c r="V257" s="10">
        <f>+'A) Base RI'!P257</f>
        <v>428.8</v>
      </c>
      <c r="W257" s="10">
        <f>+'A) Base RI'!Q257</f>
        <v>22076.15</v>
      </c>
      <c r="X257" s="10">
        <f>+'A) Base RI'!S257</f>
        <v>25274.7</v>
      </c>
      <c r="Y257" s="405">
        <f t="shared" si="23"/>
        <v>47779.65</v>
      </c>
      <c r="Z257" s="10">
        <f>+'A) Base RI'!O257</f>
        <v>0</v>
      </c>
      <c r="AA257" s="10">
        <f>'A) Base RI'!V257</f>
        <v>548</v>
      </c>
    </row>
    <row r="258" spans="1:27" x14ac:dyDescent="0.25">
      <c r="A258" s="8">
        <f>'A) Base RI'!A258</f>
        <v>5843</v>
      </c>
      <c r="B258" s="32" t="str">
        <f>'A) Base RI'!B258</f>
        <v>Rougemont</v>
      </c>
      <c r="C258" s="10">
        <f>'A) Base RI'!C258+'A) Base RI'!D258</f>
        <v>4176020.29</v>
      </c>
      <c r="D258" s="10">
        <f>'A) Base RI'!W258</f>
        <v>-93359.46</v>
      </c>
      <c r="E258" s="397">
        <f>'A) Base RI'!X258</f>
        <v>0</v>
      </c>
      <c r="F258" s="397">
        <f>'A) Base RI'!Y258</f>
        <v>-7690.73</v>
      </c>
      <c r="G258" s="405">
        <f t="shared" si="18"/>
        <v>4074970.1</v>
      </c>
      <c r="H258" s="10">
        <f>+'A) Base RI'!E258</f>
        <v>0</v>
      </c>
      <c r="I258" s="10">
        <f>+'A) Base RI'!F258</f>
        <v>0</v>
      </c>
      <c r="J258" s="10">
        <f>+'A) Base RI'!G258+'A) Base RI'!H258+'A) Base RI'!I258</f>
        <v>59550.949640339124</v>
      </c>
      <c r="K258" s="10">
        <f>+'A) Base RI'!J258</f>
        <v>1262291.18</v>
      </c>
      <c r="L258" s="10">
        <f>+'A) Base RI'!K258</f>
        <v>93615.95</v>
      </c>
      <c r="M258" s="10">
        <f>+'A) Base RI'!L258</f>
        <v>44858.45</v>
      </c>
      <c r="N258" s="10">
        <f>+'A) Base RI'!R258</f>
        <v>41559.769999999997</v>
      </c>
      <c r="O258" s="10">
        <f t="shared" si="19"/>
        <v>779760.06666666677</v>
      </c>
      <c r="P258" s="10">
        <f>+'A) Base RI'!M258</f>
        <v>1169640.1000000001</v>
      </c>
      <c r="Q258" s="413">
        <f>'A) Base RI'!Z258</f>
        <v>1.5</v>
      </c>
      <c r="R258" s="405">
        <f t="shared" si="20"/>
        <v>6356606.4663070058</v>
      </c>
      <c r="S258" s="401">
        <f>+'A) Base RI'!U258</f>
        <v>74</v>
      </c>
      <c r="T258" s="405">
        <f t="shared" si="21"/>
        <v>5531987.9496403392</v>
      </c>
      <c r="U258" s="405">
        <f t="shared" si="22"/>
        <v>85900.087382527112</v>
      </c>
      <c r="V258" s="10">
        <f>+'A) Base RI'!P258</f>
        <v>941705.7</v>
      </c>
      <c r="W258" s="10">
        <f>+'A) Base RI'!Q258</f>
        <v>471343.2</v>
      </c>
      <c r="X258" s="10">
        <f>+'A) Base RI'!S258</f>
        <v>399957.7</v>
      </c>
      <c r="Y258" s="405">
        <f t="shared" si="23"/>
        <v>1813006.5999999999</v>
      </c>
      <c r="Z258" s="10">
        <f>+'A) Base RI'!O258</f>
        <v>0</v>
      </c>
      <c r="AA258" s="10">
        <f>'A) Base RI'!V258</f>
        <v>858</v>
      </c>
    </row>
    <row r="259" spans="1:27" x14ac:dyDescent="0.25">
      <c r="A259" s="8">
        <f>'A) Base RI'!A259</f>
        <v>5851</v>
      </c>
      <c r="B259" s="32" t="str">
        <f>'A) Base RI'!B259</f>
        <v>Allaman</v>
      </c>
      <c r="C259" s="10">
        <f>'A) Base RI'!C259+'A) Base RI'!D259</f>
        <v>891913</v>
      </c>
      <c r="D259" s="10">
        <f>'A) Base RI'!W259</f>
        <v>-21666.11</v>
      </c>
      <c r="E259" s="397">
        <f>'A) Base RI'!X259</f>
        <v>0</v>
      </c>
      <c r="F259" s="397">
        <f>'A) Base RI'!Y259</f>
        <v>-717.14</v>
      </c>
      <c r="G259" s="405">
        <f t="shared" si="18"/>
        <v>869529.75</v>
      </c>
      <c r="H259" s="10">
        <f>+'A) Base RI'!E259</f>
        <v>0</v>
      </c>
      <c r="I259" s="10">
        <f>+'A) Base RI'!F259</f>
        <v>0</v>
      </c>
      <c r="J259" s="10">
        <f>+'A) Base RI'!G259+'A) Base RI'!H259+'A) Base RI'!I259</f>
        <v>98573.781357748143</v>
      </c>
      <c r="K259" s="10">
        <f>+'A) Base RI'!J259</f>
        <v>195823.8</v>
      </c>
      <c r="L259" s="10">
        <f>+'A) Base RI'!K259</f>
        <v>41396.54</v>
      </c>
      <c r="M259" s="10">
        <f>+'A) Base RI'!L259</f>
        <v>6856</v>
      </c>
      <c r="N259" s="10">
        <f>+'A) Base RI'!R259</f>
        <v>9116.69</v>
      </c>
      <c r="O259" s="10">
        <f t="shared" si="19"/>
        <v>220243.99999999997</v>
      </c>
      <c r="P259" s="10">
        <f>+'A) Base RI'!M259</f>
        <v>242268.4</v>
      </c>
      <c r="Q259" s="413">
        <f>'A) Base RI'!Z259</f>
        <v>1.1000000000000001</v>
      </c>
      <c r="R259" s="405">
        <f t="shared" si="20"/>
        <v>1441540.5613577482</v>
      </c>
      <c r="S259" s="401">
        <f>+'A) Base RI'!U259</f>
        <v>62</v>
      </c>
      <c r="T259" s="405">
        <f t="shared" si="21"/>
        <v>1214440.5613577482</v>
      </c>
      <c r="U259" s="405">
        <f t="shared" si="22"/>
        <v>23250.654215447554</v>
      </c>
      <c r="V259" s="10">
        <f>+'A) Base RI'!P259</f>
        <v>96769.600000000006</v>
      </c>
      <c r="W259" s="10">
        <f>+'A) Base RI'!Q259</f>
        <v>235479.55</v>
      </c>
      <c r="X259" s="10">
        <f>+'A) Base RI'!S259</f>
        <v>42944.7</v>
      </c>
      <c r="Y259" s="405">
        <f t="shared" si="23"/>
        <v>375193.85000000003</v>
      </c>
      <c r="Z259" s="10">
        <f>+'A) Base RI'!O259</f>
        <v>30894.1</v>
      </c>
      <c r="AA259" s="10">
        <f>'A) Base RI'!V259</f>
        <v>451</v>
      </c>
    </row>
    <row r="260" spans="1:27" x14ac:dyDescent="0.25">
      <c r="A260" s="8">
        <f>'A) Base RI'!A260</f>
        <v>5852</v>
      </c>
      <c r="B260" s="32" t="str">
        <f>'A) Base RI'!B260</f>
        <v>Bursinel</v>
      </c>
      <c r="C260" s="10">
        <f>'A) Base RI'!C260+'A) Base RI'!D260</f>
        <v>2192354.2000000002</v>
      </c>
      <c r="D260" s="10">
        <f>'A) Base RI'!W260</f>
        <v>-27108.42</v>
      </c>
      <c r="E260" s="397">
        <f>'A) Base RI'!X260</f>
        <v>0</v>
      </c>
      <c r="F260" s="397">
        <f>'A) Base RI'!Y260</f>
        <v>-13682.97</v>
      </c>
      <c r="G260" s="405">
        <f t="shared" si="18"/>
        <v>2151562.81</v>
      </c>
      <c r="H260" s="10">
        <f>+'A) Base RI'!E260</f>
        <v>0</v>
      </c>
      <c r="I260" s="10">
        <f>+'A) Base RI'!F260</f>
        <v>0</v>
      </c>
      <c r="J260" s="10">
        <f>+'A) Base RI'!G260+'A) Base RI'!H260+'A) Base RI'!I260</f>
        <v>13279.863236653939</v>
      </c>
      <c r="K260" s="10">
        <f>+'A) Base RI'!J260</f>
        <v>161771.70000000001</v>
      </c>
      <c r="L260" s="10">
        <f>+'A) Base RI'!K260</f>
        <v>60098.23</v>
      </c>
      <c r="M260" s="10">
        <f>+'A) Base RI'!L260</f>
        <v>7630.35</v>
      </c>
      <c r="N260" s="10">
        <f>+'A) Base RI'!R260</f>
        <v>23343.47</v>
      </c>
      <c r="O260" s="10">
        <f t="shared" si="19"/>
        <v>181277.46666666667</v>
      </c>
      <c r="P260" s="10">
        <f>+'A) Base RI'!M260</f>
        <v>135958.1</v>
      </c>
      <c r="Q260" s="413">
        <f>'A) Base RI'!Z260</f>
        <v>0.75</v>
      </c>
      <c r="R260" s="405">
        <f t="shared" si="20"/>
        <v>2598963.8899033214</v>
      </c>
      <c r="S260" s="401">
        <f>+'A) Base RI'!U260</f>
        <v>65.5</v>
      </c>
      <c r="T260" s="405">
        <f t="shared" si="21"/>
        <v>2410056.0732366545</v>
      </c>
      <c r="U260" s="405">
        <f t="shared" si="22"/>
        <v>39678.838013791166</v>
      </c>
      <c r="V260" s="10">
        <f>+'A) Base RI'!P260</f>
        <v>113022.7</v>
      </c>
      <c r="W260" s="10">
        <f>+'A) Base RI'!Q260</f>
        <v>254943.7</v>
      </c>
      <c r="X260" s="10">
        <f>+'A) Base RI'!S260</f>
        <v>92081.5</v>
      </c>
      <c r="Y260" s="405">
        <f t="shared" si="23"/>
        <v>460047.9</v>
      </c>
      <c r="Z260" s="10">
        <f>+'A) Base RI'!O260</f>
        <v>10313.4</v>
      </c>
      <c r="AA260" s="10">
        <f>'A) Base RI'!V260</f>
        <v>473</v>
      </c>
    </row>
    <row r="261" spans="1:27" x14ac:dyDescent="0.25">
      <c r="A261" s="8">
        <f>'A) Base RI'!A261</f>
        <v>5853</v>
      </c>
      <c r="B261" s="32" t="str">
        <f>'A) Base RI'!B261</f>
        <v>Bursins</v>
      </c>
      <c r="C261" s="10">
        <f>'A) Base RI'!C261+'A) Base RI'!D261</f>
        <v>2225985.6</v>
      </c>
      <c r="D261" s="10">
        <f>'A) Base RI'!W261</f>
        <v>-57694.6</v>
      </c>
      <c r="E261" s="397">
        <f>'A) Base RI'!X261</f>
        <v>0</v>
      </c>
      <c r="F261" s="397">
        <f>'A) Base RI'!Y261</f>
        <v>-1845.85</v>
      </c>
      <c r="G261" s="405">
        <f t="shared" si="18"/>
        <v>2166445.15</v>
      </c>
      <c r="H261" s="10">
        <f>+'A) Base RI'!E261</f>
        <v>0</v>
      </c>
      <c r="I261" s="10">
        <f>+'A) Base RI'!F261</f>
        <v>0</v>
      </c>
      <c r="J261" s="10">
        <f>+'A) Base RI'!G261+'A) Base RI'!H261+'A) Base RI'!I261</f>
        <v>4026.4132356501823</v>
      </c>
      <c r="K261" s="10">
        <f>+'A) Base RI'!J261</f>
        <v>220827.3</v>
      </c>
      <c r="L261" s="10">
        <f>+'A) Base RI'!K261</f>
        <v>-53216.51</v>
      </c>
      <c r="M261" s="10">
        <f>+'A) Base RI'!L261</f>
        <v>13881.15</v>
      </c>
      <c r="N261" s="10">
        <f>+'A) Base RI'!R261</f>
        <v>22979.31</v>
      </c>
      <c r="O261" s="10">
        <f t="shared" si="19"/>
        <v>199806.3</v>
      </c>
      <c r="P261" s="10">
        <f>+'A) Base RI'!M261</f>
        <v>199806.3</v>
      </c>
      <c r="Q261" s="413">
        <f>'A) Base RI'!Z261</f>
        <v>1</v>
      </c>
      <c r="R261" s="405">
        <f t="shared" si="20"/>
        <v>2574749.1132356501</v>
      </c>
      <c r="S261" s="401">
        <f>+'A) Base RI'!U261</f>
        <v>71</v>
      </c>
      <c r="T261" s="405">
        <f t="shared" si="21"/>
        <v>2361061.6632356504</v>
      </c>
      <c r="U261" s="405">
        <f t="shared" si="22"/>
        <v>36264.072017403523</v>
      </c>
      <c r="V261" s="10">
        <f>+'A) Base RI'!P261</f>
        <v>24813.1</v>
      </c>
      <c r="W261" s="10">
        <f>+'A) Base RI'!Q261</f>
        <v>186617.1</v>
      </c>
      <c r="X261" s="10">
        <f>+'A) Base RI'!S261</f>
        <v>131753.25</v>
      </c>
      <c r="Y261" s="405">
        <f t="shared" si="23"/>
        <v>343183.45</v>
      </c>
      <c r="Z261" s="10">
        <f>+'A) Base RI'!O261</f>
        <v>31372.400000000001</v>
      </c>
      <c r="AA261" s="10">
        <f>'A) Base RI'!V261</f>
        <v>782</v>
      </c>
    </row>
    <row r="262" spans="1:27" x14ac:dyDescent="0.25">
      <c r="A262" s="8">
        <f>'A) Base RI'!A262</f>
        <v>5854</v>
      </c>
      <c r="B262" s="32" t="str">
        <f>'A) Base RI'!B262</f>
        <v>Burtigny</v>
      </c>
      <c r="C262" s="10">
        <f>'A) Base RI'!C262+'A) Base RI'!D262</f>
        <v>835966.51</v>
      </c>
      <c r="D262" s="10">
        <f>'A) Base RI'!W262</f>
        <v>-35094.21</v>
      </c>
      <c r="E262" s="397">
        <f>'A) Base RI'!X262</f>
        <v>0</v>
      </c>
      <c r="F262" s="397">
        <f>'A) Base RI'!Y262</f>
        <v>-390.45</v>
      </c>
      <c r="G262" s="405">
        <f t="shared" si="18"/>
        <v>800481.85000000009</v>
      </c>
      <c r="H262" s="10">
        <f>+'A) Base RI'!E262</f>
        <v>0</v>
      </c>
      <c r="I262" s="10">
        <f>+'A) Base RI'!F262</f>
        <v>0</v>
      </c>
      <c r="J262" s="10">
        <f>+'A) Base RI'!G262+'A) Base RI'!H262+'A) Base RI'!I262</f>
        <v>-20962.55</v>
      </c>
      <c r="K262" s="10">
        <f>+'A) Base RI'!J262</f>
        <v>0</v>
      </c>
      <c r="L262" s="10">
        <f>+'A) Base RI'!K262</f>
        <v>26593.07</v>
      </c>
      <c r="M262" s="10">
        <f>+'A) Base RI'!L262</f>
        <v>590.29999999999995</v>
      </c>
      <c r="N262" s="10">
        <f>+'A) Base RI'!R262</f>
        <v>5495.07</v>
      </c>
      <c r="O262" s="10">
        <f t="shared" si="19"/>
        <v>70795.166666666672</v>
      </c>
      <c r="P262" s="10">
        <f>+'A) Base RI'!M262</f>
        <v>106192.75</v>
      </c>
      <c r="Q262" s="413">
        <f>'A) Base RI'!Z262</f>
        <v>1.5</v>
      </c>
      <c r="R262" s="405">
        <f t="shared" si="20"/>
        <v>882992.90666666662</v>
      </c>
      <c r="S262" s="401">
        <f>+'A) Base RI'!U262</f>
        <v>80</v>
      </c>
      <c r="T262" s="405">
        <f t="shared" si="21"/>
        <v>811607.44</v>
      </c>
      <c r="U262" s="405">
        <f t="shared" si="22"/>
        <v>11037.411333333333</v>
      </c>
      <c r="V262" s="10">
        <f>+'A) Base RI'!P262</f>
        <v>2120.1999999999998</v>
      </c>
      <c r="W262" s="10">
        <f>+'A) Base RI'!Q262</f>
        <v>105661.15</v>
      </c>
      <c r="X262" s="10">
        <f>+'A) Base RI'!S262</f>
        <v>85256.05</v>
      </c>
      <c r="Y262" s="405">
        <f t="shared" si="23"/>
        <v>193037.4</v>
      </c>
      <c r="Z262" s="10">
        <f>+'A) Base RI'!O262</f>
        <v>4043.85</v>
      </c>
      <c r="AA262" s="10">
        <f>'A) Base RI'!V262</f>
        <v>390</v>
      </c>
    </row>
    <row r="263" spans="1:27" x14ac:dyDescent="0.25">
      <c r="A263" s="8">
        <f>'A) Base RI'!A263</f>
        <v>5855</v>
      </c>
      <c r="B263" s="32" t="str">
        <f>'A) Base RI'!B263</f>
        <v>Dully</v>
      </c>
      <c r="C263" s="10">
        <f>'A) Base RI'!C263+'A) Base RI'!D263</f>
        <v>2985005.96</v>
      </c>
      <c r="D263" s="10">
        <f>'A) Base RI'!W263</f>
        <v>-14842.68</v>
      </c>
      <c r="E263" s="397">
        <f>'A) Base RI'!X263</f>
        <v>0</v>
      </c>
      <c r="F263" s="397">
        <f>'A) Base RI'!Y263</f>
        <v>-26944.76</v>
      </c>
      <c r="G263" s="405">
        <f t="shared" ref="G263:G314" si="24">SUM(C263:F263)</f>
        <v>2943218.52</v>
      </c>
      <c r="H263" s="10">
        <f>+'A) Base RI'!E263</f>
        <v>0</v>
      </c>
      <c r="I263" s="10">
        <f>+'A) Base RI'!F263</f>
        <v>0</v>
      </c>
      <c r="J263" s="10">
        <f>+'A) Base RI'!G263+'A) Base RI'!H263+'A) Base RI'!I263</f>
        <v>33276.132185639493</v>
      </c>
      <c r="K263" s="10">
        <f>+'A) Base RI'!J263</f>
        <v>405655.69</v>
      </c>
      <c r="L263" s="10">
        <f>+'A) Base RI'!K263</f>
        <v>155639.24</v>
      </c>
      <c r="M263" s="10">
        <f>+'A) Base RI'!L263</f>
        <v>14669.5</v>
      </c>
      <c r="N263" s="10">
        <f>+'A) Base RI'!R263</f>
        <v>1228.57</v>
      </c>
      <c r="O263" s="10">
        <f t="shared" ref="O263:O314" si="25">(P263/Q263)*1</f>
        <v>346115.7</v>
      </c>
      <c r="P263" s="10">
        <f>+'A) Base RI'!M263</f>
        <v>173057.85</v>
      </c>
      <c r="Q263" s="413">
        <f>'A) Base RI'!Z263</f>
        <v>0.5</v>
      </c>
      <c r="R263" s="405">
        <f t="shared" ref="R263:R314" si="26">SUM(G263:O263)</f>
        <v>3899803.3521856391</v>
      </c>
      <c r="S263" s="401">
        <f>+'A) Base RI'!U263</f>
        <v>49</v>
      </c>
      <c r="T263" s="405">
        <f t="shared" ref="T263:T314" si="27">(G263+H263+J263+K263+L263+N263)</f>
        <v>3539018.1521856389</v>
      </c>
      <c r="U263" s="405">
        <f t="shared" ref="U263:U314" si="28">R263/S263</f>
        <v>79587.82351399264</v>
      </c>
      <c r="V263" s="10">
        <f>+'A) Base RI'!P263</f>
        <v>12774.4</v>
      </c>
      <c r="W263" s="10">
        <f>+'A) Base RI'!Q263</f>
        <v>332615.55</v>
      </c>
      <c r="X263" s="10">
        <f>+'A) Base RI'!S263</f>
        <v>232703.5</v>
      </c>
      <c r="Y263" s="405">
        <f t="shared" ref="Y263:Y314" si="29">SUM(V263:X263)</f>
        <v>578093.44999999995</v>
      </c>
      <c r="Z263" s="10">
        <f>+'A) Base RI'!O263</f>
        <v>1577</v>
      </c>
      <c r="AA263" s="10">
        <f>'A) Base RI'!V263</f>
        <v>639</v>
      </c>
    </row>
    <row r="264" spans="1:27" x14ac:dyDescent="0.25">
      <c r="A264" s="8">
        <f>'A) Base RI'!A264</f>
        <v>5856</v>
      </c>
      <c r="B264" s="32" t="str">
        <f>'A) Base RI'!B264</f>
        <v>Essertines-sur-Rolle</v>
      </c>
      <c r="C264" s="10">
        <f>'A) Base RI'!C264+'A) Base RI'!D264</f>
        <v>2060455.3900000001</v>
      </c>
      <c r="D264" s="10">
        <f>'A) Base RI'!W264</f>
        <v>-18130.95</v>
      </c>
      <c r="E264" s="397">
        <f>'A) Base RI'!X264</f>
        <v>0</v>
      </c>
      <c r="F264" s="397">
        <f>'A) Base RI'!Y264</f>
        <v>-2264.71</v>
      </c>
      <c r="G264" s="405">
        <f t="shared" si="24"/>
        <v>2040059.7300000002</v>
      </c>
      <c r="H264" s="10">
        <f>+'A) Base RI'!E264</f>
        <v>0</v>
      </c>
      <c r="I264" s="10">
        <f>+'A) Base RI'!F264</f>
        <v>0</v>
      </c>
      <c r="J264" s="10">
        <f>+'A) Base RI'!G264+'A) Base RI'!H264+'A) Base RI'!I264</f>
        <v>11994.726101034676</v>
      </c>
      <c r="K264" s="10">
        <f>+'A) Base RI'!J264</f>
        <v>202415.25</v>
      </c>
      <c r="L264" s="10">
        <f>+'A) Base RI'!K264</f>
        <v>37303.040000000001</v>
      </c>
      <c r="M264" s="10">
        <f>+'A) Base RI'!L264</f>
        <v>1989.75</v>
      </c>
      <c r="N264" s="10">
        <f>+'A) Base RI'!R264</f>
        <v>5855.17</v>
      </c>
      <c r="O264" s="10">
        <f t="shared" si="25"/>
        <v>183245</v>
      </c>
      <c r="P264" s="10">
        <f>+'A) Base RI'!M264</f>
        <v>238218.5</v>
      </c>
      <c r="Q264" s="413">
        <f>'A) Base RI'!Z264</f>
        <v>1.3</v>
      </c>
      <c r="R264" s="405">
        <f t="shared" si="26"/>
        <v>2482862.6661010347</v>
      </c>
      <c r="S264" s="401">
        <f>+'A) Base RI'!U264</f>
        <v>68</v>
      </c>
      <c r="T264" s="405">
        <f t="shared" si="27"/>
        <v>2297627.9161010347</v>
      </c>
      <c r="U264" s="405">
        <f t="shared" si="28"/>
        <v>36512.686266191689</v>
      </c>
      <c r="V264" s="10">
        <f>+'A) Base RI'!P264</f>
        <v>1176.2</v>
      </c>
      <c r="W264" s="10">
        <f>+'A) Base RI'!Q264</f>
        <v>66264.25</v>
      </c>
      <c r="X264" s="10">
        <f>+'A) Base RI'!S264</f>
        <v>57373.35</v>
      </c>
      <c r="Y264" s="405">
        <f t="shared" si="29"/>
        <v>124813.79999999999</v>
      </c>
      <c r="Z264" s="10">
        <f>+'A) Base RI'!O264</f>
        <v>5455.65</v>
      </c>
      <c r="AA264" s="10">
        <f>'A) Base RI'!V264</f>
        <v>722</v>
      </c>
    </row>
    <row r="265" spans="1:27" x14ac:dyDescent="0.25">
      <c r="A265" s="8">
        <f>'A) Base RI'!A265</f>
        <v>5857</v>
      </c>
      <c r="B265" s="32" t="str">
        <f>'A) Base RI'!B265</f>
        <v>Gilly</v>
      </c>
      <c r="C265" s="10">
        <f>'A) Base RI'!C265+'A) Base RI'!D265</f>
        <v>5063795.6100000003</v>
      </c>
      <c r="D265" s="10">
        <f>'A) Base RI'!W265</f>
        <v>-37534.22</v>
      </c>
      <c r="E265" s="397">
        <f>'A) Base RI'!X265</f>
        <v>0</v>
      </c>
      <c r="F265" s="397">
        <f>'A) Base RI'!Y265</f>
        <v>-1357.23</v>
      </c>
      <c r="G265" s="405">
        <f t="shared" si="24"/>
        <v>5024904.16</v>
      </c>
      <c r="H265" s="10">
        <f>+'A) Base RI'!E265</f>
        <v>0</v>
      </c>
      <c r="I265" s="10">
        <f>+'A) Base RI'!F265</f>
        <v>0</v>
      </c>
      <c r="J265" s="10">
        <f>+'A) Base RI'!G265+'A) Base RI'!H265+'A) Base RI'!I265</f>
        <v>148120.98296966348</v>
      </c>
      <c r="K265" s="10">
        <f>+'A) Base RI'!J265</f>
        <v>0</v>
      </c>
      <c r="L265" s="10">
        <f>+'A) Base RI'!K265</f>
        <v>69439.05</v>
      </c>
      <c r="M265" s="10">
        <f>+'A) Base RI'!L265</f>
        <v>316.95000000000101</v>
      </c>
      <c r="N265" s="10">
        <f>+'A) Base RI'!R265</f>
        <v>458.97</v>
      </c>
      <c r="O265" s="10">
        <f t="shared" si="25"/>
        <v>396139.95</v>
      </c>
      <c r="P265" s="10">
        <f>+'A) Base RI'!M265</f>
        <v>396139.95</v>
      </c>
      <c r="Q265" s="413">
        <f>'A) Base RI'!Z265</f>
        <v>1</v>
      </c>
      <c r="R265" s="405">
        <f t="shared" si="26"/>
        <v>5639380.0629696632</v>
      </c>
      <c r="S265" s="401">
        <f>+'A) Base RI'!U265</f>
        <v>66</v>
      </c>
      <c r="T265" s="405">
        <f t="shared" si="27"/>
        <v>5242923.1629696628</v>
      </c>
      <c r="U265" s="405">
        <f t="shared" si="28"/>
        <v>85445.15246923732</v>
      </c>
      <c r="V265" s="10">
        <f>+'A) Base RI'!P265</f>
        <v>53955</v>
      </c>
      <c r="W265" s="10">
        <f>+'A) Base RI'!Q265</f>
        <v>141278.04999999999</v>
      </c>
      <c r="X265" s="10">
        <f>+'A) Base RI'!S265</f>
        <v>231550.9</v>
      </c>
      <c r="Y265" s="405">
        <f t="shared" si="29"/>
        <v>426783.94999999995</v>
      </c>
      <c r="Z265" s="10">
        <f>+'A) Base RI'!O265</f>
        <v>68107.399999999994</v>
      </c>
      <c r="AA265" s="10">
        <f>'A) Base RI'!V265</f>
        <v>1370</v>
      </c>
    </row>
    <row r="266" spans="1:27" x14ac:dyDescent="0.25">
      <c r="A266" s="8">
        <f>'A) Base RI'!A266</f>
        <v>5858</v>
      </c>
      <c r="B266" s="32" t="str">
        <f>'A) Base RI'!B266</f>
        <v>Luins</v>
      </c>
      <c r="C266" s="10">
        <f>'A) Base RI'!C266+'A) Base RI'!D266</f>
        <v>2380991.46</v>
      </c>
      <c r="D266" s="10">
        <f>'A) Base RI'!W266</f>
        <v>-42838.27</v>
      </c>
      <c r="E266" s="397">
        <f>'A) Base RI'!X266</f>
        <v>0</v>
      </c>
      <c r="F266" s="397">
        <f>'A) Base RI'!Y266</f>
        <v>-4617.59</v>
      </c>
      <c r="G266" s="405">
        <f t="shared" si="24"/>
        <v>2333535.6</v>
      </c>
      <c r="H266" s="10">
        <f>+'A) Base RI'!E266</f>
        <v>0</v>
      </c>
      <c r="I266" s="10">
        <f>+'A) Base RI'!F266</f>
        <v>0</v>
      </c>
      <c r="J266" s="10">
        <f>+'A) Base RI'!G266+'A) Base RI'!H266+'A) Base RI'!I266</f>
        <v>15963.311268551503</v>
      </c>
      <c r="K266" s="10">
        <f>+'A) Base RI'!J266</f>
        <v>312088.55</v>
      </c>
      <c r="L266" s="10">
        <f>+'A) Base RI'!K266</f>
        <v>-13723.39</v>
      </c>
      <c r="M266" s="10">
        <f>+'A) Base RI'!L266</f>
        <v>1024.6500000000001</v>
      </c>
      <c r="N266" s="10">
        <f>+'A) Base RI'!R266</f>
        <v>0</v>
      </c>
      <c r="O266" s="10">
        <f t="shared" si="25"/>
        <v>152307.96666666667</v>
      </c>
      <c r="P266" s="10">
        <f>+'A) Base RI'!M266</f>
        <v>228461.95</v>
      </c>
      <c r="Q266" s="413">
        <f>'A) Base RI'!Z266</f>
        <v>1.5</v>
      </c>
      <c r="R266" s="405">
        <f t="shared" si="26"/>
        <v>2801196.6879352177</v>
      </c>
      <c r="S266" s="401">
        <f>+'A) Base RI'!U266</f>
        <v>60</v>
      </c>
      <c r="T266" s="405">
        <f t="shared" si="27"/>
        <v>2647864.0712685511</v>
      </c>
      <c r="U266" s="405">
        <f t="shared" si="28"/>
        <v>46686.611465586961</v>
      </c>
      <c r="V266" s="10">
        <f>+'A) Base RI'!P266</f>
        <v>0</v>
      </c>
      <c r="W266" s="10">
        <f>+'A) Base RI'!Q266</f>
        <v>18480</v>
      </c>
      <c r="X266" s="10">
        <f>+'A) Base RI'!S266</f>
        <v>29659.25</v>
      </c>
      <c r="Y266" s="405">
        <f t="shared" si="29"/>
        <v>48139.25</v>
      </c>
      <c r="Z266" s="10">
        <f>+'A) Base RI'!O266</f>
        <v>2969.1</v>
      </c>
      <c r="AA266" s="10">
        <f>'A) Base RI'!V266</f>
        <v>621</v>
      </c>
    </row>
    <row r="267" spans="1:27" x14ac:dyDescent="0.25">
      <c r="A267" s="8">
        <f>'A) Base RI'!A267</f>
        <v>5859</v>
      </c>
      <c r="B267" s="32" t="str">
        <f>'A) Base RI'!B267</f>
        <v>Mont-sur-Rolle</v>
      </c>
      <c r="C267" s="10">
        <f>'A) Base RI'!C267+'A) Base RI'!D267</f>
        <v>7831223.2199999997</v>
      </c>
      <c r="D267" s="10">
        <f>'A) Base RI'!W267</f>
        <v>-112670.63</v>
      </c>
      <c r="E267" s="397">
        <f>'A) Base RI'!X267</f>
        <v>0</v>
      </c>
      <c r="F267" s="397">
        <f>'A) Base RI'!Y267</f>
        <v>-16120.36</v>
      </c>
      <c r="G267" s="405">
        <f t="shared" si="24"/>
        <v>7702432.2299999995</v>
      </c>
      <c r="H267" s="10">
        <f>+'A) Base RI'!E267</f>
        <v>0</v>
      </c>
      <c r="I267" s="10">
        <f>+'A) Base RI'!F267</f>
        <v>0</v>
      </c>
      <c r="J267" s="10">
        <f>+'A) Base RI'!G267+'A) Base RI'!H267+'A) Base RI'!I267</f>
        <v>71785.507075651753</v>
      </c>
      <c r="K267" s="10">
        <f>+'A) Base RI'!J267</f>
        <v>400938.75</v>
      </c>
      <c r="L267" s="10">
        <f>+'A) Base RI'!K267</f>
        <v>34697.019999999997</v>
      </c>
      <c r="M267" s="10">
        <f>+'A) Base RI'!L267</f>
        <v>-3507.85</v>
      </c>
      <c r="N267" s="10">
        <f>+'A) Base RI'!R267</f>
        <v>14401.12</v>
      </c>
      <c r="O267" s="10">
        <f t="shared" si="25"/>
        <v>642245.4</v>
      </c>
      <c r="P267" s="10">
        <f>+'A) Base RI'!M267</f>
        <v>642245.4</v>
      </c>
      <c r="Q267" s="413">
        <f>'A) Base RI'!Z267</f>
        <v>1</v>
      </c>
      <c r="R267" s="405">
        <f t="shared" si="26"/>
        <v>8862992.1770756505</v>
      </c>
      <c r="S267" s="401">
        <f>+'A) Base RI'!U267</f>
        <v>65</v>
      </c>
      <c r="T267" s="405">
        <f t="shared" si="27"/>
        <v>8224254.6270756507</v>
      </c>
      <c r="U267" s="405">
        <f t="shared" si="28"/>
        <v>136353.72580116385</v>
      </c>
      <c r="V267" s="10">
        <f>+'A) Base RI'!P267</f>
        <v>340692.4</v>
      </c>
      <c r="W267" s="10">
        <f>+'A) Base RI'!Q267</f>
        <v>528407.65</v>
      </c>
      <c r="X267" s="10">
        <f>+'A) Base RI'!S267</f>
        <v>433466.6</v>
      </c>
      <c r="Y267" s="405">
        <f t="shared" si="29"/>
        <v>1302566.6499999999</v>
      </c>
      <c r="Z267" s="10">
        <f>+'A) Base RI'!O267</f>
        <v>89553.8</v>
      </c>
      <c r="AA267" s="10">
        <f>'A) Base RI'!V267</f>
        <v>2677</v>
      </c>
    </row>
    <row r="268" spans="1:27" x14ac:dyDescent="0.25">
      <c r="A268" s="8">
        <f>'A) Base RI'!A268</f>
        <v>5860</v>
      </c>
      <c r="B268" s="32" t="str">
        <f>'A) Base RI'!B268</f>
        <v>Perroy</v>
      </c>
      <c r="C268" s="10">
        <f>'A) Base RI'!C268+'A) Base RI'!D268</f>
        <v>5125957.0999999996</v>
      </c>
      <c r="D268" s="10">
        <f>'A) Base RI'!W268</f>
        <v>-73842.09</v>
      </c>
      <c r="E268" s="397">
        <f>'A) Base RI'!X268</f>
        <v>0</v>
      </c>
      <c r="F268" s="397">
        <f>'A) Base RI'!Y268</f>
        <v>-15722.58</v>
      </c>
      <c r="G268" s="405">
        <f t="shared" si="24"/>
        <v>5036392.43</v>
      </c>
      <c r="H268" s="10">
        <f>+'A) Base RI'!E268</f>
        <v>0</v>
      </c>
      <c r="I268" s="10">
        <f>+'A) Base RI'!F268</f>
        <v>0</v>
      </c>
      <c r="J268" s="10">
        <f>+'A) Base RI'!G268+'A) Base RI'!H268+'A) Base RI'!I268</f>
        <v>100894.294792278</v>
      </c>
      <c r="K268" s="10">
        <f>+'A) Base RI'!J268</f>
        <v>338946</v>
      </c>
      <c r="L268" s="10">
        <f>+'A) Base RI'!K268</f>
        <v>156201.74</v>
      </c>
      <c r="M268" s="10">
        <f>+'A) Base RI'!L268</f>
        <v>21132.799999999999</v>
      </c>
      <c r="N268" s="10">
        <f>+'A) Base RI'!R268</f>
        <v>640.59</v>
      </c>
      <c r="O268" s="10">
        <f t="shared" si="25"/>
        <v>504153.38461538462</v>
      </c>
      <c r="P268" s="10">
        <f>+'A) Base RI'!M268</f>
        <v>655399.4</v>
      </c>
      <c r="Q268" s="413">
        <f>'A) Base RI'!Z268</f>
        <v>1.3</v>
      </c>
      <c r="R268" s="405">
        <f t="shared" si="26"/>
        <v>6158361.2394076623</v>
      </c>
      <c r="S268" s="401">
        <f>+'A) Base RI'!U268</f>
        <v>60</v>
      </c>
      <c r="T268" s="405">
        <f t="shared" si="27"/>
        <v>5633075.0547922775</v>
      </c>
      <c r="U268" s="405">
        <f t="shared" si="28"/>
        <v>102639.35399012771</v>
      </c>
      <c r="V268" s="10">
        <f>+'A) Base RI'!P268</f>
        <v>49472.3</v>
      </c>
      <c r="W268" s="10">
        <f>+'A) Base RI'!Q268</f>
        <v>364170.75</v>
      </c>
      <c r="X268" s="10">
        <f>+'A) Base RI'!S268</f>
        <v>52651.75</v>
      </c>
      <c r="Y268" s="405">
        <f t="shared" si="29"/>
        <v>466294.8</v>
      </c>
      <c r="Z268" s="10">
        <f>+'A) Base RI'!O268</f>
        <v>29086.45</v>
      </c>
      <c r="AA268" s="10">
        <f>'A) Base RI'!V268</f>
        <v>1497</v>
      </c>
    </row>
    <row r="269" spans="1:27" x14ac:dyDescent="0.25">
      <c r="A269" s="8">
        <f>'A) Base RI'!A269</f>
        <v>5861</v>
      </c>
      <c r="B269" s="32" t="str">
        <f>'A) Base RI'!B269</f>
        <v>Rolle</v>
      </c>
      <c r="C269" s="10">
        <f>'A) Base RI'!C269+'A) Base RI'!D269</f>
        <v>15854467.02</v>
      </c>
      <c r="D269" s="10">
        <f>'A) Base RI'!W269</f>
        <v>-249778.26</v>
      </c>
      <c r="E269" s="397">
        <f>'A) Base RI'!X269</f>
        <v>0</v>
      </c>
      <c r="F269" s="397">
        <f>'A) Base RI'!Y269</f>
        <v>-29710.37</v>
      </c>
      <c r="G269" s="405">
        <f t="shared" si="24"/>
        <v>15574978.390000001</v>
      </c>
      <c r="H269" s="10">
        <f>+'A) Base RI'!E269</f>
        <v>0</v>
      </c>
      <c r="I269" s="10">
        <f>+'A) Base RI'!F269</f>
        <v>0</v>
      </c>
      <c r="J269" s="10">
        <f>+'A) Base RI'!G269+'A) Base RI'!H269+'A) Base RI'!I269</f>
        <v>12316505.184563298</v>
      </c>
      <c r="K269" s="10">
        <f>+'A) Base RI'!J269</f>
        <v>814847.83</v>
      </c>
      <c r="L269" s="10">
        <f>+'A) Base RI'!K269</f>
        <v>1420528.04</v>
      </c>
      <c r="M269" s="10">
        <f>+'A) Base RI'!L269</f>
        <v>284336.55</v>
      </c>
      <c r="N269" s="10">
        <f>+'A) Base RI'!R269</f>
        <v>65459.81</v>
      </c>
      <c r="O269" s="10">
        <f t="shared" si="25"/>
        <v>1789083.05</v>
      </c>
      <c r="P269" s="10">
        <f>+'A) Base RI'!M269</f>
        <v>1789083.05</v>
      </c>
      <c r="Q269" s="413">
        <f>'A) Base RI'!Z269</f>
        <v>1</v>
      </c>
      <c r="R269" s="405">
        <f t="shared" si="26"/>
        <v>32265738.854563296</v>
      </c>
      <c r="S269" s="401">
        <f>+'A) Base RI'!U269</f>
        <v>59.5</v>
      </c>
      <c r="T269" s="405">
        <f t="shared" si="27"/>
        <v>30192319.254563294</v>
      </c>
      <c r="U269" s="405">
        <f t="shared" si="28"/>
        <v>542281.32528677804</v>
      </c>
      <c r="V269" s="10">
        <f>+'A) Base RI'!P269</f>
        <v>380747.1</v>
      </c>
      <c r="W269" s="10">
        <f>+'A) Base RI'!Q269</f>
        <v>1909515.8</v>
      </c>
      <c r="X269" s="10">
        <f>+'A) Base RI'!S269</f>
        <v>328718.3</v>
      </c>
      <c r="Y269" s="405">
        <f t="shared" si="29"/>
        <v>2618981.1999999997</v>
      </c>
      <c r="Z269" s="10">
        <f>+'A) Base RI'!O269</f>
        <v>598198.19999999995</v>
      </c>
      <c r="AA269" s="10">
        <f>'A) Base RI'!V269</f>
        <v>6245</v>
      </c>
    </row>
    <row r="270" spans="1:27" x14ac:dyDescent="0.25">
      <c r="A270" s="8">
        <f>'A) Base RI'!A270</f>
        <v>5862</v>
      </c>
      <c r="B270" s="32" t="str">
        <f>'A) Base RI'!B270</f>
        <v>Tartegnin</v>
      </c>
      <c r="C270" s="10">
        <f>'A) Base RI'!C270+'A) Base RI'!D270</f>
        <v>828342.71000000008</v>
      </c>
      <c r="D270" s="10">
        <f>'A) Base RI'!W270</f>
        <v>-12090.29</v>
      </c>
      <c r="E270" s="397">
        <f>'A) Base RI'!X270</f>
        <v>0</v>
      </c>
      <c r="F270" s="397">
        <f>'A) Base RI'!Y270</f>
        <v>-56.96</v>
      </c>
      <c r="G270" s="405">
        <f t="shared" si="24"/>
        <v>816195.46000000008</v>
      </c>
      <c r="H270" s="10">
        <f>+'A) Base RI'!E270</f>
        <v>0</v>
      </c>
      <c r="I270" s="10">
        <f>+'A) Base RI'!F270</f>
        <v>0</v>
      </c>
      <c r="J270" s="10">
        <f>+'A) Base RI'!G270+'A) Base RI'!H270+'A) Base RI'!I270</f>
        <v>6750.9897179567388</v>
      </c>
      <c r="K270" s="10">
        <f>+'A) Base RI'!J270</f>
        <v>0</v>
      </c>
      <c r="L270" s="10">
        <f>+'A) Base RI'!K270</f>
        <v>14597.16</v>
      </c>
      <c r="M270" s="10">
        <f>+'A) Base RI'!L270</f>
        <v>0</v>
      </c>
      <c r="N270" s="10">
        <f>+'A) Base RI'!R270</f>
        <v>0</v>
      </c>
      <c r="O270" s="10">
        <f t="shared" si="25"/>
        <v>49637.7</v>
      </c>
      <c r="P270" s="10">
        <f>+'A) Base RI'!M270</f>
        <v>49637.7</v>
      </c>
      <c r="Q270" s="413">
        <f>'A) Base RI'!Z270</f>
        <v>1</v>
      </c>
      <c r="R270" s="405">
        <f t="shared" si="26"/>
        <v>887181.30971795681</v>
      </c>
      <c r="S270" s="401">
        <f>+'A) Base RI'!U270</f>
        <v>81</v>
      </c>
      <c r="T270" s="405">
        <f t="shared" si="27"/>
        <v>837543.60971795686</v>
      </c>
      <c r="U270" s="405">
        <f t="shared" si="28"/>
        <v>10952.855675530331</v>
      </c>
      <c r="V270" s="10">
        <f>+'A) Base RI'!P270</f>
        <v>0</v>
      </c>
      <c r="W270" s="10">
        <f>+'A) Base RI'!Q270</f>
        <v>0</v>
      </c>
      <c r="X270" s="10">
        <f>+'A) Base RI'!S270</f>
        <v>3733.3</v>
      </c>
      <c r="Y270" s="405">
        <f t="shared" si="29"/>
        <v>3733.3</v>
      </c>
      <c r="Z270" s="10">
        <f>+'A) Base RI'!O270</f>
        <v>4147.8</v>
      </c>
      <c r="AA270" s="10">
        <f>'A) Base RI'!V270</f>
        <v>233</v>
      </c>
    </row>
    <row r="271" spans="1:27" x14ac:dyDescent="0.25">
      <c r="A271" s="8">
        <f>'A) Base RI'!A271</f>
        <v>5863</v>
      </c>
      <c r="B271" s="32" t="str">
        <f>'A) Base RI'!B271</f>
        <v>Vinzel</v>
      </c>
      <c r="C271" s="10">
        <f>'A) Base RI'!C271+'A) Base RI'!D271</f>
        <v>1106289.19</v>
      </c>
      <c r="D271" s="10">
        <f>'A) Base RI'!W271</f>
        <v>-77110.460000000006</v>
      </c>
      <c r="E271" s="397">
        <f>'A) Base RI'!X271</f>
        <v>0</v>
      </c>
      <c r="F271" s="397">
        <f>'A) Base RI'!Y271</f>
        <v>-1754.25</v>
      </c>
      <c r="G271" s="405">
        <f t="shared" si="24"/>
        <v>1027424.48</v>
      </c>
      <c r="H271" s="10">
        <f>+'A) Base RI'!E271</f>
        <v>0</v>
      </c>
      <c r="I271" s="10">
        <f>+'A) Base RI'!F271</f>
        <v>0</v>
      </c>
      <c r="J271" s="10">
        <f>+'A) Base RI'!G271+'A) Base RI'!H271+'A) Base RI'!I271</f>
        <v>17856.179087031764</v>
      </c>
      <c r="K271" s="10">
        <f>+'A) Base RI'!J271</f>
        <v>42873.3</v>
      </c>
      <c r="L271" s="10">
        <f>+'A) Base RI'!K271</f>
        <v>24348.21</v>
      </c>
      <c r="M271" s="10">
        <f>+'A) Base RI'!L271</f>
        <v>2004.9</v>
      </c>
      <c r="N271" s="10">
        <f>+'A) Base RI'!R271</f>
        <v>0</v>
      </c>
      <c r="O271" s="10">
        <f t="shared" si="25"/>
        <v>81667</v>
      </c>
      <c r="P271" s="10">
        <f>+'A) Base RI'!M271</f>
        <v>81667</v>
      </c>
      <c r="Q271" s="413">
        <f>'A) Base RI'!Z271</f>
        <v>1</v>
      </c>
      <c r="R271" s="405">
        <f t="shared" si="26"/>
        <v>1196174.0690870315</v>
      </c>
      <c r="S271" s="401">
        <f>+'A) Base RI'!U271</f>
        <v>67</v>
      </c>
      <c r="T271" s="405">
        <f t="shared" si="27"/>
        <v>1112502.1690870316</v>
      </c>
      <c r="U271" s="405">
        <f t="shared" si="28"/>
        <v>17853.344314731814</v>
      </c>
      <c r="V271" s="10">
        <f>+'A) Base RI'!P271</f>
        <v>0</v>
      </c>
      <c r="W271" s="10">
        <f>+'A) Base RI'!Q271</f>
        <v>88043.7</v>
      </c>
      <c r="X271" s="10">
        <f>+'A) Base RI'!S271</f>
        <v>0</v>
      </c>
      <c r="Y271" s="405">
        <f t="shared" si="29"/>
        <v>88043.7</v>
      </c>
      <c r="Z271" s="10">
        <f>+'A) Base RI'!O271</f>
        <v>16833.150000000001</v>
      </c>
      <c r="AA271" s="10">
        <f>'A) Base RI'!V271</f>
        <v>355</v>
      </c>
    </row>
    <row r="272" spans="1:27" x14ac:dyDescent="0.25">
      <c r="A272" s="8">
        <f>'A) Base RI'!A272</f>
        <v>5871</v>
      </c>
      <c r="B272" s="32" t="str">
        <f>'A) Base RI'!B272</f>
        <v>L'Abbaye</v>
      </c>
      <c r="C272" s="10">
        <f>'A) Base RI'!C272+'A) Base RI'!D272</f>
        <v>3166349.01</v>
      </c>
      <c r="D272" s="10">
        <f>'A) Base RI'!W272</f>
        <v>-16403.990000000002</v>
      </c>
      <c r="E272" s="397">
        <f>'A) Base RI'!X272</f>
        <v>0</v>
      </c>
      <c r="F272" s="397">
        <f>'A) Base RI'!Y272</f>
        <v>-321.19</v>
      </c>
      <c r="G272" s="405">
        <f t="shared" si="24"/>
        <v>3149623.8299999996</v>
      </c>
      <c r="H272" s="10">
        <f>+'A) Base RI'!E272</f>
        <v>0</v>
      </c>
      <c r="I272" s="10">
        <f>+'A) Base RI'!F272</f>
        <v>0</v>
      </c>
      <c r="J272" s="10">
        <f>+'A) Base RI'!G272+'A) Base RI'!H272+'A) Base RI'!I272</f>
        <v>147321.54518873701</v>
      </c>
      <c r="K272" s="10">
        <f>+'A) Base RI'!J272</f>
        <v>0</v>
      </c>
      <c r="L272" s="10">
        <f>+'A) Base RI'!K272</f>
        <v>40007.78</v>
      </c>
      <c r="M272" s="10">
        <f>+'A) Base RI'!L272</f>
        <v>3864.65</v>
      </c>
      <c r="N272" s="10">
        <f>+'A) Base RI'!R272</f>
        <v>445.17</v>
      </c>
      <c r="O272" s="10">
        <f t="shared" si="25"/>
        <v>259973.59999999998</v>
      </c>
      <c r="P272" s="10">
        <f>+'A) Base RI'!M272</f>
        <v>259973.59999999998</v>
      </c>
      <c r="Q272" s="413">
        <f>'A) Base RI'!Z272</f>
        <v>1</v>
      </c>
      <c r="R272" s="405">
        <f t="shared" si="26"/>
        <v>3601236.5751887364</v>
      </c>
      <c r="S272" s="401">
        <f>+'A) Base RI'!U272</f>
        <v>77.599999999999994</v>
      </c>
      <c r="T272" s="405">
        <f t="shared" si="27"/>
        <v>3337398.3251887364</v>
      </c>
      <c r="U272" s="405">
        <f t="shared" si="28"/>
        <v>46407.687824597124</v>
      </c>
      <c r="V272" s="10">
        <f>+'A) Base RI'!P272</f>
        <v>65504.1</v>
      </c>
      <c r="W272" s="10">
        <f>+'A) Base RI'!Q272</f>
        <v>124027.95</v>
      </c>
      <c r="X272" s="10">
        <f>+'A) Base RI'!S272</f>
        <v>77452.399999999994</v>
      </c>
      <c r="Y272" s="405">
        <f t="shared" si="29"/>
        <v>266984.44999999995</v>
      </c>
      <c r="Z272" s="10">
        <f>+'A) Base RI'!O272</f>
        <v>654987.30000000005</v>
      </c>
      <c r="AA272" s="10">
        <f>'A) Base RI'!V272</f>
        <v>1481</v>
      </c>
    </row>
    <row r="273" spans="1:27" x14ac:dyDescent="0.25">
      <c r="A273" s="8">
        <f>'A) Base RI'!A273</f>
        <v>5872</v>
      </c>
      <c r="B273" s="32" t="str">
        <f>'A) Base RI'!B273</f>
        <v>Le Chenit</v>
      </c>
      <c r="C273" s="10">
        <f>'A) Base RI'!C273+'A) Base RI'!D273</f>
        <v>8257465.7699999996</v>
      </c>
      <c r="D273" s="10">
        <f>'A) Base RI'!W273</f>
        <v>-170148.98</v>
      </c>
      <c r="E273" s="397">
        <f>'A) Base RI'!X273</f>
        <v>0</v>
      </c>
      <c r="F273" s="397">
        <f>'A) Base RI'!Y273</f>
        <v>-5655.62</v>
      </c>
      <c r="G273" s="405">
        <f t="shared" si="24"/>
        <v>8081661.169999999</v>
      </c>
      <c r="H273" s="10">
        <f>+'A) Base RI'!E273</f>
        <v>0</v>
      </c>
      <c r="I273" s="10">
        <f>+'A) Base RI'!F273</f>
        <v>0</v>
      </c>
      <c r="J273" s="10">
        <f>+'A) Base RI'!G273+'A) Base RI'!H273+'A) Base RI'!I273</f>
        <v>8158397.3924846221</v>
      </c>
      <c r="K273" s="10">
        <f>+'A) Base RI'!J273</f>
        <v>0</v>
      </c>
      <c r="L273" s="10">
        <f>+'A) Base RI'!K273</f>
        <v>351851.14</v>
      </c>
      <c r="M273" s="10">
        <f>+'A) Base RI'!L273</f>
        <v>38880.699999999997</v>
      </c>
      <c r="N273" s="10">
        <f>+'A) Base RI'!R273</f>
        <v>10048.540000000001</v>
      </c>
      <c r="O273" s="10">
        <f t="shared" si="25"/>
        <v>728194.4</v>
      </c>
      <c r="P273" s="10">
        <f>+'A) Base RI'!M273</f>
        <v>728194.4</v>
      </c>
      <c r="Q273" s="413">
        <f>'A) Base RI'!Z273</f>
        <v>1</v>
      </c>
      <c r="R273" s="405">
        <f t="shared" si="26"/>
        <v>17369033.342484619</v>
      </c>
      <c r="S273" s="401">
        <f>+'A) Base RI'!U273</f>
        <v>68.39</v>
      </c>
      <c r="T273" s="405">
        <f t="shared" si="27"/>
        <v>16601958.242484622</v>
      </c>
      <c r="U273" s="405">
        <f t="shared" si="28"/>
        <v>253970.36617173007</v>
      </c>
      <c r="V273" s="10">
        <f>+'A) Base RI'!P273</f>
        <v>325830.40000000002</v>
      </c>
      <c r="W273" s="10">
        <f>+'A) Base RI'!Q273</f>
        <v>258409.65</v>
      </c>
      <c r="X273" s="10">
        <f>+'A) Base RI'!S273</f>
        <v>324606.09999999998</v>
      </c>
      <c r="Y273" s="405">
        <f t="shared" si="29"/>
        <v>908846.15</v>
      </c>
      <c r="Z273" s="10">
        <f>+'A) Base RI'!O273</f>
        <v>7378758.0999999996</v>
      </c>
      <c r="AA273" s="10">
        <f>'A) Base RI'!V273</f>
        <v>4657</v>
      </c>
    </row>
    <row r="274" spans="1:27" x14ac:dyDescent="0.25">
      <c r="A274" s="8">
        <f>'A) Base RI'!A274</f>
        <v>5873</v>
      </c>
      <c r="B274" s="32" t="str">
        <f>'A) Base RI'!B274</f>
        <v>Le Lieu</v>
      </c>
      <c r="C274" s="10">
        <f>'A) Base RI'!C274+'A) Base RI'!D274</f>
        <v>1703507.78</v>
      </c>
      <c r="D274" s="10">
        <f>'A) Base RI'!W274</f>
        <v>-22500.99</v>
      </c>
      <c r="E274" s="397">
        <f>'A) Base RI'!X274</f>
        <v>0</v>
      </c>
      <c r="F274" s="397">
        <f>'A) Base RI'!Y274</f>
        <v>-111.33</v>
      </c>
      <c r="G274" s="405">
        <f t="shared" si="24"/>
        <v>1680895.46</v>
      </c>
      <c r="H274" s="10">
        <f>+'A) Base RI'!E274</f>
        <v>0</v>
      </c>
      <c r="I274" s="10">
        <f>+'A) Base RI'!F274</f>
        <v>0</v>
      </c>
      <c r="J274" s="10">
        <f>+'A) Base RI'!G274+'A) Base RI'!H274+'A) Base RI'!I274</f>
        <v>124293.78786413222</v>
      </c>
      <c r="K274" s="10">
        <f>+'A) Base RI'!J274</f>
        <v>0</v>
      </c>
      <c r="L274" s="10">
        <f>+'A) Base RI'!K274</f>
        <v>37307.85</v>
      </c>
      <c r="M274" s="10">
        <f>+'A) Base RI'!L274</f>
        <v>0</v>
      </c>
      <c r="N274" s="10">
        <f>+'A) Base RI'!R274</f>
        <v>12230.35</v>
      </c>
      <c r="O274" s="10">
        <f t="shared" si="25"/>
        <v>141360.83333333334</v>
      </c>
      <c r="P274" s="10">
        <f>+'A) Base RI'!M274</f>
        <v>84816.5</v>
      </c>
      <c r="Q274" s="413">
        <f>'A) Base RI'!Z274</f>
        <v>0.6</v>
      </c>
      <c r="R274" s="405">
        <f t="shared" si="26"/>
        <v>1996088.2811974657</v>
      </c>
      <c r="S274" s="401">
        <f>+'A) Base RI'!U274</f>
        <v>70</v>
      </c>
      <c r="T274" s="405">
        <f t="shared" si="27"/>
        <v>1854727.4478641325</v>
      </c>
      <c r="U274" s="405">
        <f t="shared" si="28"/>
        <v>28515.54687424951</v>
      </c>
      <c r="V274" s="10">
        <f>+'A) Base RI'!P274</f>
        <v>0</v>
      </c>
      <c r="W274" s="10">
        <f>+'A) Base RI'!Q274</f>
        <v>39988.65</v>
      </c>
      <c r="X274" s="10">
        <f>+'A) Base RI'!S274</f>
        <v>41358.9</v>
      </c>
      <c r="Y274" s="405">
        <f t="shared" si="29"/>
        <v>81347.55</v>
      </c>
      <c r="Z274" s="10">
        <f>+'A) Base RI'!O274</f>
        <v>811975.45</v>
      </c>
      <c r="AA274" s="10">
        <f>'A) Base RI'!V274</f>
        <v>900</v>
      </c>
    </row>
    <row r="275" spans="1:27" x14ac:dyDescent="0.25">
      <c r="A275" s="8">
        <f>'A) Base RI'!A275</f>
        <v>5881</v>
      </c>
      <c r="B275" s="32" t="str">
        <f>'A) Base RI'!B275</f>
        <v>Blonay</v>
      </c>
      <c r="C275" s="10">
        <f>'A) Base RI'!C275+'A) Base RI'!D275</f>
        <v>22119048.600000001</v>
      </c>
      <c r="D275" s="10">
        <f>'A) Base RI'!W275</f>
        <v>-123266.91</v>
      </c>
      <c r="E275" s="397">
        <f>'A) Base RI'!X275</f>
        <v>0</v>
      </c>
      <c r="F275" s="397">
        <f>'A) Base RI'!Y275</f>
        <v>-56915.75</v>
      </c>
      <c r="G275" s="405">
        <f t="shared" si="24"/>
        <v>21938865.940000001</v>
      </c>
      <c r="H275" s="10">
        <f>+'A) Base RI'!E275</f>
        <v>0</v>
      </c>
      <c r="I275" s="10">
        <f>+'A) Base RI'!F275</f>
        <v>0</v>
      </c>
      <c r="J275" s="10">
        <f>+'A) Base RI'!G275+'A) Base RI'!H275+'A) Base RI'!I275</f>
        <v>148825.92122461597</v>
      </c>
      <c r="K275" s="10">
        <f>+'A) Base RI'!J275</f>
        <v>924683.62</v>
      </c>
      <c r="L275" s="10">
        <f>+'A) Base RI'!K275</f>
        <v>56787.64</v>
      </c>
      <c r="M275" s="10">
        <f>+'A) Base RI'!L275</f>
        <v>48743.65</v>
      </c>
      <c r="N275" s="10">
        <f>+'A) Base RI'!R275</f>
        <v>64085.760000000002</v>
      </c>
      <c r="O275" s="10">
        <f t="shared" si="25"/>
        <v>1674622</v>
      </c>
      <c r="P275" s="10">
        <f>+'A) Base RI'!M275</f>
        <v>1674622</v>
      </c>
      <c r="Q275" s="413">
        <f>'A) Base RI'!Z275</f>
        <v>1</v>
      </c>
      <c r="R275" s="405">
        <f t="shared" si="26"/>
        <v>24856614.53122462</v>
      </c>
      <c r="S275" s="401">
        <f>+'A) Base RI'!U275</f>
        <v>70</v>
      </c>
      <c r="T275" s="405">
        <f t="shared" si="27"/>
        <v>23133248.881224621</v>
      </c>
      <c r="U275" s="405">
        <f t="shared" si="28"/>
        <v>355094.49330320884</v>
      </c>
      <c r="V275" s="10">
        <f>+'A) Base RI'!P275</f>
        <v>498862.9</v>
      </c>
      <c r="W275" s="10">
        <f>+'A) Base RI'!Q275</f>
        <v>1103773.3</v>
      </c>
      <c r="X275" s="10">
        <f>+'A) Base RI'!S275</f>
        <v>988588.4</v>
      </c>
      <c r="Y275" s="405">
        <f t="shared" si="29"/>
        <v>2591224.6</v>
      </c>
      <c r="Z275" s="10">
        <f>+'A) Base RI'!O275</f>
        <v>152382.95000000001</v>
      </c>
      <c r="AA275" s="10">
        <f>'A) Base RI'!V275</f>
        <v>6151</v>
      </c>
    </row>
    <row r="276" spans="1:27" x14ac:dyDescent="0.25">
      <c r="A276" s="8">
        <f>'A) Base RI'!A276</f>
        <v>5882</v>
      </c>
      <c r="B276" s="32" t="str">
        <f>'A) Base RI'!B276</f>
        <v>Chardonne</v>
      </c>
      <c r="C276" s="10">
        <f>'A) Base RI'!C276+'A) Base RI'!D276</f>
        <v>10516725.689999999</v>
      </c>
      <c r="D276" s="10">
        <f>'A) Base RI'!W276</f>
        <v>-142700.22</v>
      </c>
      <c r="E276" s="397">
        <f>'A) Base RI'!X276</f>
        <v>0</v>
      </c>
      <c r="F276" s="397">
        <f>'A) Base RI'!Y276</f>
        <v>-21074.02</v>
      </c>
      <c r="G276" s="405">
        <f t="shared" si="24"/>
        <v>10352951.449999999</v>
      </c>
      <c r="H276" s="10">
        <f>+'A) Base RI'!E276</f>
        <v>0</v>
      </c>
      <c r="I276" s="10">
        <f>+'A) Base RI'!F276</f>
        <v>0</v>
      </c>
      <c r="J276" s="10">
        <f>+'A) Base RI'!G276+'A) Base RI'!H276+'A) Base RI'!I276</f>
        <v>221342.54433435571</v>
      </c>
      <c r="K276" s="10">
        <f>+'A) Base RI'!J276</f>
        <v>614230.69999999995</v>
      </c>
      <c r="L276" s="10">
        <f>+'A) Base RI'!K276</f>
        <v>216635.78</v>
      </c>
      <c r="M276" s="10">
        <f>+'A) Base RI'!L276</f>
        <v>97377.85</v>
      </c>
      <c r="N276" s="10">
        <f>+'A) Base RI'!R276</f>
        <v>39342.26</v>
      </c>
      <c r="O276" s="10">
        <f t="shared" si="25"/>
        <v>974587.82</v>
      </c>
      <c r="P276" s="10">
        <f>+'A) Base RI'!M276</f>
        <v>974587.82</v>
      </c>
      <c r="Q276" s="413">
        <f>'A) Base RI'!Z276</f>
        <v>1</v>
      </c>
      <c r="R276" s="405">
        <f t="shared" si="26"/>
        <v>12516468.404334353</v>
      </c>
      <c r="S276" s="401">
        <f>+'A) Base RI'!U276</f>
        <v>68</v>
      </c>
      <c r="T276" s="405">
        <f t="shared" si="27"/>
        <v>11444502.734334353</v>
      </c>
      <c r="U276" s="405">
        <f t="shared" si="28"/>
        <v>184065.71182844636</v>
      </c>
      <c r="V276" s="10">
        <f>+'A) Base RI'!P276</f>
        <v>1376729.5</v>
      </c>
      <c r="W276" s="10">
        <f>+'A) Base RI'!Q276</f>
        <v>528615.75</v>
      </c>
      <c r="X276" s="10">
        <f>+'A) Base RI'!S276</f>
        <v>425357.8</v>
      </c>
      <c r="Y276" s="405">
        <f t="shared" si="29"/>
        <v>2330703.0499999998</v>
      </c>
      <c r="Z276" s="10">
        <f>+'A) Base RI'!O276</f>
        <v>12885.05</v>
      </c>
      <c r="AA276" s="10">
        <f>'A) Base RI'!V276</f>
        <v>3032</v>
      </c>
    </row>
    <row r="277" spans="1:27" x14ac:dyDescent="0.25">
      <c r="A277" s="8">
        <f>'A) Base RI'!A277</f>
        <v>5883</v>
      </c>
      <c r="B277" s="32" t="str">
        <f>'A) Base RI'!B277</f>
        <v>Corseaux</v>
      </c>
      <c r="C277" s="10">
        <f>'A) Base RI'!C277+'A) Base RI'!D277</f>
        <v>10065622.040000001</v>
      </c>
      <c r="D277" s="10">
        <f>'A) Base RI'!W277</f>
        <v>-45401.71</v>
      </c>
      <c r="E277" s="397">
        <f>'A) Base RI'!X277</f>
        <v>0</v>
      </c>
      <c r="F277" s="397">
        <f>'A) Base RI'!Y277</f>
        <v>-17264.27</v>
      </c>
      <c r="G277" s="405">
        <f t="shared" si="24"/>
        <v>10002956.060000001</v>
      </c>
      <c r="H277" s="10">
        <f>+'A) Base RI'!E277</f>
        <v>0</v>
      </c>
      <c r="I277" s="10">
        <f>+'A) Base RI'!F277</f>
        <v>0</v>
      </c>
      <c r="J277" s="10">
        <f>+'A) Base RI'!G277+'A) Base RI'!H277+'A) Base RI'!I277</f>
        <v>212335.58294766868</v>
      </c>
      <c r="K277" s="10">
        <f>+'A) Base RI'!J277</f>
        <v>254076.2</v>
      </c>
      <c r="L277" s="10">
        <f>+'A) Base RI'!K277</f>
        <v>180520.74</v>
      </c>
      <c r="M277" s="10">
        <f>+'A) Base RI'!L277</f>
        <v>5591.05</v>
      </c>
      <c r="N277" s="10">
        <f>+'A) Base RI'!R277</f>
        <v>21638.560000000001</v>
      </c>
      <c r="O277" s="10">
        <f t="shared" si="25"/>
        <v>670114.35</v>
      </c>
      <c r="P277" s="10">
        <f>+'A) Base RI'!M277</f>
        <v>670114.35</v>
      </c>
      <c r="Q277" s="413">
        <f>'A) Base RI'!Z277</f>
        <v>1</v>
      </c>
      <c r="R277" s="405">
        <f t="shared" si="26"/>
        <v>11347232.54294767</v>
      </c>
      <c r="S277" s="401">
        <f>+'A) Base RI'!U277</f>
        <v>69</v>
      </c>
      <c r="T277" s="405">
        <f t="shared" si="27"/>
        <v>10671527.14294767</v>
      </c>
      <c r="U277" s="405">
        <f t="shared" si="28"/>
        <v>164452.64554996623</v>
      </c>
      <c r="V277" s="10">
        <f>+'A) Base RI'!P277</f>
        <v>85276.800000000003</v>
      </c>
      <c r="W277" s="10">
        <f>+'A) Base RI'!Q277</f>
        <v>281920.05</v>
      </c>
      <c r="X277" s="10">
        <f>+'A) Base RI'!S277</f>
        <v>313200.34999999998</v>
      </c>
      <c r="Y277" s="405">
        <f t="shared" si="29"/>
        <v>680397.2</v>
      </c>
      <c r="Z277" s="10">
        <f>+'A) Base RI'!O277</f>
        <v>2957.75</v>
      </c>
      <c r="AA277" s="10">
        <f>'A) Base RI'!V277</f>
        <v>2287</v>
      </c>
    </row>
    <row r="278" spans="1:27" x14ac:dyDescent="0.25">
      <c r="A278" s="8">
        <f>'A) Base RI'!A278</f>
        <v>5884</v>
      </c>
      <c r="B278" s="32" t="str">
        <f>'A) Base RI'!B278</f>
        <v>Corsier-sur-Vevey</v>
      </c>
      <c r="C278" s="10">
        <f>'A) Base RI'!C278+'A) Base RI'!D278</f>
        <v>6448516.9900000002</v>
      </c>
      <c r="D278" s="10">
        <f>'A) Base RI'!W278</f>
        <v>-357596.62</v>
      </c>
      <c r="E278" s="397">
        <f>'A) Base RI'!X278</f>
        <v>0</v>
      </c>
      <c r="F278" s="397">
        <f>'A) Base RI'!Y278</f>
        <v>-2345.4699999999998</v>
      </c>
      <c r="G278" s="405">
        <f t="shared" si="24"/>
        <v>6088574.9000000004</v>
      </c>
      <c r="H278" s="10">
        <f>+'A) Base RI'!E278</f>
        <v>0</v>
      </c>
      <c r="I278" s="10">
        <f>+'A) Base RI'!F278</f>
        <v>0</v>
      </c>
      <c r="J278" s="10">
        <f>+'A) Base RI'!G278+'A) Base RI'!H278+'A) Base RI'!I278</f>
        <v>675421.51137178938</v>
      </c>
      <c r="K278" s="10">
        <f>+'A) Base RI'!J278</f>
        <v>27182.15</v>
      </c>
      <c r="L278" s="10">
        <f>+'A) Base RI'!K278</f>
        <v>206700.69</v>
      </c>
      <c r="M278" s="10">
        <f>+'A) Base RI'!L278</f>
        <v>184493.7</v>
      </c>
      <c r="N278" s="10">
        <f>+'A) Base RI'!R278</f>
        <v>281071.89</v>
      </c>
      <c r="O278" s="10">
        <f t="shared" si="25"/>
        <v>794233.08333333337</v>
      </c>
      <c r="P278" s="10">
        <f>+'A) Base RI'!M278</f>
        <v>953079.7</v>
      </c>
      <c r="Q278" s="413">
        <f>'A) Base RI'!Z278</f>
        <v>1.2</v>
      </c>
      <c r="R278" s="405">
        <f t="shared" si="26"/>
        <v>8257677.9247051235</v>
      </c>
      <c r="S278" s="401">
        <f>+'A) Base RI'!U278</f>
        <v>66</v>
      </c>
      <c r="T278" s="405">
        <f t="shared" si="27"/>
        <v>7278951.1413717903</v>
      </c>
      <c r="U278" s="405">
        <f t="shared" si="28"/>
        <v>125116.33219250187</v>
      </c>
      <c r="V278" s="10">
        <f>+'A) Base RI'!P278</f>
        <v>0</v>
      </c>
      <c r="W278" s="10">
        <f>+'A) Base RI'!Q278</f>
        <v>327007.09999999998</v>
      </c>
      <c r="X278" s="10">
        <f>+'A) Base RI'!S278</f>
        <v>147434</v>
      </c>
      <c r="Y278" s="405">
        <f t="shared" si="29"/>
        <v>474441.1</v>
      </c>
      <c r="Z278" s="10">
        <f>+'A) Base RI'!O278</f>
        <v>468496.5</v>
      </c>
      <c r="AA278" s="10">
        <f>'A) Base RI'!V278</f>
        <v>3363</v>
      </c>
    </row>
    <row r="279" spans="1:27" x14ac:dyDescent="0.25">
      <c r="A279" s="8">
        <f>'A) Base RI'!A279</f>
        <v>5885</v>
      </c>
      <c r="B279" s="32" t="str">
        <f>'A) Base RI'!B279</f>
        <v>Jongny</v>
      </c>
      <c r="C279" s="10">
        <f>'A) Base RI'!C279+'A) Base RI'!D279</f>
        <v>5261005.79</v>
      </c>
      <c r="D279" s="10">
        <f>'A) Base RI'!W279</f>
        <v>-67105.17</v>
      </c>
      <c r="E279" s="397">
        <f>'A) Base RI'!X279</f>
        <v>0</v>
      </c>
      <c r="F279" s="397">
        <f>'A) Base RI'!Y279</f>
        <v>-5840.13</v>
      </c>
      <c r="G279" s="405">
        <f t="shared" si="24"/>
        <v>5188060.49</v>
      </c>
      <c r="H279" s="10">
        <f>+'A) Base RI'!E279</f>
        <v>0</v>
      </c>
      <c r="I279" s="10">
        <f>+'A) Base RI'!F279</f>
        <v>0</v>
      </c>
      <c r="J279" s="10">
        <f>+'A) Base RI'!G279+'A) Base RI'!H279+'A) Base RI'!I279</f>
        <v>-154499.6</v>
      </c>
      <c r="K279" s="10">
        <f>+'A) Base RI'!J279</f>
        <v>88300.65</v>
      </c>
      <c r="L279" s="10">
        <f>+'A) Base RI'!K279</f>
        <v>46573.95</v>
      </c>
      <c r="M279" s="10">
        <f>+'A) Base RI'!L279</f>
        <v>15374.25</v>
      </c>
      <c r="N279" s="10">
        <f>+'A) Base RI'!R279</f>
        <v>3858.2</v>
      </c>
      <c r="O279" s="10">
        <f t="shared" si="25"/>
        <v>396192.875</v>
      </c>
      <c r="P279" s="10">
        <f>+'A) Base RI'!M279</f>
        <v>475431.45</v>
      </c>
      <c r="Q279" s="413">
        <f>'A) Base RI'!Z279</f>
        <v>1.2</v>
      </c>
      <c r="R279" s="405">
        <f t="shared" si="26"/>
        <v>5583860.8150000013</v>
      </c>
      <c r="S279" s="401">
        <f>+'A) Base RI'!U279</f>
        <v>71</v>
      </c>
      <c r="T279" s="405">
        <f t="shared" si="27"/>
        <v>5172293.6900000013</v>
      </c>
      <c r="U279" s="405">
        <f t="shared" si="28"/>
        <v>78645.92697183101</v>
      </c>
      <c r="V279" s="10">
        <f>+'A) Base RI'!P279</f>
        <v>65561.7</v>
      </c>
      <c r="W279" s="10">
        <f>+'A) Base RI'!Q279</f>
        <v>344329.9</v>
      </c>
      <c r="X279" s="10">
        <f>+'A) Base RI'!S279</f>
        <v>176221.3</v>
      </c>
      <c r="Y279" s="405">
        <f t="shared" si="29"/>
        <v>586112.9</v>
      </c>
      <c r="Z279" s="10">
        <f>+'A) Base RI'!O279</f>
        <v>1555.2</v>
      </c>
      <c r="AA279" s="10">
        <f>'A) Base RI'!V279</f>
        <v>1544</v>
      </c>
    </row>
    <row r="280" spans="1:27" x14ac:dyDescent="0.25">
      <c r="A280" s="8">
        <f>'A) Base RI'!A280</f>
        <v>5886</v>
      </c>
      <c r="B280" s="32" t="str">
        <f>'A) Base RI'!B280</f>
        <v>Montreux</v>
      </c>
      <c r="C280" s="10">
        <f>'A) Base RI'!C280+'A) Base RI'!D280</f>
        <v>55340650.439999998</v>
      </c>
      <c r="D280" s="10">
        <f>'A) Base RI'!W280</f>
        <v>-1300291.2</v>
      </c>
      <c r="E280" s="397">
        <f>'A) Base RI'!X280</f>
        <v>0</v>
      </c>
      <c r="F280" s="397">
        <f>'A) Base RI'!Y280</f>
        <v>-90908.160000000003</v>
      </c>
      <c r="G280" s="405">
        <f t="shared" si="24"/>
        <v>53949451.079999998</v>
      </c>
      <c r="H280" s="10">
        <f>+'A) Base RI'!E280</f>
        <v>0</v>
      </c>
      <c r="I280" s="10">
        <f>+'A) Base RI'!F280</f>
        <v>0</v>
      </c>
      <c r="J280" s="10">
        <f>+'A) Base RI'!G280+'A) Base RI'!H280+'A) Base RI'!I280</f>
        <v>4617187.0364056583</v>
      </c>
      <c r="K280" s="10">
        <f>+'A) Base RI'!J280</f>
        <v>4543184.4800000004</v>
      </c>
      <c r="L280" s="10">
        <f>+'A) Base RI'!K280</f>
        <v>2745817.61</v>
      </c>
      <c r="M280" s="10">
        <f>+'A) Base RI'!L280</f>
        <v>364982.25</v>
      </c>
      <c r="N280" s="10">
        <f>+'A) Base RI'!R280</f>
        <v>546343.71</v>
      </c>
      <c r="O280" s="10">
        <f t="shared" si="25"/>
        <v>6927855.0133333327</v>
      </c>
      <c r="P280" s="10">
        <f>+'A) Base RI'!M280</f>
        <v>10391782.52</v>
      </c>
      <c r="Q280" s="413">
        <f>'A) Base RI'!Z280</f>
        <v>1.5</v>
      </c>
      <c r="R280" s="405">
        <f t="shared" si="26"/>
        <v>73694821.179738984</v>
      </c>
      <c r="S280" s="401">
        <f>+'A) Base RI'!U280</f>
        <v>65</v>
      </c>
      <c r="T280" s="405">
        <f t="shared" si="27"/>
        <v>66401983.916405655</v>
      </c>
      <c r="U280" s="405">
        <f t="shared" si="28"/>
        <v>1133766.4796882921</v>
      </c>
      <c r="V280" s="10">
        <f>+'A) Base RI'!P280</f>
        <v>8483433.5500000007</v>
      </c>
      <c r="W280" s="10">
        <f>+'A) Base RI'!Q280</f>
        <v>4846537.45</v>
      </c>
      <c r="X280" s="10">
        <f>+'A) Base RI'!S280</f>
        <v>2431435.2000000002</v>
      </c>
      <c r="Y280" s="405">
        <f t="shared" si="29"/>
        <v>15761406.199999999</v>
      </c>
      <c r="Z280" s="10">
        <f>+'A) Base RI'!O280</f>
        <v>768045.85</v>
      </c>
      <c r="AA280" s="10">
        <f>'A) Base RI'!V280</f>
        <v>26065</v>
      </c>
    </row>
    <row r="281" spans="1:27" x14ac:dyDescent="0.25">
      <c r="A281" s="8">
        <f>'A) Base RI'!A281</f>
        <v>5888</v>
      </c>
      <c r="B281" s="32" t="str">
        <f>'A) Base RI'!B281</f>
        <v>Saint-Légier-La Chiésaz</v>
      </c>
      <c r="C281" s="10">
        <f>'A) Base RI'!C281+'A) Base RI'!D281</f>
        <v>21482543.210000001</v>
      </c>
      <c r="D281" s="10">
        <f>'A) Base RI'!W281</f>
        <v>-229086.71</v>
      </c>
      <c r="E281" s="397">
        <f>'A) Base RI'!X281</f>
        <v>0</v>
      </c>
      <c r="F281" s="397">
        <f>'A) Base RI'!Y281</f>
        <v>-144068.59</v>
      </c>
      <c r="G281" s="405">
        <f t="shared" si="24"/>
        <v>21109387.91</v>
      </c>
      <c r="H281" s="10">
        <f>+'A) Base RI'!E281</f>
        <v>0</v>
      </c>
      <c r="I281" s="10">
        <f>+'A) Base RI'!F281</f>
        <v>0</v>
      </c>
      <c r="J281" s="10">
        <f>+'A) Base RI'!G281+'A) Base RI'!H281+'A) Base RI'!I281</f>
        <v>481586.50965185411</v>
      </c>
      <c r="K281" s="10">
        <f>+'A) Base RI'!J281</f>
        <v>180433.96</v>
      </c>
      <c r="L281" s="10">
        <f>+'A) Base RI'!K281</f>
        <v>133260.03</v>
      </c>
      <c r="M281" s="10">
        <f>+'A) Base RI'!L281</f>
        <v>75574.45</v>
      </c>
      <c r="N281" s="10">
        <f>+'A) Base RI'!R281</f>
        <v>111273.52</v>
      </c>
      <c r="O281" s="10">
        <f t="shared" si="25"/>
        <v>1520915.7916666667</v>
      </c>
      <c r="P281" s="10">
        <f>+'A) Base RI'!M281</f>
        <v>1825098.95</v>
      </c>
      <c r="Q281" s="413">
        <f>'A) Base RI'!Z281</f>
        <v>1.2</v>
      </c>
      <c r="R281" s="405">
        <f t="shared" si="26"/>
        <v>23612432.171318524</v>
      </c>
      <c r="S281" s="401">
        <f>+'A) Base RI'!U281</f>
        <v>70</v>
      </c>
      <c r="T281" s="405">
        <f t="shared" si="27"/>
        <v>22015941.929651856</v>
      </c>
      <c r="U281" s="405">
        <f t="shared" si="28"/>
        <v>337320.4595902646</v>
      </c>
      <c r="V281" s="10">
        <f>+'A) Base RI'!P281</f>
        <v>190441.4</v>
      </c>
      <c r="W281" s="10">
        <f>+'A) Base RI'!Q281</f>
        <v>708311.1</v>
      </c>
      <c r="X281" s="10">
        <f>+'A) Base RI'!S281</f>
        <v>873024.15</v>
      </c>
      <c r="Y281" s="405">
        <f t="shared" si="29"/>
        <v>1771776.65</v>
      </c>
      <c r="Z281" s="10">
        <f>+'A) Base RI'!O281</f>
        <v>157043.5</v>
      </c>
      <c r="AA281" s="10">
        <f>'A) Base RI'!V281</f>
        <v>5243</v>
      </c>
    </row>
    <row r="282" spans="1:27" x14ac:dyDescent="0.25">
      <c r="A282" s="8">
        <f>'A) Base RI'!A282</f>
        <v>5889</v>
      </c>
      <c r="B282" s="32" t="str">
        <f>'A) Base RI'!B282</f>
        <v>La Tour-de-Peilz</v>
      </c>
      <c r="C282" s="10">
        <f>'A) Base RI'!C282+'A) Base RI'!D282</f>
        <v>31416038.77</v>
      </c>
      <c r="D282" s="10">
        <f>'A) Base RI'!W282</f>
        <v>-339170.18</v>
      </c>
      <c r="E282" s="397">
        <f>'A) Base RI'!X282</f>
        <v>0</v>
      </c>
      <c r="F282" s="397">
        <f>'A) Base RI'!Y282</f>
        <v>-137797.70000000001</v>
      </c>
      <c r="G282" s="405">
        <f t="shared" si="24"/>
        <v>30939070.890000001</v>
      </c>
      <c r="H282" s="10">
        <f>+'A) Base RI'!E282</f>
        <v>0</v>
      </c>
      <c r="I282" s="10">
        <f>+'A) Base RI'!F282</f>
        <v>0</v>
      </c>
      <c r="J282" s="10">
        <f>+'A) Base RI'!G282+'A) Base RI'!H282+'A) Base RI'!I282</f>
        <v>9052398.7898099348</v>
      </c>
      <c r="K282" s="10">
        <f>+'A) Base RI'!J282</f>
        <v>723935.3</v>
      </c>
      <c r="L282" s="10">
        <f>+'A) Base RI'!K282</f>
        <v>812855.5</v>
      </c>
      <c r="M282" s="10">
        <f>+'A) Base RI'!L282</f>
        <v>248040.5</v>
      </c>
      <c r="N282" s="10">
        <f>+'A) Base RI'!R282</f>
        <v>60625.55</v>
      </c>
      <c r="O282" s="10">
        <f t="shared" si="25"/>
        <v>2394013.75</v>
      </c>
      <c r="P282" s="10">
        <f>+'A) Base RI'!M282</f>
        <v>2872816.5</v>
      </c>
      <c r="Q282" s="413">
        <f>'A) Base RI'!Z282</f>
        <v>1.2</v>
      </c>
      <c r="R282" s="405">
        <f t="shared" si="26"/>
        <v>44230940.279809929</v>
      </c>
      <c r="S282" s="401">
        <f>+'A) Base RI'!U282</f>
        <v>64</v>
      </c>
      <c r="T282" s="405">
        <f t="shared" si="27"/>
        <v>41588886.029809929</v>
      </c>
      <c r="U282" s="405">
        <f t="shared" si="28"/>
        <v>691108.44187203015</v>
      </c>
      <c r="V282" s="10">
        <f>+'A) Base RI'!P282</f>
        <v>975365.3</v>
      </c>
      <c r="W282" s="10">
        <f>+'A) Base RI'!Q282</f>
        <v>2044132.4</v>
      </c>
      <c r="X282" s="10">
        <f>+'A) Base RI'!S282</f>
        <v>783600.4</v>
      </c>
      <c r="Y282" s="405">
        <f t="shared" si="29"/>
        <v>3803098.1</v>
      </c>
      <c r="Z282" s="10">
        <f>+'A) Base RI'!O282</f>
        <v>177282.6</v>
      </c>
      <c r="AA282" s="10">
        <f>'A) Base RI'!V282</f>
        <v>11906</v>
      </c>
    </row>
    <row r="283" spans="1:27" x14ac:dyDescent="0.25">
      <c r="A283" s="8">
        <f>'A) Base RI'!A283</f>
        <v>5890</v>
      </c>
      <c r="B283" s="32" t="str">
        <f>'A) Base RI'!B283</f>
        <v>Vevey</v>
      </c>
      <c r="C283" s="10">
        <f>'A) Base RI'!C283+'A) Base RI'!D283</f>
        <v>43820022.25</v>
      </c>
      <c r="D283" s="10">
        <f>'A) Base RI'!W283</f>
        <v>-732817.29</v>
      </c>
      <c r="E283" s="397">
        <f>'A) Base RI'!X283</f>
        <v>0</v>
      </c>
      <c r="F283" s="397">
        <f>'A) Base RI'!Y283</f>
        <v>-175330.18</v>
      </c>
      <c r="G283" s="405">
        <f t="shared" si="24"/>
        <v>42911874.780000001</v>
      </c>
      <c r="H283" s="10">
        <f>+'A) Base RI'!E283</f>
        <v>0</v>
      </c>
      <c r="I283" s="10">
        <f>+'A) Base RI'!F283</f>
        <v>0</v>
      </c>
      <c r="J283" s="10">
        <f>+'A) Base RI'!G283+'A) Base RI'!H283+'A) Base RI'!I283</f>
        <v>21141097.983936924</v>
      </c>
      <c r="K283" s="10">
        <f>+'A) Base RI'!J283</f>
        <v>631417.13</v>
      </c>
      <c r="L283" s="10">
        <f>+'A) Base RI'!K283</f>
        <v>4089687.33</v>
      </c>
      <c r="M283" s="10">
        <f>+'A) Base RI'!L283</f>
        <v>594642.5</v>
      </c>
      <c r="N283" s="10">
        <f>+'A) Base RI'!R283</f>
        <v>282313.75</v>
      </c>
      <c r="O283" s="10">
        <f t="shared" si="25"/>
        <v>3686953.14</v>
      </c>
      <c r="P283" s="10">
        <f>+'A) Base RI'!M283</f>
        <v>5530429.71</v>
      </c>
      <c r="Q283" s="413">
        <f>'A) Base RI'!Z283</f>
        <v>1.5</v>
      </c>
      <c r="R283" s="405">
        <f t="shared" si="26"/>
        <v>73337986.613936931</v>
      </c>
      <c r="S283" s="401">
        <f>+'A) Base RI'!U283</f>
        <v>76</v>
      </c>
      <c r="T283" s="405">
        <f t="shared" si="27"/>
        <v>69056390.97393693</v>
      </c>
      <c r="U283" s="405">
        <f t="shared" si="28"/>
        <v>964973.50807811751</v>
      </c>
      <c r="V283" s="10">
        <f>+'A) Base RI'!P283</f>
        <v>958753.5</v>
      </c>
      <c r="W283" s="10">
        <f>+'A) Base RI'!Q283</f>
        <v>1296278.75</v>
      </c>
      <c r="X283" s="10">
        <f>+'A) Base RI'!S283</f>
        <v>643155.65</v>
      </c>
      <c r="Y283" s="405">
        <f t="shared" si="29"/>
        <v>2898187.9</v>
      </c>
      <c r="Z283" s="10">
        <f>+'A) Base RI'!O283</f>
        <v>907414.25</v>
      </c>
      <c r="AA283" s="10">
        <f>'A) Base RI'!V283</f>
        <v>19871</v>
      </c>
    </row>
    <row r="284" spans="1:27" x14ac:dyDescent="0.25">
      <c r="A284" s="8">
        <f>'A) Base RI'!A284</f>
        <v>5891</v>
      </c>
      <c r="B284" s="32" t="str">
        <f>'A) Base RI'!B284</f>
        <v>Veytaux</v>
      </c>
      <c r="C284" s="10">
        <f>'A) Base RI'!C284+'A) Base RI'!D284</f>
        <v>2269456.91</v>
      </c>
      <c r="D284" s="10">
        <f>'A) Base RI'!W284</f>
        <v>-77771.34</v>
      </c>
      <c r="E284" s="397">
        <f>'A) Base RI'!X284</f>
        <v>0</v>
      </c>
      <c r="F284" s="397">
        <f>'A) Base RI'!Y284</f>
        <v>-1345.07</v>
      </c>
      <c r="G284" s="405">
        <f t="shared" si="24"/>
        <v>2190340.5000000005</v>
      </c>
      <c r="H284" s="10">
        <f>+'A) Base RI'!E284</f>
        <v>0</v>
      </c>
      <c r="I284" s="10">
        <f>+'A) Base RI'!F284</f>
        <v>0</v>
      </c>
      <c r="J284" s="10">
        <f>+'A) Base RI'!G284+'A) Base RI'!H284+'A) Base RI'!I284</f>
        <v>25582.403913040413</v>
      </c>
      <c r="K284" s="10">
        <f>+'A) Base RI'!J284</f>
        <v>13028.4</v>
      </c>
      <c r="L284" s="10">
        <f>+'A) Base RI'!K284</f>
        <v>86338.48</v>
      </c>
      <c r="M284" s="10">
        <f>+'A) Base RI'!L284</f>
        <v>11126.4</v>
      </c>
      <c r="N284" s="10">
        <f>+'A) Base RI'!R284</f>
        <v>11770.33</v>
      </c>
      <c r="O284" s="10">
        <f t="shared" si="25"/>
        <v>291335.3</v>
      </c>
      <c r="P284" s="10">
        <f>+'A) Base RI'!M284</f>
        <v>437002.95</v>
      </c>
      <c r="Q284" s="413">
        <f>'A) Base RI'!Z284</f>
        <v>1.5</v>
      </c>
      <c r="R284" s="405">
        <f t="shared" si="26"/>
        <v>2629521.8139130403</v>
      </c>
      <c r="S284" s="401">
        <f>+'A) Base RI'!U284</f>
        <v>71</v>
      </c>
      <c r="T284" s="405">
        <f t="shared" si="27"/>
        <v>2327060.1139130406</v>
      </c>
      <c r="U284" s="405">
        <f t="shared" si="28"/>
        <v>37035.518505817468</v>
      </c>
      <c r="V284" s="10">
        <f>+'A) Base RI'!P284</f>
        <v>1452</v>
      </c>
      <c r="W284" s="10">
        <f>+'A) Base RI'!Q284</f>
        <v>133424.54999999999</v>
      </c>
      <c r="X284" s="10">
        <f>+'A) Base RI'!S284</f>
        <v>86423.25</v>
      </c>
      <c r="Y284" s="405">
        <f t="shared" si="29"/>
        <v>221299.8</v>
      </c>
      <c r="Z284" s="10">
        <f>+'A) Base RI'!O284</f>
        <v>0</v>
      </c>
      <c r="AA284" s="10">
        <f>'A) Base RI'!V284</f>
        <v>922</v>
      </c>
    </row>
    <row r="285" spans="1:27" x14ac:dyDescent="0.25">
      <c r="A285" s="8">
        <f>'A) Base RI'!A285</f>
        <v>5902</v>
      </c>
      <c r="B285" s="32" t="str">
        <f>'A) Base RI'!B285</f>
        <v>Belmont-sur-Yverdon</v>
      </c>
      <c r="C285" s="10">
        <f>'A) Base RI'!C285+'A) Base RI'!D285</f>
        <v>762078.59000000008</v>
      </c>
      <c r="D285" s="10">
        <f>'A) Base RI'!W285</f>
        <v>0.36</v>
      </c>
      <c r="E285" s="397">
        <f>'A) Base RI'!X285</f>
        <v>0</v>
      </c>
      <c r="F285" s="397">
        <f>'A) Base RI'!Y285</f>
        <v>0</v>
      </c>
      <c r="G285" s="405">
        <f t="shared" si="24"/>
        <v>762078.95000000007</v>
      </c>
      <c r="H285" s="10">
        <f>+'A) Base RI'!E285</f>
        <v>0</v>
      </c>
      <c r="I285" s="10">
        <f>+'A) Base RI'!F285</f>
        <v>0</v>
      </c>
      <c r="J285" s="10">
        <f>+'A) Base RI'!G285+'A) Base RI'!H285+'A) Base RI'!I285</f>
        <v>2198.3128534792818</v>
      </c>
      <c r="K285" s="10">
        <f>+'A) Base RI'!J285</f>
        <v>0</v>
      </c>
      <c r="L285" s="10">
        <f>+'A) Base RI'!K285</f>
        <v>-1452.45</v>
      </c>
      <c r="M285" s="10">
        <f>+'A) Base RI'!L285</f>
        <v>0</v>
      </c>
      <c r="N285" s="10">
        <f>+'A) Base RI'!R285</f>
        <v>0</v>
      </c>
      <c r="O285" s="10">
        <f t="shared" si="25"/>
        <v>56033.4</v>
      </c>
      <c r="P285" s="10">
        <f>+'A) Base RI'!M285</f>
        <v>56033.4</v>
      </c>
      <c r="Q285" s="413">
        <f>'A) Base RI'!Z285</f>
        <v>1</v>
      </c>
      <c r="R285" s="405">
        <f t="shared" si="26"/>
        <v>818858.21285347943</v>
      </c>
      <c r="S285" s="401">
        <f>+'A) Base RI'!U285</f>
        <v>76</v>
      </c>
      <c r="T285" s="405">
        <f t="shared" si="27"/>
        <v>762824.81285347941</v>
      </c>
      <c r="U285" s="405">
        <f t="shared" si="28"/>
        <v>10774.45016912473</v>
      </c>
      <c r="V285" s="10">
        <f>+'A) Base RI'!P285</f>
        <v>0</v>
      </c>
      <c r="W285" s="10">
        <f>+'A) Base RI'!Q285</f>
        <v>0</v>
      </c>
      <c r="X285" s="10">
        <f>+'A) Base RI'!S285</f>
        <v>0</v>
      </c>
      <c r="Y285" s="405">
        <f t="shared" si="29"/>
        <v>0</v>
      </c>
      <c r="Z285" s="10">
        <f>+'A) Base RI'!O285</f>
        <v>0</v>
      </c>
      <c r="AA285" s="10">
        <f>'A) Base RI'!V285</f>
        <v>374</v>
      </c>
    </row>
    <row r="286" spans="1:27" x14ac:dyDescent="0.25">
      <c r="A286" s="8">
        <f>'A) Base RI'!A286</f>
        <v>5903</v>
      </c>
      <c r="B286" s="32" t="str">
        <f>'A) Base RI'!B286</f>
        <v>Bioley-Magnoux</v>
      </c>
      <c r="C286" s="10">
        <f>'A) Base RI'!C286+'A) Base RI'!D286</f>
        <v>436400.31</v>
      </c>
      <c r="D286" s="10">
        <f>'A) Base RI'!W286</f>
        <v>-1382.45</v>
      </c>
      <c r="E286" s="397">
        <f>'A) Base RI'!X286</f>
        <v>0</v>
      </c>
      <c r="F286" s="397">
        <f>'A) Base RI'!Y286</f>
        <v>-0.85</v>
      </c>
      <c r="G286" s="405">
        <f t="shared" si="24"/>
        <v>435017.01</v>
      </c>
      <c r="H286" s="10">
        <f>+'A) Base RI'!E286</f>
        <v>0</v>
      </c>
      <c r="I286" s="10">
        <f>+'A) Base RI'!F286</f>
        <v>0</v>
      </c>
      <c r="J286" s="10">
        <f>+'A) Base RI'!G286+'A) Base RI'!H286+'A) Base RI'!I286</f>
        <v>3510.6997031555306</v>
      </c>
      <c r="K286" s="10">
        <f>+'A) Base RI'!J286</f>
        <v>0</v>
      </c>
      <c r="L286" s="10">
        <f>+'A) Base RI'!K286</f>
        <v>3829.25</v>
      </c>
      <c r="M286" s="10">
        <f>+'A) Base RI'!L286</f>
        <v>0</v>
      </c>
      <c r="N286" s="10">
        <f>+'A) Base RI'!R286</f>
        <v>0</v>
      </c>
      <c r="O286" s="10">
        <f t="shared" si="25"/>
        <v>36617.785714285717</v>
      </c>
      <c r="P286" s="10">
        <f>+'A) Base RI'!M286</f>
        <v>25632.45</v>
      </c>
      <c r="Q286" s="413">
        <f>'A) Base RI'!Z286</f>
        <v>0.7</v>
      </c>
      <c r="R286" s="405">
        <f t="shared" si="26"/>
        <v>478974.7454174413</v>
      </c>
      <c r="S286" s="401">
        <f>+'A) Base RI'!U286</f>
        <v>74</v>
      </c>
      <c r="T286" s="405">
        <f t="shared" si="27"/>
        <v>442356.95970315556</v>
      </c>
      <c r="U286" s="405">
        <f t="shared" si="28"/>
        <v>6472.6316948302874</v>
      </c>
      <c r="V286" s="10">
        <f>+'A) Base RI'!P286</f>
        <v>0</v>
      </c>
      <c r="W286" s="10">
        <f>+'A) Base RI'!Q286</f>
        <v>1417</v>
      </c>
      <c r="X286" s="10">
        <f>+'A) Base RI'!S286</f>
        <v>0</v>
      </c>
      <c r="Y286" s="405">
        <f t="shared" si="29"/>
        <v>1417</v>
      </c>
      <c r="Z286" s="10">
        <f>+'A) Base RI'!O286</f>
        <v>22624.95</v>
      </c>
      <c r="AA286" s="10">
        <f>'A) Base RI'!V286</f>
        <v>228</v>
      </c>
    </row>
    <row r="287" spans="1:27" x14ac:dyDescent="0.25">
      <c r="A287" s="8">
        <f>'A) Base RI'!A287</f>
        <v>5904</v>
      </c>
      <c r="B287" s="32" t="str">
        <f>'A) Base RI'!B287</f>
        <v>Chamblon</v>
      </c>
      <c r="C287" s="10">
        <f>'A) Base RI'!C287+'A) Base RI'!D287</f>
        <v>1340807.8400000001</v>
      </c>
      <c r="D287" s="10">
        <f>'A) Base RI'!W287</f>
        <v>-33805.08</v>
      </c>
      <c r="E287" s="397">
        <f>'A) Base RI'!X287</f>
        <v>0</v>
      </c>
      <c r="F287" s="397">
        <f>'A) Base RI'!Y287</f>
        <v>-67.900000000000006</v>
      </c>
      <c r="G287" s="405">
        <f t="shared" si="24"/>
        <v>1306934.8600000001</v>
      </c>
      <c r="H287" s="10">
        <f>+'A) Base RI'!E287</f>
        <v>0</v>
      </c>
      <c r="I287" s="10">
        <f>+'A) Base RI'!F287</f>
        <v>0</v>
      </c>
      <c r="J287" s="10">
        <f>+'A) Base RI'!G287+'A) Base RI'!H287+'A) Base RI'!I287</f>
        <v>13842.516235184641</v>
      </c>
      <c r="K287" s="10">
        <f>+'A) Base RI'!J287</f>
        <v>0</v>
      </c>
      <c r="L287" s="10">
        <f>+'A) Base RI'!K287</f>
        <v>24452.66</v>
      </c>
      <c r="M287" s="10">
        <f>+'A) Base RI'!L287</f>
        <v>3705.65</v>
      </c>
      <c r="N287" s="10">
        <f>+'A) Base RI'!R287</f>
        <v>5706.26</v>
      </c>
      <c r="O287" s="10">
        <f t="shared" si="25"/>
        <v>95309.3</v>
      </c>
      <c r="P287" s="10">
        <f>+'A) Base RI'!M287</f>
        <v>95309.3</v>
      </c>
      <c r="Q287" s="413">
        <f>'A) Base RI'!Z287</f>
        <v>1</v>
      </c>
      <c r="R287" s="405">
        <f t="shared" si="26"/>
        <v>1449951.2462351846</v>
      </c>
      <c r="S287" s="401">
        <f>+'A) Base RI'!U287</f>
        <v>66</v>
      </c>
      <c r="T287" s="405">
        <f t="shared" si="27"/>
        <v>1350936.2962351847</v>
      </c>
      <c r="U287" s="405">
        <f t="shared" si="28"/>
        <v>21968.958276290676</v>
      </c>
      <c r="V287" s="10">
        <f>+'A) Base RI'!P287</f>
        <v>0</v>
      </c>
      <c r="W287" s="10">
        <f>+'A) Base RI'!Q287</f>
        <v>24991.65</v>
      </c>
      <c r="X287" s="10">
        <f>+'A) Base RI'!S287</f>
        <v>5738.35</v>
      </c>
      <c r="Y287" s="405">
        <f t="shared" si="29"/>
        <v>30730</v>
      </c>
      <c r="Z287" s="10">
        <f>+'A) Base RI'!O287</f>
        <v>36905.599999999999</v>
      </c>
      <c r="AA287" s="10">
        <f>'A) Base RI'!V287</f>
        <v>540</v>
      </c>
    </row>
    <row r="288" spans="1:27" x14ac:dyDescent="0.25">
      <c r="A288" s="8">
        <f>'A) Base RI'!A288</f>
        <v>5905</v>
      </c>
      <c r="B288" s="32" t="str">
        <f>'A) Base RI'!B288</f>
        <v>Champvent</v>
      </c>
      <c r="C288" s="10">
        <f>'A) Base RI'!C288+'A) Base RI'!D288</f>
        <v>1489624.0899999999</v>
      </c>
      <c r="D288" s="10">
        <f>'A) Base RI'!W288</f>
        <v>-27788.55</v>
      </c>
      <c r="E288" s="397">
        <f>'A) Base RI'!X288</f>
        <v>0</v>
      </c>
      <c r="F288" s="397">
        <f>'A) Base RI'!Y288</f>
        <v>-80.62</v>
      </c>
      <c r="G288" s="405">
        <f t="shared" si="24"/>
        <v>1461754.9199999997</v>
      </c>
      <c r="H288" s="10">
        <f>+'A) Base RI'!E288</f>
        <v>0</v>
      </c>
      <c r="I288" s="10">
        <f>+'A) Base RI'!F288</f>
        <v>0</v>
      </c>
      <c r="J288" s="10">
        <f>+'A) Base RI'!G288+'A) Base RI'!H288+'A) Base RI'!I288</f>
        <v>66332.40487711734</v>
      </c>
      <c r="K288" s="10">
        <f>+'A) Base RI'!J288</f>
        <v>0</v>
      </c>
      <c r="L288" s="10">
        <f>+'A) Base RI'!K288</f>
        <v>25249.86</v>
      </c>
      <c r="M288" s="10">
        <f>+'A) Base RI'!L288</f>
        <v>2037.45</v>
      </c>
      <c r="N288" s="10">
        <f>+'A) Base RI'!R288</f>
        <v>665.43</v>
      </c>
      <c r="O288" s="10">
        <f t="shared" si="25"/>
        <v>99805.85</v>
      </c>
      <c r="P288" s="10">
        <f>+'A) Base RI'!M288</f>
        <v>99805.85</v>
      </c>
      <c r="Q288" s="413">
        <f>'A) Base RI'!Z288</f>
        <v>1</v>
      </c>
      <c r="R288" s="405">
        <f t="shared" si="26"/>
        <v>1655845.9148771171</v>
      </c>
      <c r="S288" s="401">
        <f>+'A) Base RI'!U288</f>
        <v>71</v>
      </c>
      <c r="T288" s="405">
        <f t="shared" si="27"/>
        <v>1554002.6148771171</v>
      </c>
      <c r="U288" s="405">
        <f t="shared" si="28"/>
        <v>23321.773448973479</v>
      </c>
      <c r="V288" s="10">
        <f>+'A) Base RI'!P288</f>
        <v>182127</v>
      </c>
      <c r="W288" s="10">
        <f>+'A) Base RI'!Q288</f>
        <v>96580</v>
      </c>
      <c r="X288" s="10">
        <f>+'A) Base RI'!S288</f>
        <v>8637.4</v>
      </c>
      <c r="Y288" s="405">
        <f t="shared" si="29"/>
        <v>287344.40000000002</v>
      </c>
      <c r="Z288" s="10">
        <f>+'A) Base RI'!O288</f>
        <v>109768.55</v>
      </c>
      <c r="AA288" s="10">
        <f>'A) Base RI'!V288</f>
        <v>689</v>
      </c>
    </row>
    <row r="289" spans="1:27" x14ac:dyDescent="0.25">
      <c r="A289" s="8">
        <f>'A) Base RI'!A289</f>
        <v>5907</v>
      </c>
      <c r="B289" s="32" t="str">
        <f>'A) Base RI'!B289</f>
        <v>Chavannes-le-Chêne</v>
      </c>
      <c r="C289" s="10">
        <f>'A) Base RI'!C289+'A) Base RI'!D289</f>
        <v>682858.66999999993</v>
      </c>
      <c r="D289" s="10">
        <f>'A) Base RI'!W289</f>
        <v>-2103.9</v>
      </c>
      <c r="E289" s="397">
        <f>'A) Base RI'!X289</f>
        <v>0</v>
      </c>
      <c r="F289" s="397">
        <f>'A) Base RI'!Y289</f>
        <v>0</v>
      </c>
      <c r="G289" s="405">
        <f t="shared" si="24"/>
        <v>680754.7699999999</v>
      </c>
      <c r="H289" s="10">
        <f>+'A) Base RI'!E289</f>
        <v>0</v>
      </c>
      <c r="I289" s="10">
        <f>+'A) Base RI'!F289</f>
        <v>1840</v>
      </c>
      <c r="J289" s="10">
        <f>+'A) Base RI'!G289+'A) Base RI'!H289+'A) Base RI'!I289</f>
        <v>2146.1829657180897</v>
      </c>
      <c r="K289" s="10">
        <f>+'A) Base RI'!J289</f>
        <v>0</v>
      </c>
      <c r="L289" s="10">
        <f>+'A) Base RI'!K289</f>
        <v>6828.82</v>
      </c>
      <c r="M289" s="10">
        <f>+'A) Base RI'!L289</f>
        <v>520.70000000000005</v>
      </c>
      <c r="N289" s="10">
        <f>+'A) Base RI'!R289</f>
        <v>0</v>
      </c>
      <c r="O289" s="10">
        <f t="shared" si="25"/>
        <v>47320.5</v>
      </c>
      <c r="P289" s="10">
        <f>+'A) Base RI'!M289</f>
        <v>47320.5</v>
      </c>
      <c r="Q289" s="413">
        <f>'A) Base RI'!Z289</f>
        <v>1</v>
      </c>
      <c r="R289" s="405">
        <f t="shared" si="26"/>
        <v>739410.9729657179</v>
      </c>
      <c r="S289" s="401">
        <f>+'A) Base RI'!U289</f>
        <v>78</v>
      </c>
      <c r="T289" s="405">
        <f t="shared" si="27"/>
        <v>689729.77296571794</v>
      </c>
      <c r="U289" s="405">
        <f t="shared" si="28"/>
        <v>9479.6278585348446</v>
      </c>
      <c r="V289" s="10">
        <f>+'A) Base RI'!P289</f>
        <v>0</v>
      </c>
      <c r="W289" s="10">
        <f>+'A) Base RI'!Q289</f>
        <v>2113.0500000000002</v>
      </c>
      <c r="X289" s="10">
        <f>+'A) Base RI'!S289</f>
        <v>3283.2</v>
      </c>
      <c r="Y289" s="405">
        <f t="shared" si="29"/>
        <v>5396.25</v>
      </c>
      <c r="Z289" s="10">
        <f>+'A) Base RI'!O289</f>
        <v>9367.6</v>
      </c>
      <c r="AA289" s="10">
        <f>'A) Base RI'!V289</f>
        <v>311</v>
      </c>
    </row>
    <row r="290" spans="1:27" x14ac:dyDescent="0.25">
      <c r="A290" s="8">
        <f>'A) Base RI'!A290</f>
        <v>5908</v>
      </c>
      <c r="B290" s="32" t="str">
        <f>'A) Base RI'!B290</f>
        <v>Chêne-Pâquier</v>
      </c>
      <c r="C290" s="10">
        <f>'A) Base RI'!C290+'A) Base RI'!D290</f>
        <v>245857.71000000002</v>
      </c>
      <c r="D290" s="10">
        <f>'A) Base RI'!W290</f>
        <v>-11572.59</v>
      </c>
      <c r="E290" s="397">
        <f>'A) Base RI'!X290</f>
        <v>0</v>
      </c>
      <c r="F290" s="397">
        <f>'A) Base RI'!Y290</f>
        <v>-26.31</v>
      </c>
      <c r="G290" s="405">
        <f t="shared" si="24"/>
        <v>234258.81000000003</v>
      </c>
      <c r="H290" s="10">
        <f>+'A) Base RI'!E290</f>
        <v>0</v>
      </c>
      <c r="I290" s="10">
        <f>+'A) Base RI'!F290</f>
        <v>0</v>
      </c>
      <c r="J290" s="10">
        <f>+'A) Base RI'!G290+'A) Base RI'!H290+'A) Base RI'!I290</f>
        <v>2789.1182481061269</v>
      </c>
      <c r="K290" s="10">
        <f>+'A) Base RI'!J290</f>
        <v>0</v>
      </c>
      <c r="L290" s="10">
        <f>+'A) Base RI'!K290</f>
        <v>11423.69</v>
      </c>
      <c r="M290" s="10">
        <f>+'A) Base RI'!L290</f>
        <v>49.5</v>
      </c>
      <c r="N290" s="10">
        <f>+'A) Base RI'!R290</f>
        <v>0</v>
      </c>
      <c r="O290" s="10">
        <f t="shared" si="25"/>
        <v>18145.099999999999</v>
      </c>
      <c r="P290" s="10">
        <f>+'A) Base RI'!M290</f>
        <v>18145.099999999999</v>
      </c>
      <c r="Q290" s="413">
        <f>'A) Base RI'!Z290</f>
        <v>1</v>
      </c>
      <c r="R290" s="405">
        <f t="shared" si="26"/>
        <v>266666.21824810613</v>
      </c>
      <c r="S290" s="401">
        <f>+'A) Base RI'!U290</f>
        <v>79</v>
      </c>
      <c r="T290" s="405">
        <f t="shared" si="27"/>
        <v>248471.61824810616</v>
      </c>
      <c r="U290" s="405">
        <f t="shared" si="28"/>
        <v>3375.521749976027</v>
      </c>
      <c r="V290" s="10">
        <f>+'A) Base RI'!P290</f>
        <v>0</v>
      </c>
      <c r="W290" s="10">
        <f>+'A) Base RI'!Q290</f>
        <v>148.85</v>
      </c>
      <c r="X290" s="10">
        <f>+'A) Base RI'!S290</f>
        <v>4523.2</v>
      </c>
      <c r="Y290" s="405">
        <f t="shared" si="29"/>
        <v>4672.05</v>
      </c>
      <c r="Z290" s="10">
        <f>+'A) Base RI'!O290</f>
        <v>0</v>
      </c>
      <c r="AA290" s="10">
        <f>'A) Base RI'!V290</f>
        <v>153</v>
      </c>
    </row>
    <row r="291" spans="1:27" x14ac:dyDescent="0.25">
      <c r="A291" s="8">
        <f>'A) Base RI'!A291</f>
        <v>5909</v>
      </c>
      <c r="B291" s="32" t="str">
        <f>'A) Base RI'!B291</f>
        <v>Cheseaux-Noréaz</v>
      </c>
      <c r="C291" s="10">
        <f>'A) Base RI'!C291+'A) Base RI'!D291</f>
        <v>2050782.64</v>
      </c>
      <c r="D291" s="10">
        <f>'A) Base RI'!W291</f>
        <v>-607.57000000000005</v>
      </c>
      <c r="E291" s="397">
        <f>'A) Base RI'!X291</f>
        <v>-5080.1499999999996</v>
      </c>
      <c r="F291" s="397">
        <f>'A) Base RI'!Y291</f>
        <v>-42.92</v>
      </c>
      <c r="G291" s="405">
        <f t="shared" si="24"/>
        <v>2045052</v>
      </c>
      <c r="H291" s="10">
        <f>+'A) Base RI'!E291</f>
        <v>0</v>
      </c>
      <c r="I291" s="10">
        <f>+'A) Base RI'!F291</f>
        <v>0</v>
      </c>
      <c r="J291" s="10">
        <f>+'A) Base RI'!G291+'A) Base RI'!H291+'A) Base RI'!I291</f>
        <v>36581.415307259856</v>
      </c>
      <c r="K291" s="10">
        <f>+'A) Base RI'!J291</f>
        <v>0</v>
      </c>
      <c r="L291" s="10">
        <f>+'A) Base RI'!K291</f>
        <v>20206.29</v>
      </c>
      <c r="M291" s="10">
        <f>+'A) Base RI'!L291</f>
        <v>405.95</v>
      </c>
      <c r="N291" s="10">
        <f>+'A) Base RI'!R291</f>
        <v>0</v>
      </c>
      <c r="O291" s="10">
        <f t="shared" si="25"/>
        <v>161649</v>
      </c>
      <c r="P291" s="10">
        <f>+'A) Base RI'!M291</f>
        <v>161649</v>
      </c>
      <c r="Q291" s="413">
        <f>'A) Base RI'!Z291</f>
        <v>1</v>
      </c>
      <c r="R291" s="405">
        <f t="shared" si="26"/>
        <v>2263894.6553072599</v>
      </c>
      <c r="S291" s="401">
        <f>+'A) Base RI'!U291</f>
        <v>70</v>
      </c>
      <c r="T291" s="405">
        <f t="shared" si="27"/>
        <v>2101839.7053072597</v>
      </c>
      <c r="U291" s="405">
        <f t="shared" si="28"/>
        <v>32341.35221867514</v>
      </c>
      <c r="V291" s="10">
        <f>+'A) Base RI'!P291</f>
        <v>118143.8</v>
      </c>
      <c r="W291" s="10">
        <f>+'A) Base RI'!Q291</f>
        <v>68158.2</v>
      </c>
      <c r="X291" s="10">
        <f>+'A) Base RI'!S291</f>
        <v>32391.15</v>
      </c>
      <c r="Y291" s="405">
        <f t="shared" si="29"/>
        <v>218693.15</v>
      </c>
      <c r="Z291" s="10">
        <f>+'A) Base RI'!O291</f>
        <v>7425.25</v>
      </c>
      <c r="AA291" s="10">
        <f>'A) Base RI'!V291</f>
        <v>725</v>
      </c>
    </row>
    <row r="292" spans="1:27" x14ac:dyDescent="0.25">
      <c r="A292" s="8">
        <f>'A) Base RI'!A292</f>
        <v>5910</v>
      </c>
      <c r="B292" s="32" t="str">
        <f>'A) Base RI'!B292</f>
        <v>Cronay</v>
      </c>
      <c r="C292" s="10">
        <f>'A) Base RI'!C292+'A) Base RI'!D292</f>
        <v>763238.9</v>
      </c>
      <c r="D292" s="10">
        <f>'A) Base RI'!W292</f>
        <v>-30093.55</v>
      </c>
      <c r="E292" s="397">
        <f>'A) Base RI'!X292</f>
        <v>0</v>
      </c>
      <c r="F292" s="397">
        <f>'A) Base RI'!Y292</f>
        <v>0</v>
      </c>
      <c r="G292" s="405">
        <f t="shared" si="24"/>
        <v>733145.35</v>
      </c>
      <c r="H292" s="10">
        <f>+'A) Base RI'!E292</f>
        <v>0</v>
      </c>
      <c r="I292" s="10">
        <f>+'A) Base RI'!F292</f>
        <v>2250</v>
      </c>
      <c r="J292" s="10">
        <f>+'A) Base RI'!G292+'A) Base RI'!H292+'A) Base RI'!I292</f>
        <v>9008.5974978830054</v>
      </c>
      <c r="K292" s="10">
        <f>+'A) Base RI'!J292</f>
        <v>0</v>
      </c>
      <c r="L292" s="10">
        <f>+'A) Base RI'!K292</f>
        <v>9430.1200000000008</v>
      </c>
      <c r="M292" s="10">
        <f>+'A) Base RI'!L292</f>
        <v>0</v>
      </c>
      <c r="N292" s="10">
        <f>+'A) Base RI'!R292</f>
        <v>407.23</v>
      </c>
      <c r="O292" s="10">
        <f t="shared" si="25"/>
        <v>51399.6</v>
      </c>
      <c r="P292" s="10">
        <f>+'A) Base RI'!M292</f>
        <v>51399.6</v>
      </c>
      <c r="Q292" s="413">
        <f>'A) Base RI'!Z292</f>
        <v>1</v>
      </c>
      <c r="R292" s="405">
        <f t="shared" si="26"/>
        <v>805640.89749788295</v>
      </c>
      <c r="S292" s="401">
        <f>+'A) Base RI'!U292</f>
        <v>79</v>
      </c>
      <c r="T292" s="405">
        <f t="shared" si="27"/>
        <v>751991.29749788297</v>
      </c>
      <c r="U292" s="405">
        <f t="shared" si="28"/>
        <v>10197.986044276999</v>
      </c>
      <c r="V292" s="10">
        <f>+'A) Base RI'!P292</f>
        <v>0</v>
      </c>
      <c r="W292" s="10">
        <f>+'A) Base RI'!Q292</f>
        <v>37754.75</v>
      </c>
      <c r="X292" s="10">
        <f>+'A) Base RI'!S292</f>
        <v>115901.2</v>
      </c>
      <c r="Y292" s="405">
        <f t="shared" si="29"/>
        <v>153655.95000000001</v>
      </c>
      <c r="Z292" s="10">
        <f>+'A) Base RI'!O292</f>
        <v>0</v>
      </c>
      <c r="AA292" s="10">
        <f>'A) Base RI'!V292</f>
        <v>394</v>
      </c>
    </row>
    <row r="293" spans="1:27" x14ac:dyDescent="0.25">
      <c r="A293" s="8">
        <f>'A) Base RI'!A293</f>
        <v>5911</v>
      </c>
      <c r="B293" s="32" t="str">
        <f>'A) Base RI'!B293</f>
        <v>Cuarny</v>
      </c>
      <c r="C293" s="10">
        <f>'A) Base RI'!C293+'A) Base RI'!D293</f>
        <v>585448.15</v>
      </c>
      <c r="D293" s="10">
        <f>'A) Base RI'!W293</f>
        <v>-375.86</v>
      </c>
      <c r="E293" s="397">
        <f>'A) Base RI'!X293</f>
        <v>0</v>
      </c>
      <c r="F293" s="397">
        <f>'A) Base RI'!Y293</f>
        <v>-804.23</v>
      </c>
      <c r="G293" s="405">
        <f t="shared" si="24"/>
        <v>584268.06000000006</v>
      </c>
      <c r="H293" s="10">
        <f>+'A) Base RI'!E293</f>
        <v>0</v>
      </c>
      <c r="I293" s="10">
        <f>+'A) Base RI'!F293</f>
        <v>1430</v>
      </c>
      <c r="J293" s="10">
        <f>+'A) Base RI'!G293+'A) Base RI'!H293+'A) Base RI'!I293</f>
        <v>2481.7550137739026</v>
      </c>
      <c r="K293" s="10">
        <f>+'A) Base RI'!J293</f>
        <v>0</v>
      </c>
      <c r="L293" s="10">
        <f>+'A) Base RI'!K293</f>
        <v>-2142.9299999999998</v>
      </c>
      <c r="M293" s="10">
        <f>+'A) Base RI'!L293</f>
        <v>828.65</v>
      </c>
      <c r="N293" s="10">
        <f>+'A) Base RI'!R293</f>
        <v>1.1599999999999999</v>
      </c>
      <c r="O293" s="10">
        <f t="shared" si="25"/>
        <v>32115.5</v>
      </c>
      <c r="P293" s="10">
        <f>+'A) Base RI'!M293</f>
        <v>32115.5</v>
      </c>
      <c r="Q293" s="413">
        <f>'A) Base RI'!Z293</f>
        <v>1</v>
      </c>
      <c r="R293" s="405">
        <f t="shared" si="26"/>
        <v>618982.19501377398</v>
      </c>
      <c r="S293" s="401">
        <f>+'A) Base RI'!U293</f>
        <v>79</v>
      </c>
      <c r="T293" s="405">
        <f t="shared" si="27"/>
        <v>584608.04501377395</v>
      </c>
      <c r="U293" s="405">
        <f t="shared" si="28"/>
        <v>7835.2176584022027</v>
      </c>
      <c r="V293" s="10">
        <f>+'A) Base RI'!P293</f>
        <v>156.1</v>
      </c>
      <c r="W293" s="10">
        <f>+'A) Base RI'!Q293</f>
        <v>0</v>
      </c>
      <c r="X293" s="10">
        <f>+'A) Base RI'!S293</f>
        <v>-16334.75</v>
      </c>
      <c r="Y293" s="405">
        <f t="shared" si="29"/>
        <v>-16178.65</v>
      </c>
      <c r="Z293" s="10">
        <f>+'A) Base RI'!O293</f>
        <v>1459.15</v>
      </c>
      <c r="AA293" s="10">
        <f>'A) Base RI'!V293</f>
        <v>239</v>
      </c>
    </row>
    <row r="294" spans="1:27" x14ac:dyDescent="0.25">
      <c r="A294" s="8">
        <f>'A) Base RI'!A294</f>
        <v>5912</v>
      </c>
      <c r="B294" s="32" t="str">
        <f>'A) Base RI'!B294</f>
        <v>Démoret</v>
      </c>
      <c r="C294" s="10">
        <f>'A) Base RI'!C294+'A) Base RI'!D294</f>
        <v>297707.59000000003</v>
      </c>
      <c r="D294" s="10">
        <f>'A) Base RI'!W294</f>
        <v>-1465.79</v>
      </c>
      <c r="E294" s="397">
        <f>'A) Base RI'!X294</f>
        <v>0</v>
      </c>
      <c r="F294" s="397">
        <f>'A) Base RI'!Y294</f>
        <v>0</v>
      </c>
      <c r="G294" s="405">
        <f t="shared" si="24"/>
        <v>296241.80000000005</v>
      </c>
      <c r="H294" s="10">
        <f>+'A) Base RI'!E294</f>
        <v>0</v>
      </c>
      <c r="I294" s="10">
        <f>+'A) Base RI'!F294</f>
        <v>0</v>
      </c>
      <c r="J294" s="10">
        <f>+'A) Base RI'!G294+'A) Base RI'!H294+'A) Base RI'!I294</f>
        <v>307.41965195967163</v>
      </c>
      <c r="K294" s="10">
        <f>+'A) Base RI'!J294</f>
        <v>0</v>
      </c>
      <c r="L294" s="10">
        <f>+'A) Base RI'!K294</f>
        <v>4037.7</v>
      </c>
      <c r="M294" s="10">
        <f>+'A) Base RI'!L294</f>
        <v>0</v>
      </c>
      <c r="N294" s="10">
        <f>+'A) Base RI'!R294</f>
        <v>0</v>
      </c>
      <c r="O294" s="10">
        <f t="shared" si="25"/>
        <v>20443.5</v>
      </c>
      <c r="P294" s="10">
        <f>+'A) Base RI'!M294</f>
        <v>20443.5</v>
      </c>
      <c r="Q294" s="413">
        <f>'A) Base RI'!Z294</f>
        <v>1</v>
      </c>
      <c r="R294" s="405">
        <f t="shared" si="26"/>
        <v>321030.41965195973</v>
      </c>
      <c r="S294" s="401">
        <f>+'A) Base RI'!U294</f>
        <v>81</v>
      </c>
      <c r="T294" s="405">
        <f t="shared" si="27"/>
        <v>300586.91965195973</v>
      </c>
      <c r="U294" s="405">
        <f t="shared" si="28"/>
        <v>3963.3385142217253</v>
      </c>
      <c r="V294" s="10">
        <f>+'A) Base RI'!P294</f>
        <v>0</v>
      </c>
      <c r="W294" s="10">
        <f>+'A) Base RI'!Q294</f>
        <v>0</v>
      </c>
      <c r="X294" s="10">
        <f>+'A) Base RI'!S294</f>
        <v>0</v>
      </c>
      <c r="Y294" s="405">
        <f t="shared" si="29"/>
        <v>0</v>
      </c>
      <c r="Z294" s="10">
        <f>+'A) Base RI'!O294</f>
        <v>0</v>
      </c>
      <c r="AA294" s="10">
        <f>'A) Base RI'!V294</f>
        <v>156</v>
      </c>
    </row>
    <row r="295" spans="1:27" x14ac:dyDescent="0.25">
      <c r="A295" s="8">
        <f>'A) Base RI'!A295</f>
        <v>5913</v>
      </c>
      <c r="B295" s="32" t="str">
        <f>'A) Base RI'!B295</f>
        <v>Donneloye</v>
      </c>
      <c r="C295" s="10">
        <f>'A) Base RI'!C295+'A) Base RI'!D295</f>
        <v>1438530.95</v>
      </c>
      <c r="D295" s="10">
        <f>'A) Base RI'!W295</f>
        <v>-8026.96</v>
      </c>
      <c r="E295" s="397">
        <f>'A) Base RI'!X295</f>
        <v>0</v>
      </c>
      <c r="F295" s="397">
        <f>'A) Base RI'!Y295</f>
        <v>-644.23</v>
      </c>
      <c r="G295" s="405">
        <f t="shared" si="24"/>
        <v>1429859.76</v>
      </c>
      <c r="H295" s="10">
        <f>+'A) Base RI'!E295</f>
        <v>0</v>
      </c>
      <c r="I295" s="10">
        <f>+'A) Base RI'!F295</f>
        <v>0</v>
      </c>
      <c r="J295" s="10">
        <f>+'A) Base RI'!G295+'A) Base RI'!H295+'A) Base RI'!I295</f>
        <v>10596.584457638715</v>
      </c>
      <c r="K295" s="10">
        <f>+'A) Base RI'!J295</f>
        <v>0</v>
      </c>
      <c r="L295" s="10">
        <f>+'A) Base RI'!K295</f>
        <v>16839.669999999998</v>
      </c>
      <c r="M295" s="10">
        <f>+'A) Base RI'!L295</f>
        <v>-192.35</v>
      </c>
      <c r="N295" s="10">
        <f>+'A) Base RI'!R295</f>
        <v>733.13</v>
      </c>
      <c r="O295" s="10">
        <f t="shared" si="25"/>
        <v>116046.95</v>
      </c>
      <c r="P295" s="10">
        <f>+'A) Base RI'!M295</f>
        <v>116046.95</v>
      </c>
      <c r="Q295" s="413">
        <f>'A) Base RI'!Z295</f>
        <v>1</v>
      </c>
      <c r="R295" s="405">
        <f t="shared" si="26"/>
        <v>1573883.7444576384</v>
      </c>
      <c r="S295" s="401">
        <f>+'A) Base RI'!U295</f>
        <v>73</v>
      </c>
      <c r="T295" s="405">
        <f t="shared" si="27"/>
        <v>1458029.1444576385</v>
      </c>
      <c r="U295" s="405">
        <f t="shared" si="28"/>
        <v>21560.051293940251</v>
      </c>
      <c r="V295" s="10">
        <f>+'A) Base RI'!P295</f>
        <v>3118.5</v>
      </c>
      <c r="W295" s="10">
        <f>+'A) Base RI'!Q295</f>
        <v>63673.45</v>
      </c>
      <c r="X295" s="10">
        <f>+'A) Base RI'!S295</f>
        <v>84557.1</v>
      </c>
      <c r="Y295" s="405">
        <f t="shared" si="29"/>
        <v>151349.04999999999</v>
      </c>
      <c r="Z295" s="10">
        <f>+'A) Base RI'!O295</f>
        <v>24516.1</v>
      </c>
      <c r="AA295" s="10">
        <f>'A) Base RI'!V295</f>
        <v>823</v>
      </c>
    </row>
    <row r="296" spans="1:27" x14ac:dyDescent="0.25">
      <c r="A296" s="8">
        <f>'A) Base RI'!A296</f>
        <v>5914</v>
      </c>
      <c r="B296" s="32" t="str">
        <f>'A) Base RI'!B296</f>
        <v>Ependes</v>
      </c>
      <c r="C296" s="10">
        <f>'A) Base RI'!C296+'A) Base RI'!D296</f>
        <v>682591.7</v>
      </c>
      <c r="D296" s="10">
        <f>'A) Base RI'!W296</f>
        <v>-13781.15</v>
      </c>
      <c r="E296" s="397">
        <f>'A) Base RI'!X296</f>
        <v>0</v>
      </c>
      <c r="F296" s="397">
        <f>'A) Base RI'!Y296</f>
        <v>0</v>
      </c>
      <c r="G296" s="405">
        <f t="shared" si="24"/>
        <v>668810.54999999993</v>
      </c>
      <c r="H296" s="10">
        <f>+'A) Base RI'!E296</f>
        <v>0</v>
      </c>
      <c r="I296" s="10">
        <f>+'A) Base RI'!F296</f>
        <v>2120</v>
      </c>
      <c r="J296" s="10">
        <f>+'A) Base RI'!G296+'A) Base RI'!H296+'A) Base RI'!I296</f>
        <v>20746.566976405571</v>
      </c>
      <c r="K296" s="10">
        <f>+'A) Base RI'!J296</f>
        <v>0</v>
      </c>
      <c r="L296" s="10">
        <f>+'A) Base RI'!K296</f>
        <v>10620.09</v>
      </c>
      <c r="M296" s="10">
        <f>+'A) Base RI'!L296</f>
        <v>2894.6</v>
      </c>
      <c r="N296" s="10">
        <f>+'A) Base RI'!R296</f>
        <v>0</v>
      </c>
      <c r="O296" s="10">
        <f t="shared" si="25"/>
        <v>53812.65</v>
      </c>
      <c r="P296" s="10">
        <f>+'A) Base RI'!M296</f>
        <v>53812.65</v>
      </c>
      <c r="Q296" s="413">
        <f>'A) Base RI'!Z296</f>
        <v>1</v>
      </c>
      <c r="R296" s="405">
        <f t="shared" si="26"/>
        <v>759004.45697640546</v>
      </c>
      <c r="S296" s="401">
        <f>+'A) Base RI'!U296</f>
        <v>75</v>
      </c>
      <c r="T296" s="405">
        <f t="shared" si="27"/>
        <v>700177.20697640546</v>
      </c>
      <c r="U296" s="405">
        <f t="shared" si="28"/>
        <v>10120.059426352072</v>
      </c>
      <c r="V296" s="10">
        <f>+'A) Base RI'!P296</f>
        <v>0</v>
      </c>
      <c r="W296" s="10">
        <f>+'A) Base RI'!Q296</f>
        <v>17616.8</v>
      </c>
      <c r="X296" s="10">
        <f>+'A) Base RI'!S296</f>
        <v>4520.8500000000004</v>
      </c>
      <c r="Y296" s="405">
        <f t="shared" si="29"/>
        <v>22137.65</v>
      </c>
      <c r="Z296" s="10">
        <f>+'A) Base RI'!O296</f>
        <v>561.9</v>
      </c>
      <c r="AA296" s="10">
        <f>'A) Base RI'!V296</f>
        <v>357</v>
      </c>
    </row>
    <row r="297" spans="1:27" x14ac:dyDescent="0.25">
      <c r="A297" s="8">
        <f>'A) Base RI'!A297</f>
        <v>5919</v>
      </c>
      <c r="B297" s="32" t="str">
        <f>'A) Base RI'!B297</f>
        <v>Mathod</v>
      </c>
      <c r="C297" s="10">
        <f>'A) Base RI'!C297+'A) Base RI'!D297</f>
        <v>1095416.69</v>
      </c>
      <c r="D297" s="10">
        <f>'A) Base RI'!W297</f>
        <v>-20763.830000000002</v>
      </c>
      <c r="E297" s="397">
        <f>'A) Base RI'!X297</f>
        <v>0</v>
      </c>
      <c r="F297" s="397">
        <f>'A) Base RI'!Y297</f>
        <v>-102.96</v>
      </c>
      <c r="G297" s="405">
        <f t="shared" si="24"/>
        <v>1074549.8999999999</v>
      </c>
      <c r="H297" s="10">
        <f>+'A) Base RI'!E297</f>
        <v>0</v>
      </c>
      <c r="I297" s="10">
        <f>+'A) Base RI'!F297</f>
        <v>3620</v>
      </c>
      <c r="J297" s="10">
        <f>+'A) Base RI'!G297+'A) Base RI'!H297+'A) Base RI'!I297</f>
        <v>28060.661033912595</v>
      </c>
      <c r="K297" s="10">
        <f>+'A) Base RI'!J297</f>
        <v>0</v>
      </c>
      <c r="L297" s="10">
        <f>+'A) Base RI'!K297</f>
        <v>14666.37</v>
      </c>
      <c r="M297" s="10">
        <f>+'A) Base RI'!L297</f>
        <v>9935.2000000000007</v>
      </c>
      <c r="N297" s="10">
        <f>+'A) Base RI'!R297</f>
        <v>11563.69</v>
      </c>
      <c r="O297" s="10">
        <f t="shared" si="25"/>
        <v>112157.58333333334</v>
      </c>
      <c r="P297" s="10">
        <f>+'A) Base RI'!M297</f>
        <v>134589.1</v>
      </c>
      <c r="Q297" s="413">
        <f>'A) Base RI'!Z297</f>
        <v>1.2</v>
      </c>
      <c r="R297" s="405">
        <f t="shared" si="26"/>
        <v>1254553.4043672457</v>
      </c>
      <c r="S297" s="401">
        <f>+'A) Base RI'!U297</f>
        <v>72</v>
      </c>
      <c r="T297" s="405">
        <f t="shared" si="27"/>
        <v>1128840.6210339125</v>
      </c>
      <c r="U297" s="405">
        <f t="shared" si="28"/>
        <v>17424.35283843397</v>
      </c>
      <c r="V297" s="10">
        <f>+'A) Base RI'!P297</f>
        <v>0</v>
      </c>
      <c r="W297" s="10">
        <f>+'A) Base RI'!Q297</f>
        <v>49362.7</v>
      </c>
      <c r="X297" s="10">
        <f>+'A) Base RI'!S297</f>
        <v>8979.65</v>
      </c>
      <c r="Y297" s="405">
        <f t="shared" si="29"/>
        <v>58342.35</v>
      </c>
      <c r="Z297" s="10">
        <f>+'A) Base RI'!O297</f>
        <v>4963.05</v>
      </c>
      <c r="AA297" s="10">
        <f>'A) Base RI'!V297</f>
        <v>601</v>
      </c>
    </row>
    <row r="298" spans="1:27" x14ac:dyDescent="0.25">
      <c r="A298" s="8">
        <f>'A) Base RI'!A298</f>
        <v>5921</v>
      </c>
      <c r="B298" s="32" t="str">
        <f>'A) Base RI'!B298</f>
        <v>Molondin</v>
      </c>
      <c r="C298" s="10">
        <f>'A) Base RI'!C298+'A) Base RI'!D298</f>
        <v>377672.13</v>
      </c>
      <c r="D298" s="10">
        <f>'A) Base RI'!W298</f>
        <v>-366.93</v>
      </c>
      <c r="E298" s="397">
        <f>'A) Base RI'!X298</f>
        <v>0</v>
      </c>
      <c r="F298" s="397">
        <f>'A) Base RI'!Y298</f>
        <v>-0.19</v>
      </c>
      <c r="G298" s="405">
        <f t="shared" si="24"/>
        <v>377305.01</v>
      </c>
      <c r="H298" s="10">
        <f>+'A) Base RI'!E298</f>
        <v>0</v>
      </c>
      <c r="I298" s="10">
        <f>+'A) Base RI'!F298</f>
        <v>0</v>
      </c>
      <c r="J298" s="10">
        <f>+'A) Base RI'!G298+'A) Base RI'!H298+'A) Base RI'!I298</f>
        <v>25085.815956250357</v>
      </c>
      <c r="K298" s="10">
        <f>+'A) Base RI'!J298</f>
        <v>0</v>
      </c>
      <c r="L298" s="10">
        <f>+'A) Base RI'!K298</f>
        <v>20897.88</v>
      </c>
      <c r="M298" s="10">
        <f>+'A) Base RI'!L298</f>
        <v>0</v>
      </c>
      <c r="N298" s="10">
        <f>+'A) Base RI'!R298</f>
        <v>2228.85</v>
      </c>
      <c r="O298" s="10">
        <f t="shared" si="25"/>
        <v>31965.25</v>
      </c>
      <c r="P298" s="10">
        <f>+'A) Base RI'!M298</f>
        <v>31965.25</v>
      </c>
      <c r="Q298" s="413">
        <f>'A) Base RI'!Z298</f>
        <v>1</v>
      </c>
      <c r="R298" s="405">
        <f t="shared" si="26"/>
        <v>457482.80595625035</v>
      </c>
      <c r="S298" s="401">
        <f>+'A) Base RI'!U298</f>
        <v>81</v>
      </c>
      <c r="T298" s="405">
        <f t="shared" si="27"/>
        <v>425517.55595625035</v>
      </c>
      <c r="U298" s="405">
        <f t="shared" si="28"/>
        <v>5647.9358760030909</v>
      </c>
      <c r="V298" s="10">
        <f>+'A) Base RI'!P298</f>
        <v>74.7</v>
      </c>
      <c r="W298" s="10">
        <f>+'A) Base RI'!Q298</f>
        <v>15563.9</v>
      </c>
      <c r="X298" s="10">
        <f>+'A) Base RI'!S298</f>
        <v>27571.7</v>
      </c>
      <c r="Y298" s="405">
        <f t="shared" si="29"/>
        <v>43210.3</v>
      </c>
      <c r="Z298" s="10">
        <f>+'A) Base RI'!O298</f>
        <v>0</v>
      </c>
      <c r="AA298" s="10">
        <f>'A) Base RI'!V298</f>
        <v>240</v>
      </c>
    </row>
    <row r="299" spans="1:27" x14ac:dyDescent="0.25">
      <c r="A299" s="8">
        <f>'A) Base RI'!A299</f>
        <v>5922</v>
      </c>
      <c r="B299" s="32" t="str">
        <f>'A) Base RI'!B299</f>
        <v>Montagny-près-Yverdon</v>
      </c>
      <c r="C299" s="10">
        <f>'A) Base RI'!C299+'A) Base RI'!D299</f>
        <v>1613328.31</v>
      </c>
      <c r="D299" s="10">
        <f>'A) Base RI'!W299</f>
        <v>-22200.68</v>
      </c>
      <c r="E299" s="397">
        <f>'A) Base RI'!X299</f>
        <v>0</v>
      </c>
      <c r="F299" s="397">
        <f>'A) Base RI'!Y299</f>
        <v>-227.57</v>
      </c>
      <c r="G299" s="405">
        <f t="shared" si="24"/>
        <v>1590900.06</v>
      </c>
      <c r="H299" s="10">
        <f>+'A) Base RI'!E299</f>
        <v>0</v>
      </c>
      <c r="I299" s="10">
        <f>+'A) Base RI'!F299</f>
        <v>0</v>
      </c>
      <c r="J299" s="10">
        <f>+'A) Base RI'!G299+'A) Base RI'!H299+'A) Base RI'!I299</f>
        <v>304491.91560092778</v>
      </c>
      <c r="K299" s="10">
        <f>+'A) Base RI'!J299</f>
        <v>0</v>
      </c>
      <c r="L299" s="10">
        <f>+'A) Base RI'!K299</f>
        <v>53659.53</v>
      </c>
      <c r="M299" s="10">
        <f>+'A) Base RI'!L299</f>
        <v>65060.55</v>
      </c>
      <c r="N299" s="10">
        <f>+'A) Base RI'!R299</f>
        <v>0</v>
      </c>
      <c r="O299" s="10">
        <f t="shared" si="25"/>
        <v>324878.0625</v>
      </c>
      <c r="P299" s="10">
        <f>+'A) Base RI'!M299</f>
        <v>259902.45</v>
      </c>
      <c r="Q299" s="413">
        <f>'A) Base RI'!Z299</f>
        <v>0.8</v>
      </c>
      <c r="R299" s="405">
        <f t="shared" si="26"/>
        <v>2338990.1181009281</v>
      </c>
      <c r="S299" s="401">
        <f>+'A) Base RI'!U299</f>
        <v>65</v>
      </c>
      <c r="T299" s="405">
        <f t="shared" si="27"/>
        <v>1949051.5056009279</v>
      </c>
      <c r="U299" s="405">
        <f t="shared" si="28"/>
        <v>35984.463355398897</v>
      </c>
      <c r="V299" s="10">
        <f>+'A) Base RI'!P299</f>
        <v>11035.2</v>
      </c>
      <c r="W299" s="10">
        <f>+'A) Base RI'!Q299</f>
        <v>151526.65</v>
      </c>
      <c r="X299" s="10">
        <f>+'A) Base RI'!S299</f>
        <v>45928.65</v>
      </c>
      <c r="Y299" s="405">
        <f t="shared" si="29"/>
        <v>208490.5</v>
      </c>
      <c r="Z299" s="10">
        <f>+'A) Base RI'!O299</f>
        <v>195665</v>
      </c>
      <c r="AA299" s="10">
        <f>'A) Base RI'!V299</f>
        <v>747</v>
      </c>
    </row>
    <row r="300" spans="1:27" x14ac:dyDescent="0.25">
      <c r="A300" s="8">
        <f>'A) Base RI'!A300</f>
        <v>5923</v>
      </c>
      <c r="B300" s="32" t="str">
        <f>'A) Base RI'!B300</f>
        <v>Oppens</v>
      </c>
      <c r="C300" s="10">
        <f>'A) Base RI'!C300+'A) Base RI'!D300</f>
        <v>388161.82</v>
      </c>
      <c r="D300" s="10">
        <f>'A) Base RI'!W300</f>
        <v>-6064.4</v>
      </c>
      <c r="E300" s="397">
        <f>'A) Base RI'!X300</f>
        <v>0</v>
      </c>
      <c r="F300" s="397">
        <f>'A) Base RI'!Y300</f>
        <v>0</v>
      </c>
      <c r="G300" s="405">
        <f t="shared" si="24"/>
        <v>382097.42</v>
      </c>
      <c r="H300" s="10">
        <f>+'A) Base RI'!E300</f>
        <v>0</v>
      </c>
      <c r="I300" s="10">
        <f>+'A) Base RI'!F300</f>
        <v>0</v>
      </c>
      <c r="J300" s="10">
        <f>+'A) Base RI'!G300+'A) Base RI'!H300+'A) Base RI'!I300</f>
        <v>4302.4082691217764</v>
      </c>
      <c r="K300" s="10">
        <f>+'A) Base RI'!J300</f>
        <v>0</v>
      </c>
      <c r="L300" s="10">
        <f>+'A) Base RI'!K300</f>
        <v>24338.29</v>
      </c>
      <c r="M300" s="10">
        <f>+'A) Base RI'!L300</f>
        <v>0</v>
      </c>
      <c r="N300" s="10">
        <f>+'A) Base RI'!R300</f>
        <v>0</v>
      </c>
      <c r="O300" s="10">
        <f t="shared" si="25"/>
        <v>25830</v>
      </c>
      <c r="P300" s="10">
        <f>+'A) Base RI'!M300</f>
        <v>25830</v>
      </c>
      <c r="Q300" s="413">
        <f>'A) Base RI'!Z300</f>
        <v>1</v>
      </c>
      <c r="R300" s="405">
        <f t="shared" si="26"/>
        <v>436568.11826912174</v>
      </c>
      <c r="S300" s="401">
        <f>+'A) Base RI'!U300</f>
        <v>81</v>
      </c>
      <c r="T300" s="405">
        <f t="shared" si="27"/>
        <v>410738.11826912174</v>
      </c>
      <c r="U300" s="405">
        <f t="shared" si="28"/>
        <v>5389.7298551743424</v>
      </c>
      <c r="V300" s="10">
        <f>+'A) Base RI'!P300</f>
        <v>0</v>
      </c>
      <c r="W300" s="10">
        <f>+'A) Base RI'!Q300</f>
        <v>7774.8</v>
      </c>
      <c r="X300" s="10">
        <f>+'A) Base RI'!S300</f>
        <v>9012</v>
      </c>
      <c r="Y300" s="405">
        <f t="shared" si="29"/>
        <v>16786.8</v>
      </c>
      <c r="Z300" s="10">
        <f>+'A) Base RI'!O300</f>
        <v>19625.8</v>
      </c>
      <c r="AA300" s="10">
        <f>'A) Base RI'!V300</f>
        <v>202</v>
      </c>
    </row>
    <row r="301" spans="1:27" x14ac:dyDescent="0.25">
      <c r="A301" s="8">
        <f>'A) Base RI'!A301</f>
        <v>5924</v>
      </c>
      <c r="B301" s="32" t="str">
        <f>'A) Base RI'!B301</f>
        <v>Orges</v>
      </c>
      <c r="C301" s="10">
        <f>'A) Base RI'!C301+'A) Base RI'!D301</f>
        <v>792350.75</v>
      </c>
      <c r="D301" s="10">
        <f>'A) Base RI'!W301</f>
        <v>-509.78</v>
      </c>
      <c r="E301" s="397">
        <f>'A) Base RI'!X301</f>
        <v>0</v>
      </c>
      <c r="F301" s="397">
        <f>'A) Base RI'!Y301</f>
        <v>-36.28</v>
      </c>
      <c r="G301" s="405">
        <f t="shared" si="24"/>
        <v>791804.69</v>
      </c>
      <c r="H301" s="10">
        <f>+'A) Base RI'!E301</f>
        <v>0</v>
      </c>
      <c r="I301" s="10">
        <f>+'A) Base RI'!F301</f>
        <v>0</v>
      </c>
      <c r="J301" s="10">
        <f>+'A) Base RI'!G301+'A) Base RI'!H301+'A) Base RI'!I301</f>
        <v>22645.527898650129</v>
      </c>
      <c r="K301" s="10">
        <f>+'A) Base RI'!J301</f>
        <v>0</v>
      </c>
      <c r="L301" s="10">
        <f>+'A) Base RI'!K301</f>
        <v>10428.48</v>
      </c>
      <c r="M301" s="10">
        <f>+'A) Base RI'!L301</f>
        <v>0</v>
      </c>
      <c r="N301" s="10">
        <f>+'A) Base RI'!R301</f>
        <v>35.67</v>
      </c>
      <c r="O301" s="10">
        <f t="shared" si="25"/>
        <v>53155.75</v>
      </c>
      <c r="P301" s="10">
        <f>+'A) Base RI'!M301</f>
        <v>53155.75</v>
      </c>
      <c r="Q301" s="413">
        <f>'A) Base RI'!Z301</f>
        <v>1</v>
      </c>
      <c r="R301" s="405">
        <f t="shared" si="26"/>
        <v>878070.11789865012</v>
      </c>
      <c r="S301" s="401">
        <f>+'A) Base RI'!U301</f>
        <v>74</v>
      </c>
      <c r="T301" s="405">
        <f t="shared" si="27"/>
        <v>824914.36789865012</v>
      </c>
      <c r="U301" s="405">
        <f t="shared" si="28"/>
        <v>11865.812404035813</v>
      </c>
      <c r="V301" s="10">
        <f>+'A) Base RI'!P301</f>
        <v>46797.9</v>
      </c>
      <c r="W301" s="10">
        <f>+'A) Base RI'!Q301</f>
        <v>24429.15</v>
      </c>
      <c r="X301" s="10">
        <f>+'A) Base RI'!S301</f>
        <v>18006.400000000001</v>
      </c>
      <c r="Y301" s="405">
        <f t="shared" si="29"/>
        <v>89233.450000000012</v>
      </c>
      <c r="Z301" s="10">
        <f>+'A) Base RI'!O301</f>
        <v>10554.8</v>
      </c>
      <c r="AA301" s="10">
        <f>'A) Base RI'!V301</f>
        <v>332</v>
      </c>
    </row>
    <row r="302" spans="1:27" x14ac:dyDescent="0.25">
      <c r="A302" s="8">
        <f>'A) Base RI'!A302</f>
        <v>5925</v>
      </c>
      <c r="B302" s="32" t="str">
        <f>'A) Base RI'!B302</f>
        <v>Orzens</v>
      </c>
      <c r="C302" s="10">
        <f>'A) Base RI'!C302+'A) Base RI'!D302</f>
        <v>390112.28</v>
      </c>
      <c r="D302" s="10">
        <f>'A) Base RI'!W302</f>
        <v>-9901.7900000000009</v>
      </c>
      <c r="E302" s="397">
        <f>'A) Base RI'!X302</f>
        <v>0</v>
      </c>
      <c r="F302" s="397">
        <f>'A) Base RI'!Y302</f>
        <v>0</v>
      </c>
      <c r="G302" s="405">
        <f t="shared" si="24"/>
        <v>380210.49000000005</v>
      </c>
      <c r="H302" s="10">
        <f>+'A) Base RI'!E302</f>
        <v>0</v>
      </c>
      <c r="I302" s="10">
        <f>+'A) Base RI'!F302</f>
        <v>1190</v>
      </c>
      <c r="J302" s="10">
        <f>+'A) Base RI'!G302+'A) Base RI'!H302+'A) Base RI'!I302</f>
        <v>2378.8492613102503</v>
      </c>
      <c r="K302" s="10">
        <f>+'A) Base RI'!J302</f>
        <v>0</v>
      </c>
      <c r="L302" s="10">
        <f>+'A) Base RI'!K302</f>
        <v>7626.19</v>
      </c>
      <c r="M302" s="10">
        <f>+'A) Base RI'!L302</f>
        <v>0</v>
      </c>
      <c r="N302" s="10">
        <f>+'A) Base RI'!R302</f>
        <v>0</v>
      </c>
      <c r="O302" s="10">
        <f t="shared" si="25"/>
        <v>30671.1</v>
      </c>
      <c r="P302" s="10">
        <f>+'A) Base RI'!M302</f>
        <v>30671.1</v>
      </c>
      <c r="Q302" s="413">
        <f>'A) Base RI'!Z302</f>
        <v>1</v>
      </c>
      <c r="R302" s="405">
        <f t="shared" si="26"/>
        <v>422076.62926131027</v>
      </c>
      <c r="S302" s="401">
        <f>+'A) Base RI'!U302</f>
        <v>79</v>
      </c>
      <c r="T302" s="405">
        <f t="shared" si="27"/>
        <v>390215.52926131029</v>
      </c>
      <c r="U302" s="405">
        <f t="shared" si="28"/>
        <v>5342.7421425482316</v>
      </c>
      <c r="V302" s="10">
        <f>+'A) Base RI'!P302</f>
        <v>20179.5</v>
      </c>
      <c r="W302" s="10">
        <f>+'A) Base RI'!Q302</f>
        <v>52571.75</v>
      </c>
      <c r="X302" s="10">
        <f>+'A) Base RI'!S302</f>
        <v>112526.85</v>
      </c>
      <c r="Y302" s="405">
        <f t="shared" si="29"/>
        <v>185278.1</v>
      </c>
      <c r="Z302" s="10">
        <f>+'A) Base RI'!O302</f>
        <v>9065.0499999999993</v>
      </c>
      <c r="AA302" s="10">
        <f>'A) Base RI'!V302</f>
        <v>208</v>
      </c>
    </row>
    <row r="303" spans="1:27" x14ac:dyDescent="0.25">
      <c r="A303" s="8">
        <f>'A) Base RI'!A303</f>
        <v>5926</v>
      </c>
      <c r="B303" s="32" t="str">
        <f>'A) Base RI'!B303</f>
        <v>Pomy</v>
      </c>
      <c r="C303" s="10">
        <f>'A) Base RI'!C303+'A) Base RI'!D303</f>
        <v>1788676.5</v>
      </c>
      <c r="D303" s="10">
        <f>'A) Base RI'!W303</f>
        <v>-5221.0200000000004</v>
      </c>
      <c r="E303" s="397">
        <f>'A) Base RI'!X303</f>
        <v>0</v>
      </c>
      <c r="F303" s="397">
        <f>'A) Base RI'!Y303</f>
        <v>-269.63</v>
      </c>
      <c r="G303" s="405">
        <f t="shared" si="24"/>
        <v>1783185.85</v>
      </c>
      <c r="H303" s="10">
        <f>+'A) Base RI'!E303</f>
        <v>0</v>
      </c>
      <c r="I303" s="10">
        <f>+'A) Base RI'!F303</f>
        <v>0</v>
      </c>
      <c r="J303" s="10">
        <f>+'A) Base RI'!G303+'A) Base RI'!H303+'A) Base RI'!I303</f>
        <v>28741.903885337266</v>
      </c>
      <c r="K303" s="10">
        <f>+'A) Base RI'!J303</f>
        <v>0</v>
      </c>
      <c r="L303" s="10">
        <f>+'A) Base RI'!K303</f>
        <v>15937.63</v>
      </c>
      <c r="M303" s="10">
        <f>+'A) Base RI'!L303</f>
        <v>0</v>
      </c>
      <c r="N303" s="10">
        <f>+'A) Base RI'!R303</f>
        <v>1953.87</v>
      </c>
      <c r="O303" s="10">
        <f t="shared" si="25"/>
        <v>121418</v>
      </c>
      <c r="P303" s="10">
        <f>+'A) Base RI'!M303</f>
        <v>121418</v>
      </c>
      <c r="Q303" s="413">
        <f>'A) Base RI'!Z303</f>
        <v>1</v>
      </c>
      <c r="R303" s="405">
        <f t="shared" si="26"/>
        <v>1951237.2538853374</v>
      </c>
      <c r="S303" s="401">
        <f>+'A) Base RI'!U303</f>
        <v>71</v>
      </c>
      <c r="T303" s="405">
        <f t="shared" si="27"/>
        <v>1829819.2538853374</v>
      </c>
      <c r="U303" s="405">
        <f t="shared" si="28"/>
        <v>27482.214843455455</v>
      </c>
      <c r="V303" s="10">
        <f>+'A) Base RI'!P303</f>
        <v>58866.1</v>
      </c>
      <c r="W303" s="10">
        <f>+'A) Base RI'!Q303</f>
        <v>15070</v>
      </c>
      <c r="X303" s="10">
        <f>+'A) Base RI'!S303</f>
        <v>19061.400000000001</v>
      </c>
      <c r="Y303" s="405">
        <f t="shared" si="29"/>
        <v>92997.5</v>
      </c>
      <c r="Z303" s="10">
        <f>+'A) Base RI'!O303</f>
        <v>2452.3000000000002</v>
      </c>
      <c r="AA303" s="10">
        <f>'A) Base RI'!V303</f>
        <v>793</v>
      </c>
    </row>
    <row r="304" spans="1:27" x14ac:dyDescent="0.25">
      <c r="A304" s="8">
        <f>'A) Base RI'!A304</f>
        <v>5928</v>
      </c>
      <c r="B304" s="32" t="str">
        <f>'A) Base RI'!B304</f>
        <v>Rovray</v>
      </c>
      <c r="C304" s="10">
        <f>'A) Base RI'!C304+'A) Base RI'!D304</f>
        <v>408867.41</v>
      </c>
      <c r="D304" s="10">
        <f>'A) Base RI'!W304</f>
        <v>-9350.0400000000009</v>
      </c>
      <c r="E304" s="397">
        <f>'A) Base RI'!X304</f>
        <v>0</v>
      </c>
      <c r="F304" s="397">
        <f>'A) Base RI'!Y304</f>
        <v>-13.5</v>
      </c>
      <c r="G304" s="405">
        <f t="shared" si="24"/>
        <v>399503.87</v>
      </c>
      <c r="H304" s="10">
        <f>+'A) Base RI'!E304</f>
        <v>0</v>
      </c>
      <c r="I304" s="10">
        <f>+'A) Base RI'!F304</f>
        <v>0</v>
      </c>
      <c r="J304" s="10">
        <f>+'A) Base RI'!G304+'A) Base RI'!H304+'A) Base RI'!I304</f>
        <v>3287.7372394842841</v>
      </c>
      <c r="K304" s="10">
        <f>+'A) Base RI'!J304</f>
        <v>0</v>
      </c>
      <c r="L304" s="10">
        <f>+'A) Base RI'!K304</f>
        <v>8610.8799999999992</v>
      </c>
      <c r="M304" s="10">
        <f>+'A) Base RI'!L304</f>
        <v>0</v>
      </c>
      <c r="N304" s="10">
        <f>+'A) Base RI'!R304</f>
        <v>3860.41</v>
      </c>
      <c r="O304" s="10">
        <f t="shared" si="25"/>
        <v>22963</v>
      </c>
      <c r="P304" s="10">
        <f>+'A) Base RI'!M304</f>
        <v>22963</v>
      </c>
      <c r="Q304" s="413">
        <f>'A) Base RI'!Z304</f>
        <v>1</v>
      </c>
      <c r="R304" s="405">
        <f t="shared" si="26"/>
        <v>438225.89723948424</v>
      </c>
      <c r="S304" s="401">
        <f>+'A) Base RI'!U304</f>
        <v>73</v>
      </c>
      <c r="T304" s="405">
        <f t="shared" si="27"/>
        <v>415262.89723948424</v>
      </c>
      <c r="U304" s="405">
        <f t="shared" si="28"/>
        <v>6003.0944827326612</v>
      </c>
      <c r="V304" s="10">
        <f>+'A) Base RI'!P304</f>
        <v>23831.3</v>
      </c>
      <c r="W304" s="10">
        <f>+'A) Base RI'!Q304</f>
        <v>10735.2</v>
      </c>
      <c r="X304" s="10">
        <f>+'A) Base RI'!S304</f>
        <v>20592.400000000001</v>
      </c>
      <c r="Y304" s="405">
        <f t="shared" si="29"/>
        <v>55158.9</v>
      </c>
      <c r="Z304" s="10">
        <f>+'A) Base RI'!O304</f>
        <v>3733</v>
      </c>
      <c r="AA304" s="10">
        <f>'A) Base RI'!V304</f>
        <v>185</v>
      </c>
    </row>
    <row r="305" spans="1:27" x14ac:dyDescent="0.25">
      <c r="A305" s="8">
        <f>'A) Base RI'!A305</f>
        <v>5929</v>
      </c>
      <c r="B305" s="32" t="str">
        <f>'A) Base RI'!B305</f>
        <v>Suchy</v>
      </c>
      <c r="C305" s="10">
        <f>'A) Base RI'!C305+'A) Base RI'!D305</f>
        <v>1038936.8</v>
      </c>
      <c r="D305" s="10">
        <f>'A) Base RI'!W305</f>
        <v>-17335.900000000001</v>
      </c>
      <c r="E305" s="397">
        <f>'A) Base RI'!X305</f>
        <v>0</v>
      </c>
      <c r="F305" s="397">
        <f>'A) Base RI'!Y305</f>
        <v>-29.46</v>
      </c>
      <c r="G305" s="405">
        <f t="shared" si="24"/>
        <v>1021571.4400000001</v>
      </c>
      <c r="H305" s="10">
        <f>+'A) Base RI'!E305</f>
        <v>0</v>
      </c>
      <c r="I305" s="10">
        <f>+'A) Base RI'!F305</f>
        <v>0</v>
      </c>
      <c r="J305" s="10">
        <f>+'A) Base RI'!G305+'A) Base RI'!H305+'A) Base RI'!I305</f>
        <v>9600.5876626862409</v>
      </c>
      <c r="K305" s="10">
        <f>+'A) Base RI'!J305</f>
        <v>41100.15</v>
      </c>
      <c r="L305" s="10">
        <f>+'A) Base RI'!K305</f>
        <v>25049.05</v>
      </c>
      <c r="M305" s="10">
        <f>+'A) Base RI'!L305</f>
        <v>0</v>
      </c>
      <c r="N305" s="10">
        <f>+'A) Base RI'!R305</f>
        <v>0</v>
      </c>
      <c r="O305" s="10">
        <f t="shared" si="25"/>
        <v>107763.875</v>
      </c>
      <c r="P305" s="10">
        <f>+'A) Base RI'!M305</f>
        <v>86211.1</v>
      </c>
      <c r="Q305" s="413">
        <f>'A) Base RI'!Z305</f>
        <v>0.8</v>
      </c>
      <c r="R305" s="405">
        <f t="shared" si="26"/>
        <v>1205085.1026626863</v>
      </c>
      <c r="S305" s="401">
        <f>+'A) Base RI'!U305</f>
        <v>70</v>
      </c>
      <c r="T305" s="405">
        <f t="shared" si="27"/>
        <v>1097321.2276626863</v>
      </c>
      <c r="U305" s="405">
        <f t="shared" si="28"/>
        <v>17215.501466609803</v>
      </c>
      <c r="V305" s="10">
        <f>+'A) Base RI'!P305</f>
        <v>98806.2</v>
      </c>
      <c r="W305" s="10">
        <f>+'A) Base RI'!Q305</f>
        <v>53798.15</v>
      </c>
      <c r="X305" s="10">
        <f>+'A) Base RI'!S305</f>
        <v>54952.3</v>
      </c>
      <c r="Y305" s="405">
        <f t="shared" si="29"/>
        <v>207556.65000000002</v>
      </c>
      <c r="Z305" s="10">
        <f>+'A) Base RI'!O305</f>
        <v>7224.65</v>
      </c>
      <c r="AA305" s="10">
        <f>'A) Base RI'!V305</f>
        <v>645</v>
      </c>
    </row>
    <row r="306" spans="1:27" x14ac:dyDescent="0.25">
      <c r="A306" s="8">
        <f>'A) Base RI'!A306</f>
        <v>5930</v>
      </c>
      <c r="B306" s="32" t="str">
        <f>'A) Base RI'!B306</f>
        <v>Suscévaz</v>
      </c>
      <c r="C306" s="10">
        <f>'A) Base RI'!C306+'A) Base RI'!D306</f>
        <v>385522.20999999996</v>
      </c>
      <c r="D306" s="10">
        <f>'A) Base RI'!W306</f>
        <v>-3719.27</v>
      </c>
      <c r="E306" s="397">
        <f>'A) Base RI'!X306</f>
        <v>0</v>
      </c>
      <c r="F306" s="397">
        <f>'A) Base RI'!Y306</f>
        <v>0</v>
      </c>
      <c r="G306" s="405">
        <f t="shared" si="24"/>
        <v>381802.93999999994</v>
      </c>
      <c r="H306" s="10">
        <f>+'A) Base RI'!E306</f>
        <v>0</v>
      </c>
      <c r="I306" s="10">
        <f>+'A) Base RI'!F306</f>
        <v>1230</v>
      </c>
      <c r="J306" s="10">
        <f>+'A) Base RI'!G306+'A) Base RI'!H306+'A) Base RI'!I306</f>
        <v>4654.6235172745073</v>
      </c>
      <c r="K306" s="10">
        <f>+'A) Base RI'!J306</f>
        <v>0</v>
      </c>
      <c r="L306" s="10">
        <f>+'A) Base RI'!K306</f>
        <v>4284.0600000000004</v>
      </c>
      <c r="M306" s="10">
        <f>+'A) Base RI'!L306</f>
        <v>228.6</v>
      </c>
      <c r="N306" s="10">
        <f>+'A) Base RI'!R306</f>
        <v>63.01</v>
      </c>
      <c r="O306" s="10">
        <f t="shared" si="25"/>
        <v>29584.55</v>
      </c>
      <c r="P306" s="10">
        <f>+'A) Base RI'!M306</f>
        <v>29584.55</v>
      </c>
      <c r="Q306" s="413">
        <f>'A) Base RI'!Z306</f>
        <v>1</v>
      </c>
      <c r="R306" s="405">
        <f t="shared" si="26"/>
        <v>421847.78351727442</v>
      </c>
      <c r="S306" s="401">
        <f>+'A) Base RI'!U306</f>
        <v>72</v>
      </c>
      <c r="T306" s="405">
        <f t="shared" si="27"/>
        <v>390804.63351727446</v>
      </c>
      <c r="U306" s="405">
        <f t="shared" si="28"/>
        <v>5858.9969932954782</v>
      </c>
      <c r="V306" s="10">
        <f>+'A) Base RI'!P306</f>
        <v>0</v>
      </c>
      <c r="W306" s="10">
        <f>+'A) Base RI'!Q306</f>
        <v>150.05000000000001</v>
      </c>
      <c r="X306" s="10">
        <f>+'A) Base RI'!S306</f>
        <v>2551.35</v>
      </c>
      <c r="Y306" s="405">
        <f t="shared" si="29"/>
        <v>2701.4</v>
      </c>
      <c r="Z306" s="10">
        <f>+'A) Base RI'!O306</f>
        <v>0</v>
      </c>
      <c r="AA306" s="10">
        <f>'A) Base RI'!V306</f>
        <v>215</v>
      </c>
    </row>
    <row r="307" spans="1:27" x14ac:dyDescent="0.25">
      <c r="A307" s="8">
        <f>'A) Base RI'!A307</f>
        <v>5931</v>
      </c>
      <c r="B307" s="32" t="str">
        <f>'A) Base RI'!B307</f>
        <v>Treycovagnes</v>
      </c>
      <c r="C307" s="10">
        <f>'A) Base RI'!C307+'A) Base RI'!D307</f>
        <v>849819.26</v>
      </c>
      <c r="D307" s="10">
        <f>'A) Base RI'!W307</f>
        <v>-24884.48</v>
      </c>
      <c r="E307" s="397">
        <f>'A) Base RI'!X307</f>
        <v>0</v>
      </c>
      <c r="F307" s="397">
        <f>'A) Base RI'!Y307</f>
        <v>-12.12</v>
      </c>
      <c r="G307" s="405">
        <f t="shared" si="24"/>
        <v>824922.66</v>
      </c>
      <c r="H307" s="10">
        <f>+'A) Base RI'!E307</f>
        <v>0</v>
      </c>
      <c r="I307" s="10">
        <f>+'A) Base RI'!F307</f>
        <v>0</v>
      </c>
      <c r="J307" s="10">
        <f>+'A) Base RI'!G307+'A) Base RI'!H307+'A) Base RI'!I307</f>
        <v>86.262552366734823</v>
      </c>
      <c r="K307" s="10">
        <f>+'A) Base RI'!J307</f>
        <v>0</v>
      </c>
      <c r="L307" s="10">
        <f>+'A) Base RI'!K307</f>
        <v>11985.32</v>
      </c>
      <c r="M307" s="10">
        <f>+'A) Base RI'!L307</f>
        <v>660</v>
      </c>
      <c r="N307" s="10">
        <f>+'A) Base RI'!R307</f>
        <v>0</v>
      </c>
      <c r="O307" s="10">
        <f t="shared" si="25"/>
        <v>75306.600000000006</v>
      </c>
      <c r="P307" s="10">
        <f>+'A) Base RI'!M307</f>
        <v>75306.600000000006</v>
      </c>
      <c r="Q307" s="413">
        <f>'A) Base RI'!Z307</f>
        <v>1</v>
      </c>
      <c r="R307" s="405">
        <f t="shared" si="26"/>
        <v>912960.84255236667</v>
      </c>
      <c r="S307" s="401">
        <f>+'A) Base RI'!U307</f>
        <v>75</v>
      </c>
      <c r="T307" s="405">
        <f t="shared" si="27"/>
        <v>836994.24255236669</v>
      </c>
      <c r="U307" s="405">
        <f t="shared" si="28"/>
        <v>12172.811234031555</v>
      </c>
      <c r="V307" s="10">
        <f>+'A) Base RI'!P307</f>
        <v>3913.4</v>
      </c>
      <c r="W307" s="10">
        <f>+'A) Base RI'!Q307</f>
        <v>19893.75</v>
      </c>
      <c r="X307" s="10">
        <f>+'A) Base RI'!S307</f>
        <v>18531.150000000001</v>
      </c>
      <c r="Y307" s="405">
        <f t="shared" si="29"/>
        <v>42338.3</v>
      </c>
      <c r="Z307" s="10">
        <f>+'A) Base RI'!O307</f>
        <v>5790.35</v>
      </c>
      <c r="AA307" s="10">
        <f>'A) Base RI'!V307</f>
        <v>492</v>
      </c>
    </row>
    <row r="308" spans="1:27" x14ac:dyDescent="0.25">
      <c r="A308" s="8">
        <f>'A) Base RI'!A308</f>
        <v>5932</v>
      </c>
      <c r="B308" s="32" t="str">
        <f>'A) Base RI'!B308</f>
        <v>Ursins</v>
      </c>
      <c r="C308" s="10">
        <f>'A) Base RI'!C308+'A) Base RI'!D308</f>
        <v>621874.56000000006</v>
      </c>
      <c r="D308" s="10">
        <f>'A) Base RI'!W308</f>
        <v>-20820.79</v>
      </c>
      <c r="E308" s="397">
        <f>'A) Base RI'!X308</f>
        <v>-29232.15</v>
      </c>
      <c r="F308" s="397">
        <f>'A) Base RI'!Y308</f>
        <v>-0.45</v>
      </c>
      <c r="G308" s="405">
        <f t="shared" si="24"/>
        <v>571821.17000000004</v>
      </c>
      <c r="H308" s="10">
        <f>+'A) Base RI'!E308</f>
        <v>0</v>
      </c>
      <c r="I308" s="10">
        <f>+'A) Base RI'!F308</f>
        <v>1340</v>
      </c>
      <c r="J308" s="10">
        <f>+'A) Base RI'!G308+'A) Base RI'!H308+'A) Base RI'!I308</f>
        <v>767.67465667374779</v>
      </c>
      <c r="K308" s="10">
        <f>+'A) Base RI'!J308</f>
        <v>36203.449999999997</v>
      </c>
      <c r="L308" s="10">
        <f>+'A) Base RI'!K308</f>
        <v>-4053.08</v>
      </c>
      <c r="M308" s="10">
        <f>+'A) Base RI'!L308</f>
        <v>148</v>
      </c>
      <c r="N308" s="10">
        <f>+'A) Base RI'!R308</f>
        <v>0</v>
      </c>
      <c r="O308" s="10">
        <f t="shared" si="25"/>
        <v>31084.5</v>
      </c>
      <c r="P308" s="10">
        <f>+'A) Base RI'!M308</f>
        <v>31084.5</v>
      </c>
      <c r="Q308" s="413">
        <f>'A) Base RI'!Z308</f>
        <v>1</v>
      </c>
      <c r="R308" s="405">
        <f t="shared" si="26"/>
        <v>637311.71465667384</v>
      </c>
      <c r="S308" s="401">
        <f>+'A) Base RI'!U308</f>
        <v>77</v>
      </c>
      <c r="T308" s="405">
        <f t="shared" si="27"/>
        <v>604739.21465667384</v>
      </c>
      <c r="U308" s="405">
        <f t="shared" si="28"/>
        <v>8276.7755150217381</v>
      </c>
      <c r="V308" s="10">
        <f>+'A) Base RI'!P308</f>
        <v>1616.3</v>
      </c>
      <c r="W308" s="10">
        <f>+'A) Base RI'!Q308</f>
        <v>12771</v>
      </c>
      <c r="X308" s="10">
        <f>+'A) Base RI'!S308</f>
        <v>32136.45</v>
      </c>
      <c r="Y308" s="405">
        <f t="shared" si="29"/>
        <v>46523.75</v>
      </c>
      <c r="Z308" s="10">
        <f>+'A) Base RI'!O308</f>
        <v>0</v>
      </c>
      <c r="AA308" s="10">
        <f>'A) Base RI'!V308</f>
        <v>225</v>
      </c>
    </row>
    <row r="309" spans="1:27" x14ac:dyDescent="0.25">
      <c r="A309" s="8">
        <f>'A) Base RI'!A309</f>
        <v>5933</v>
      </c>
      <c r="B309" s="32" t="str">
        <f>'A) Base RI'!B309</f>
        <v>Valeyres-sous-Montagny</v>
      </c>
      <c r="C309" s="10">
        <f>'A) Base RI'!C309+'A) Base RI'!D309</f>
        <v>1459318.6600000001</v>
      </c>
      <c r="D309" s="10">
        <f>'A) Base RI'!W309</f>
        <v>-18365.48</v>
      </c>
      <c r="E309" s="397">
        <f>'A) Base RI'!X309</f>
        <v>-16150.65</v>
      </c>
      <c r="F309" s="397">
        <f>'A) Base RI'!Y309</f>
        <v>-8.56</v>
      </c>
      <c r="G309" s="405">
        <f t="shared" si="24"/>
        <v>1424793.9700000002</v>
      </c>
      <c r="H309" s="10">
        <f>+'A) Base RI'!E309</f>
        <v>0</v>
      </c>
      <c r="I309" s="10">
        <f>+'A) Base RI'!F309</f>
        <v>0</v>
      </c>
      <c r="J309" s="10">
        <f>+'A) Base RI'!G309+'A) Base RI'!H309+'A) Base RI'!I309</f>
        <v>30836.40830431374</v>
      </c>
      <c r="K309" s="10">
        <f>+'A) Base RI'!J309</f>
        <v>0</v>
      </c>
      <c r="L309" s="10">
        <f>+'A) Base RI'!K309</f>
        <v>13084.2</v>
      </c>
      <c r="M309" s="10">
        <f>+'A) Base RI'!L309</f>
        <v>2972.55</v>
      </c>
      <c r="N309" s="10">
        <f>+'A) Base RI'!R309</f>
        <v>380.35</v>
      </c>
      <c r="O309" s="10">
        <f t="shared" si="25"/>
        <v>118335.45</v>
      </c>
      <c r="P309" s="10">
        <f>+'A) Base RI'!M309</f>
        <v>118335.45</v>
      </c>
      <c r="Q309" s="413">
        <f>'A) Base RI'!Z309</f>
        <v>1</v>
      </c>
      <c r="R309" s="405">
        <f t="shared" si="26"/>
        <v>1590402.9283043139</v>
      </c>
      <c r="S309" s="401">
        <f>+'A) Base RI'!U309</f>
        <v>72</v>
      </c>
      <c r="T309" s="405">
        <f t="shared" si="27"/>
        <v>1469094.9283043139</v>
      </c>
      <c r="U309" s="405">
        <f t="shared" si="28"/>
        <v>22088.929559782136</v>
      </c>
      <c r="V309" s="10">
        <f>+'A) Base RI'!P309</f>
        <v>4212.7</v>
      </c>
      <c r="W309" s="10">
        <f>+'A) Base RI'!Q309</f>
        <v>60777.7</v>
      </c>
      <c r="X309" s="10">
        <f>+'A) Base RI'!S309</f>
        <v>61084.9</v>
      </c>
      <c r="Y309" s="405">
        <f t="shared" si="29"/>
        <v>126075.29999999999</v>
      </c>
      <c r="Z309" s="10">
        <f>+'A) Base RI'!O309</f>
        <v>18184.05</v>
      </c>
      <c r="AA309" s="10">
        <f>'A) Base RI'!V309</f>
        <v>709</v>
      </c>
    </row>
    <row r="310" spans="1:27" x14ac:dyDescent="0.25">
      <c r="A310" s="8">
        <f>'A) Base RI'!A310</f>
        <v>5934</v>
      </c>
      <c r="B310" s="32" t="str">
        <f>'A) Base RI'!B310</f>
        <v>Valeyres-sous-Ursins</v>
      </c>
      <c r="C310" s="10">
        <f>'A) Base RI'!C310+'A) Base RI'!D310</f>
        <v>562590.15</v>
      </c>
      <c r="D310" s="10">
        <f>'A) Base RI'!W310</f>
        <v>-1327.83</v>
      </c>
      <c r="E310" s="397">
        <f>'A) Base RI'!X310</f>
        <v>0</v>
      </c>
      <c r="F310" s="397">
        <f>'A) Base RI'!Y310</f>
        <v>0</v>
      </c>
      <c r="G310" s="405">
        <f t="shared" si="24"/>
        <v>561262.32000000007</v>
      </c>
      <c r="H310" s="10">
        <f>+'A) Base RI'!E310</f>
        <v>0</v>
      </c>
      <c r="I310" s="10">
        <f>+'A) Base RI'!F310</f>
        <v>1380</v>
      </c>
      <c r="J310" s="10">
        <f>+'A) Base RI'!G310+'A) Base RI'!H310+'A) Base RI'!I310</f>
        <v>-250.79999999999998</v>
      </c>
      <c r="K310" s="10">
        <f>+'A) Base RI'!J310</f>
        <v>0</v>
      </c>
      <c r="L310" s="10">
        <f>+'A) Base RI'!K310</f>
        <v>5881.24</v>
      </c>
      <c r="M310" s="10">
        <f>+'A) Base RI'!L310</f>
        <v>27.75</v>
      </c>
      <c r="N310" s="10">
        <f>+'A) Base RI'!R310</f>
        <v>0</v>
      </c>
      <c r="O310" s="10">
        <f t="shared" si="25"/>
        <v>27937.5</v>
      </c>
      <c r="P310" s="10">
        <f>+'A) Base RI'!M310</f>
        <v>27937.5</v>
      </c>
      <c r="Q310" s="413">
        <f>'A) Base RI'!Z310</f>
        <v>1</v>
      </c>
      <c r="R310" s="405">
        <f t="shared" si="26"/>
        <v>596238.01</v>
      </c>
      <c r="S310" s="401">
        <f>+'A) Base RI'!U310</f>
        <v>79</v>
      </c>
      <c r="T310" s="405">
        <f t="shared" si="27"/>
        <v>566892.76</v>
      </c>
      <c r="U310" s="405">
        <f t="shared" si="28"/>
        <v>7547.3165822784813</v>
      </c>
      <c r="V310" s="10">
        <f>+'A) Base RI'!P310</f>
        <v>0</v>
      </c>
      <c r="W310" s="10">
        <f>+'A) Base RI'!Q310</f>
        <v>17318.400000000001</v>
      </c>
      <c r="X310" s="10">
        <f>+'A) Base RI'!S310</f>
        <v>20199.95</v>
      </c>
      <c r="Y310" s="405">
        <f t="shared" si="29"/>
        <v>37518.350000000006</v>
      </c>
      <c r="Z310" s="10">
        <f>+'A) Base RI'!O310</f>
        <v>0</v>
      </c>
      <c r="AA310" s="10">
        <f>'A) Base RI'!V310</f>
        <v>227</v>
      </c>
    </row>
    <row r="311" spans="1:27" x14ac:dyDescent="0.25">
      <c r="A311" s="8">
        <f>'A) Base RI'!A311</f>
        <v>5935</v>
      </c>
      <c r="B311" s="32" t="str">
        <f>'A) Base RI'!B311</f>
        <v>Villars-Epeney</v>
      </c>
      <c r="C311" s="10">
        <f>'A) Base RI'!C311+'A) Base RI'!D311</f>
        <v>273525.69</v>
      </c>
      <c r="D311" s="10">
        <f>'A) Base RI'!W311</f>
        <v>-24.33</v>
      </c>
      <c r="E311" s="397">
        <f>'A) Base RI'!X311</f>
        <v>0</v>
      </c>
      <c r="F311" s="397">
        <f>'A) Base RI'!Y311</f>
        <v>-503.4</v>
      </c>
      <c r="G311" s="405">
        <f t="shared" si="24"/>
        <v>272997.95999999996</v>
      </c>
      <c r="H311" s="10">
        <f>+'A) Base RI'!E311</f>
        <v>0</v>
      </c>
      <c r="I311" s="10">
        <f>+'A) Base RI'!F311</f>
        <v>0</v>
      </c>
      <c r="J311" s="10">
        <f>+'A) Base RI'!G311+'A) Base RI'!H311+'A) Base RI'!I311</f>
        <v>-545.70000000000005</v>
      </c>
      <c r="K311" s="10">
        <f>+'A) Base RI'!J311</f>
        <v>0</v>
      </c>
      <c r="L311" s="10">
        <f>+'A) Base RI'!K311</f>
        <v>0</v>
      </c>
      <c r="M311" s="10">
        <f>+'A) Base RI'!L311</f>
        <v>0</v>
      </c>
      <c r="N311" s="10">
        <f>+'A) Base RI'!R311</f>
        <v>0</v>
      </c>
      <c r="O311" s="10">
        <f t="shared" si="25"/>
        <v>18717.95</v>
      </c>
      <c r="P311" s="10">
        <f>+'A) Base RI'!M311</f>
        <v>18717.95</v>
      </c>
      <c r="Q311" s="413">
        <f>'A) Base RI'!Z311</f>
        <v>1</v>
      </c>
      <c r="R311" s="405">
        <f t="shared" si="26"/>
        <v>291170.20999999996</v>
      </c>
      <c r="S311" s="401">
        <f>+'A) Base RI'!U311</f>
        <v>60</v>
      </c>
      <c r="T311" s="405">
        <f t="shared" si="27"/>
        <v>272452.25999999995</v>
      </c>
      <c r="U311" s="405">
        <f t="shared" si="28"/>
        <v>4852.8368333333328</v>
      </c>
      <c r="V311" s="10">
        <f>+'A) Base RI'!P311</f>
        <v>0</v>
      </c>
      <c r="W311" s="10">
        <f>+'A) Base RI'!Q311</f>
        <v>1100</v>
      </c>
      <c r="X311" s="10">
        <f>+'A) Base RI'!S311</f>
        <v>0</v>
      </c>
      <c r="Y311" s="405">
        <f t="shared" si="29"/>
        <v>1100</v>
      </c>
      <c r="Z311" s="10">
        <f>+'A) Base RI'!O311</f>
        <v>0</v>
      </c>
      <c r="AA311" s="10">
        <f>'A) Base RI'!V311</f>
        <v>102</v>
      </c>
    </row>
    <row r="312" spans="1:27" x14ac:dyDescent="0.25">
      <c r="A312" s="8">
        <f>'A) Base RI'!A312</f>
        <v>5937</v>
      </c>
      <c r="B312" s="32" t="str">
        <f>'A) Base RI'!B312</f>
        <v>Vugelles-La Mothe</v>
      </c>
      <c r="C312" s="10">
        <f>'A) Base RI'!C312+'A) Base RI'!D312</f>
        <v>187098.18</v>
      </c>
      <c r="D312" s="10">
        <f>'A) Base RI'!W312</f>
        <v>-12474.27</v>
      </c>
      <c r="E312" s="397">
        <f>'A) Base RI'!X312</f>
        <v>0</v>
      </c>
      <c r="F312" s="397">
        <f>'A) Base RI'!Y312</f>
        <v>-101.94</v>
      </c>
      <c r="G312" s="405">
        <f t="shared" si="24"/>
        <v>174521.97</v>
      </c>
      <c r="H312" s="10">
        <f>+'A) Base RI'!E312</f>
        <v>0</v>
      </c>
      <c r="I312" s="10">
        <f>+'A) Base RI'!F312</f>
        <v>0</v>
      </c>
      <c r="J312" s="10">
        <f>+'A) Base RI'!G312+'A) Base RI'!H312+'A) Base RI'!I312</f>
        <v>20795.029718382699</v>
      </c>
      <c r="K312" s="10">
        <f>+'A) Base RI'!J312</f>
        <v>0</v>
      </c>
      <c r="L312" s="10">
        <f>+'A) Base RI'!K312</f>
        <v>-679.96</v>
      </c>
      <c r="M312" s="10">
        <f>+'A) Base RI'!L312</f>
        <v>0</v>
      </c>
      <c r="N312" s="10">
        <f>+'A) Base RI'!R312</f>
        <v>0</v>
      </c>
      <c r="O312" s="10">
        <f t="shared" si="25"/>
        <v>16314.214285714288</v>
      </c>
      <c r="P312" s="10">
        <f>+'A) Base RI'!M312</f>
        <v>11419.95</v>
      </c>
      <c r="Q312" s="413">
        <f>'A) Base RI'!Z312</f>
        <v>0.7</v>
      </c>
      <c r="R312" s="405">
        <f t="shared" si="26"/>
        <v>210951.25400409699</v>
      </c>
      <c r="S312" s="401">
        <f>+'A) Base RI'!U312</f>
        <v>70</v>
      </c>
      <c r="T312" s="405">
        <f t="shared" si="27"/>
        <v>194637.0397183827</v>
      </c>
      <c r="U312" s="405">
        <f t="shared" si="28"/>
        <v>3013.5893429156713</v>
      </c>
      <c r="V312" s="10">
        <f>+'A) Base RI'!P312</f>
        <v>9.4</v>
      </c>
      <c r="W312" s="10">
        <f>+'A) Base RI'!Q312</f>
        <v>9625</v>
      </c>
      <c r="X312" s="10">
        <f>+'A) Base RI'!S312</f>
        <v>23502.6</v>
      </c>
      <c r="Y312" s="405">
        <f t="shared" si="29"/>
        <v>33137</v>
      </c>
      <c r="Z312" s="10">
        <f>+'A) Base RI'!O312</f>
        <v>2191.85</v>
      </c>
      <c r="AA312" s="10">
        <f>'A) Base RI'!V312</f>
        <v>135</v>
      </c>
    </row>
    <row r="313" spans="1:27" x14ac:dyDescent="0.25">
      <c r="A313" s="8">
        <f>'A) Base RI'!A313</f>
        <v>5938</v>
      </c>
      <c r="B313" s="32" t="str">
        <f>'A) Base RI'!B313</f>
        <v>Yverdon-les-Bains</v>
      </c>
      <c r="C313" s="10">
        <f>'A) Base RI'!C313+'A) Base RI'!D313</f>
        <v>49575280.729999997</v>
      </c>
      <c r="D313" s="10">
        <f>'A) Base RI'!W313</f>
        <v>-1607195.06</v>
      </c>
      <c r="E313" s="397">
        <f>'A) Base RI'!X313</f>
        <v>0</v>
      </c>
      <c r="F313" s="397">
        <f>'A) Base RI'!Y313</f>
        <v>-37674.81</v>
      </c>
      <c r="G313" s="405">
        <f t="shared" si="24"/>
        <v>47930410.859999992</v>
      </c>
      <c r="H313" s="10">
        <f>+'A) Base RI'!E313</f>
        <v>0</v>
      </c>
      <c r="I313" s="10">
        <f>+'A) Base RI'!F313</f>
        <v>0</v>
      </c>
      <c r="J313" s="10">
        <f>+'A) Base RI'!G313+'A) Base RI'!H313+'A) Base RI'!I313</f>
        <v>4820273.9648506558</v>
      </c>
      <c r="K313" s="10">
        <f>+'A) Base RI'!J313</f>
        <v>-6800.46000000001</v>
      </c>
      <c r="L313" s="10">
        <f>+'A) Base RI'!K313</f>
        <v>1833664.44</v>
      </c>
      <c r="M313" s="10">
        <f>+'A) Base RI'!L313</f>
        <v>703447.75</v>
      </c>
      <c r="N313" s="10">
        <f>+'A) Base RI'!R313</f>
        <v>323949.44</v>
      </c>
      <c r="O313" s="10">
        <f t="shared" si="25"/>
        <v>4191995.7</v>
      </c>
      <c r="P313" s="10">
        <f>+'A) Base RI'!M313</f>
        <v>4191995.7</v>
      </c>
      <c r="Q313" s="413">
        <f>'A) Base RI'!Z313</f>
        <v>1</v>
      </c>
      <c r="R313" s="405">
        <f t="shared" si="26"/>
        <v>59796941.694850646</v>
      </c>
      <c r="S313" s="401">
        <f>+'A) Base RI'!U313</f>
        <v>76.5</v>
      </c>
      <c r="T313" s="405">
        <f t="shared" si="27"/>
        <v>54901498.244850643</v>
      </c>
      <c r="U313" s="405">
        <f t="shared" si="28"/>
        <v>781659.36856013921</v>
      </c>
      <c r="V313" s="10">
        <f>+'A) Base RI'!P313</f>
        <v>844988.1</v>
      </c>
      <c r="W313" s="10">
        <f>+'A) Base RI'!Q313</f>
        <v>2004716.3</v>
      </c>
      <c r="X313" s="10">
        <f>+'A) Base RI'!S313</f>
        <v>1001332.95</v>
      </c>
      <c r="Y313" s="405">
        <f t="shared" si="29"/>
        <v>3851037.3499999996</v>
      </c>
      <c r="Z313" s="10">
        <f>+'A) Base RI'!O313</f>
        <v>4210979.75</v>
      </c>
      <c r="AA313" s="10">
        <f>'A) Base RI'!V313</f>
        <v>30189</v>
      </c>
    </row>
    <row r="314" spans="1:27" x14ac:dyDescent="0.25">
      <c r="A314" s="8">
        <f>'A) Base RI'!A314</f>
        <v>5939</v>
      </c>
      <c r="B314" s="32" t="str">
        <f>'A) Base RI'!B314</f>
        <v>Yvonand</v>
      </c>
      <c r="C314" s="10">
        <f>'A) Base RI'!C314+'A) Base RI'!D314</f>
        <v>6032056.9799999995</v>
      </c>
      <c r="D314" s="10">
        <f>'A) Base RI'!W314</f>
        <v>-123010.34</v>
      </c>
      <c r="E314" s="397">
        <f>'A) Base RI'!X314</f>
        <v>0</v>
      </c>
      <c r="F314" s="397">
        <f>'A) Base RI'!Y314</f>
        <v>-373.19</v>
      </c>
      <c r="G314" s="405">
        <f t="shared" si="24"/>
        <v>5908673.4499999993</v>
      </c>
      <c r="H314" s="10">
        <f>+'A) Base RI'!E314</f>
        <v>0</v>
      </c>
      <c r="I314" s="10">
        <f>+'A) Base RI'!F314</f>
        <v>0</v>
      </c>
      <c r="J314" s="10">
        <f>+'A) Base RI'!G314+'A) Base RI'!H314+'A) Base RI'!I314</f>
        <v>298815.73810346721</v>
      </c>
      <c r="K314" s="10">
        <f>+'A) Base RI'!J314</f>
        <v>0</v>
      </c>
      <c r="L314" s="10">
        <f>+'A) Base RI'!K314</f>
        <v>100315.72</v>
      </c>
      <c r="M314" s="10">
        <f>+'A) Base RI'!L314</f>
        <v>42149.599999999999</v>
      </c>
      <c r="N314" s="10">
        <f>+'A) Base RI'!R314</f>
        <v>27503.32</v>
      </c>
      <c r="O314" s="10">
        <f t="shared" si="25"/>
        <v>558972</v>
      </c>
      <c r="P314" s="10">
        <f>+'A) Base RI'!M314</f>
        <v>558972</v>
      </c>
      <c r="Q314" s="413">
        <f>'A) Base RI'!Z314</f>
        <v>1</v>
      </c>
      <c r="R314" s="405">
        <f t="shared" si="26"/>
        <v>6936429.828103466</v>
      </c>
      <c r="S314" s="401">
        <f>+'A) Base RI'!U314</f>
        <v>73</v>
      </c>
      <c r="T314" s="405">
        <f t="shared" si="27"/>
        <v>6335308.2281034663</v>
      </c>
      <c r="U314" s="405">
        <f t="shared" si="28"/>
        <v>95019.586686348848</v>
      </c>
      <c r="V314" s="10">
        <f>+'A) Base RI'!P314</f>
        <v>377824.8</v>
      </c>
      <c r="W314" s="10">
        <f>+'A) Base RI'!Q314</f>
        <v>709824.7</v>
      </c>
      <c r="X314" s="10">
        <f>+'A) Base RI'!S314</f>
        <v>136903.95000000001</v>
      </c>
      <c r="Y314" s="405">
        <f t="shared" si="29"/>
        <v>1224553.45</v>
      </c>
      <c r="Z314" s="10">
        <f>+'A) Base RI'!O314</f>
        <v>140392.6</v>
      </c>
      <c r="AA314" s="10">
        <f>'A) Base RI'!V314</f>
        <v>3434</v>
      </c>
    </row>
    <row r="315" spans="1:27" x14ac:dyDescent="0.25">
      <c r="A315" s="7"/>
      <c r="B315" s="24">
        <f>COUNTA(B7:B314)</f>
        <v>308</v>
      </c>
      <c r="C315" s="11">
        <f t="shared" ref="C315:P315" si="30">SUM(C7:C314)</f>
        <v>2008000332.5800002</v>
      </c>
      <c r="D315" s="11">
        <f t="shared" si="30"/>
        <v>-38167616.669999994</v>
      </c>
      <c r="E315" s="11">
        <f t="shared" si="30"/>
        <v>-53718.3</v>
      </c>
      <c r="F315" s="11">
        <f t="shared" si="30"/>
        <v>-5688037.7500000037</v>
      </c>
      <c r="G315" s="38">
        <f t="shared" si="30"/>
        <v>1964090959.8600001</v>
      </c>
      <c r="H315" s="11">
        <f t="shared" si="30"/>
        <v>0</v>
      </c>
      <c r="I315" s="11">
        <f t="shared" si="30"/>
        <v>114038.2</v>
      </c>
      <c r="J315" s="11">
        <f t="shared" si="30"/>
        <v>254042427.59942007</v>
      </c>
      <c r="K315" s="11">
        <f t="shared" si="30"/>
        <v>44263557.479999997</v>
      </c>
      <c r="L315" s="11">
        <f t="shared" si="30"/>
        <v>74423976.749999985</v>
      </c>
      <c r="M315" s="11">
        <f t="shared" si="30"/>
        <v>17911764.599999994</v>
      </c>
      <c r="N315" s="11">
        <f t="shared" si="30"/>
        <v>9327675.4499999881</v>
      </c>
      <c r="O315" s="11">
        <f t="shared" si="30"/>
        <v>171517995.52320918</v>
      </c>
      <c r="P315" s="11">
        <f t="shared" si="30"/>
        <v>202920919.8000001</v>
      </c>
      <c r="Q315" s="35"/>
      <c r="R315" s="38">
        <f>SUM(R7:R314)</f>
        <v>2535692395.4626303</v>
      </c>
      <c r="S315" s="19">
        <f>R315/U315</f>
        <v>68.383409631227281</v>
      </c>
      <c r="T315" s="38">
        <f t="shared" ref="T315:Z315" si="31">SUM(T7:T314)</f>
        <v>2346148597.139421</v>
      </c>
      <c r="U315" s="38">
        <f t="shared" si="31"/>
        <v>37080520.101833388</v>
      </c>
      <c r="V315" s="11">
        <f t="shared" si="31"/>
        <v>74037216.790000021</v>
      </c>
      <c r="W315" s="11">
        <f t="shared" si="31"/>
        <v>90588799.749999985</v>
      </c>
      <c r="X315" s="11">
        <f t="shared" si="31"/>
        <v>62617329.830000006</v>
      </c>
      <c r="Y315" s="38">
        <f t="shared" si="31"/>
        <v>227243346.37000009</v>
      </c>
      <c r="Z315" s="11">
        <f t="shared" si="31"/>
        <v>71803023.849999994</v>
      </c>
      <c r="AA315" s="11">
        <f>SUM(AA7:AA314)</f>
        <v>806088</v>
      </c>
    </row>
    <row r="316" spans="1:27" x14ac:dyDescent="0.25">
      <c r="C316" s="6"/>
      <c r="E316" s="6"/>
      <c r="G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371"/>
      <c r="T316" s="6"/>
      <c r="U316" s="6"/>
      <c r="V316" s="6"/>
      <c r="W316" s="6"/>
      <c r="X316" s="6"/>
      <c r="Y316" s="6"/>
      <c r="Z316" s="6"/>
    </row>
    <row r="317" spans="1:27" x14ac:dyDescent="0.25">
      <c r="C317" s="6"/>
      <c r="I317" s="6"/>
      <c r="J317" s="6"/>
      <c r="K317" s="6"/>
      <c r="L317" s="6"/>
      <c r="M317" s="6"/>
      <c r="N317" s="6"/>
      <c r="R317" s="6"/>
      <c r="T317" s="6"/>
      <c r="U317" s="6"/>
      <c r="V317" s="6"/>
      <c r="W317" s="6"/>
      <c r="X317" s="6"/>
      <c r="Y317" s="6"/>
      <c r="Z317" s="363"/>
    </row>
    <row r="318" spans="1:27" x14ac:dyDescent="0.25">
      <c r="C318" s="6"/>
      <c r="J318" s="6"/>
      <c r="R318" s="6"/>
      <c r="T318" s="6"/>
    </row>
    <row r="319" spans="1:27" x14ac:dyDescent="0.25">
      <c r="C319" s="6"/>
      <c r="G319" s="6"/>
      <c r="J319" s="36"/>
      <c r="R319" s="6"/>
      <c r="T319" s="6"/>
    </row>
    <row r="320" spans="1:27" x14ac:dyDescent="0.25">
      <c r="G320" s="6"/>
      <c r="R320" s="6"/>
    </row>
    <row r="321" spans="1:18" x14ac:dyDescent="0.25">
      <c r="G321" s="6"/>
      <c r="R321" s="36"/>
    </row>
    <row r="322" spans="1:18" x14ac:dyDescent="0.25">
      <c r="G322" s="6"/>
      <c r="R322" s="422"/>
    </row>
    <row r="323" spans="1:18" x14ac:dyDescent="0.25">
      <c r="G323" s="36"/>
      <c r="R323" s="424"/>
    </row>
    <row r="324" spans="1:18" s="6" customFormat="1" x14ac:dyDescent="0.25">
      <c r="A324" s="5"/>
    </row>
  </sheetData>
  <mergeCells count="27">
    <mergeCell ref="Q4:Q6"/>
    <mergeCell ref="O4:O6"/>
    <mergeCell ref="V4:V5"/>
    <mergeCell ref="U4:U5"/>
    <mergeCell ref="Z4:Z5"/>
    <mergeCell ref="X4:X5"/>
    <mergeCell ref="P4:P5"/>
    <mergeCell ref="R4:R6"/>
    <mergeCell ref="AA4:AA5"/>
    <mergeCell ref="S4:S5"/>
    <mergeCell ref="W4:W5"/>
    <mergeCell ref="Y4:Y6"/>
    <mergeCell ref="T4:T6"/>
    <mergeCell ref="A4:A6"/>
    <mergeCell ref="B4:B6"/>
    <mergeCell ref="N4:N6"/>
    <mergeCell ref="C4:C5"/>
    <mergeCell ref="H4:H5"/>
    <mergeCell ref="I4:I5"/>
    <mergeCell ref="J4:J5"/>
    <mergeCell ref="G4:G5"/>
    <mergeCell ref="K4:K5"/>
    <mergeCell ref="L4:L5"/>
    <mergeCell ref="M4:M5"/>
    <mergeCell ref="D4:D6"/>
    <mergeCell ref="E4:E6"/>
    <mergeCell ref="F4:F6"/>
  </mergeCells>
  <phoneticPr fontId="0" type="noConversion"/>
  <pageMargins left="0" right="0" top="0" bottom="0" header="0.51181102362204722" footer="0.51181102362204722"/>
  <pageSetup paperSize="8" scale="70" orientation="landscape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>
    <tabColor rgb="FF00B050"/>
  </sheetPr>
  <dimension ref="A1:J331"/>
  <sheetViews>
    <sheetView workbookViewId="0"/>
  </sheetViews>
  <sheetFormatPr baseColWidth="10" defaultColWidth="11" defaultRowHeight="15" x14ac:dyDescent="0.25"/>
  <cols>
    <col min="1" max="1" width="7.25" style="13" customWidth="1"/>
    <col min="2" max="2" width="17.375" style="13" bestFit="1" customWidth="1"/>
    <col min="3" max="3" width="18" style="6" customWidth="1"/>
    <col min="4" max="4" width="9.875" style="6" bestFit="1" customWidth="1"/>
    <col min="5" max="5" width="10.75" style="6" bestFit="1" customWidth="1"/>
    <col min="6" max="6" width="11.25" style="6" bestFit="1" customWidth="1"/>
    <col min="7" max="7" width="13" style="28" bestFit="1" customWidth="1"/>
    <col min="8" max="8" width="12.25" style="6" bestFit="1" customWidth="1"/>
    <col min="9" max="9" width="11" style="13"/>
    <col min="10" max="10" width="14.625" style="13" bestFit="1" customWidth="1"/>
    <col min="11" max="16384" width="11" style="13"/>
  </cols>
  <sheetData>
    <row r="1" spans="1:10" ht="21" x14ac:dyDescent="0.25">
      <c r="A1" s="51" t="s">
        <v>434</v>
      </c>
      <c r="B1" s="42"/>
      <c r="C1" s="44"/>
      <c r="D1" s="44"/>
      <c r="E1" s="44"/>
      <c r="F1" s="44"/>
      <c r="G1" s="52"/>
      <c r="H1" s="44"/>
    </row>
    <row r="3" spans="1:10" ht="60" x14ac:dyDescent="0.25">
      <c r="A3" s="492" t="s">
        <v>46</v>
      </c>
      <c r="B3" s="492" t="s">
        <v>95</v>
      </c>
      <c r="C3" s="292" t="s">
        <v>423</v>
      </c>
      <c r="D3" s="292" t="s">
        <v>193</v>
      </c>
      <c r="E3" s="489" t="s">
        <v>137</v>
      </c>
      <c r="F3" s="489" t="s">
        <v>369</v>
      </c>
      <c r="G3" s="497" t="s">
        <v>288</v>
      </c>
      <c r="H3" s="496" t="s">
        <v>420</v>
      </c>
      <c r="I3" s="489" t="s">
        <v>550</v>
      </c>
    </row>
    <row r="4" spans="1:10" x14ac:dyDescent="0.25">
      <c r="A4" s="493"/>
      <c r="B4" s="494"/>
      <c r="C4" s="433">
        <f>Paramètres!B11</f>
        <v>0.5</v>
      </c>
      <c r="D4" s="410">
        <f>Paramètres!B12</f>
        <v>0.3</v>
      </c>
      <c r="E4" s="491"/>
      <c r="F4" s="491"/>
      <c r="G4" s="498"/>
      <c r="H4" s="496"/>
      <c r="I4" s="490"/>
    </row>
    <row r="5" spans="1:10" x14ac:dyDescent="0.25">
      <c r="A5" s="46">
        <f>'A) Base RI'!A7</f>
        <v>5401</v>
      </c>
      <c r="B5" s="291" t="str">
        <f>'A) Base RI'!B7</f>
        <v>Aigle</v>
      </c>
      <c r="C5" s="54">
        <f>'B) D RI'!Y7</f>
        <v>1626903</v>
      </c>
      <c r="D5" s="14">
        <f>'B) D RI'!Z7</f>
        <v>1052253.75</v>
      </c>
      <c r="E5" s="10">
        <f>C5+D5</f>
        <v>2679156.75</v>
      </c>
      <c r="F5" s="14">
        <f>'B) D RI'!U7</f>
        <v>273757.05287947325</v>
      </c>
      <c r="G5" s="265">
        <f>E5/F5</f>
        <v>9.7866218306329795</v>
      </c>
      <c r="H5" s="55">
        <f>(C5*$C$4)+(D5*$D$4)</f>
        <v>1129127.625</v>
      </c>
      <c r="I5" s="413">
        <f>H5/F5</f>
        <v>4.1245608583356566</v>
      </c>
      <c r="J5" s="408"/>
    </row>
    <row r="6" spans="1:10" x14ac:dyDescent="0.25">
      <c r="A6" s="49">
        <f>'A) Base RI'!A8</f>
        <v>5402</v>
      </c>
      <c r="B6" s="291" t="str">
        <f>'A) Base RI'!B8</f>
        <v>Bex</v>
      </c>
      <c r="C6" s="10">
        <f>'B) D RI'!Y8</f>
        <v>1138949.8500000001</v>
      </c>
      <c r="D6" s="422">
        <f>'B) D RI'!Z8</f>
        <v>217296.4</v>
      </c>
      <c r="E6" s="10">
        <f t="shared" ref="E6:E68" si="0">C6+D6</f>
        <v>1356246.25</v>
      </c>
      <c r="F6" s="422">
        <f>'B) D RI'!U8</f>
        <v>185201.4300069781</v>
      </c>
      <c r="G6" s="265">
        <f t="shared" ref="G6:G68" si="1">E6/F6</f>
        <v>7.3230873538551986</v>
      </c>
      <c r="H6" s="55">
        <f t="shared" ref="H6:H68" si="2">(C6*$C$4)+(D6*$D$4)</f>
        <v>634663.84500000009</v>
      </c>
      <c r="I6" s="413">
        <f t="shared" ref="I6:I68" si="3">H6/F6</f>
        <v>3.426884149739486</v>
      </c>
    </row>
    <row r="7" spans="1:10" x14ac:dyDescent="0.25">
      <c r="A7" s="49">
        <f>'A) Base RI'!A9</f>
        <v>5403</v>
      </c>
      <c r="B7" s="291" t="str">
        <f>'A) Base RI'!B9</f>
        <v>Chessel</v>
      </c>
      <c r="C7" s="10">
        <f>'B) D RI'!Y9</f>
        <v>94829.75</v>
      </c>
      <c r="D7" s="422">
        <f>'B) D RI'!Z9</f>
        <v>8065.6</v>
      </c>
      <c r="E7" s="10">
        <f t="shared" si="0"/>
        <v>102895.35</v>
      </c>
      <c r="F7" s="422">
        <f>'B) D RI'!U9</f>
        <v>10689.780666211695</v>
      </c>
      <c r="G7" s="265">
        <f t="shared" si="1"/>
        <v>9.625581030416468</v>
      </c>
      <c r="H7" s="55">
        <f t="shared" si="2"/>
        <v>49834.555</v>
      </c>
      <c r="I7" s="413">
        <f t="shared" si="3"/>
        <v>4.6618875125770618</v>
      </c>
    </row>
    <row r="8" spans="1:10" x14ac:dyDescent="0.25">
      <c r="A8" s="49">
        <f>'A) Base RI'!A10</f>
        <v>5404</v>
      </c>
      <c r="B8" s="291" t="str">
        <f>'A) Base RI'!B10</f>
        <v>Corbeyrier</v>
      </c>
      <c r="C8" s="10">
        <f>'B) D RI'!Y10</f>
        <v>174432.75</v>
      </c>
      <c r="D8" s="422">
        <f>'B) D RI'!Z10</f>
        <v>27352.35</v>
      </c>
      <c r="E8" s="10">
        <f t="shared" si="0"/>
        <v>201785.1</v>
      </c>
      <c r="F8" s="422">
        <f>'B) D RI'!U10</f>
        <v>14591.74084015964</v>
      </c>
      <c r="G8" s="265">
        <f t="shared" si="1"/>
        <v>13.828720110258782</v>
      </c>
      <c r="H8" s="55">
        <f t="shared" si="2"/>
        <v>95422.080000000002</v>
      </c>
      <c r="I8" s="413">
        <f t="shared" si="3"/>
        <v>6.5394582486948858</v>
      </c>
    </row>
    <row r="9" spans="1:10" x14ac:dyDescent="0.25">
      <c r="A9" s="49">
        <f>'A) Base RI'!A11</f>
        <v>5405</v>
      </c>
      <c r="B9" s="291" t="str">
        <f>'A) Base RI'!B11</f>
        <v>Gryon</v>
      </c>
      <c r="C9" s="10">
        <f>'B) D RI'!Y11</f>
        <v>626771.89999999991</v>
      </c>
      <c r="D9" s="422">
        <f>'B) D RI'!Z11</f>
        <v>0</v>
      </c>
      <c r="E9" s="10">
        <f t="shared" si="0"/>
        <v>626771.89999999991</v>
      </c>
      <c r="F9" s="422">
        <f>'B) D RI'!U11</f>
        <v>65629.125271315643</v>
      </c>
      <c r="G9" s="265">
        <f t="shared" si="1"/>
        <v>9.5502095663911213</v>
      </c>
      <c r="H9" s="55">
        <f t="shared" si="2"/>
        <v>313385.94999999995</v>
      </c>
      <c r="I9" s="413">
        <f t="shared" si="3"/>
        <v>4.7751047831955606</v>
      </c>
    </row>
    <row r="10" spans="1:10" x14ac:dyDescent="0.25">
      <c r="A10" s="49">
        <f>'A) Base RI'!A12</f>
        <v>5406</v>
      </c>
      <c r="B10" s="291" t="str">
        <f>'A) Base RI'!B12</f>
        <v>Lavey-Morcles</v>
      </c>
      <c r="C10" s="10">
        <f>'B) D RI'!Y12</f>
        <v>40425.5</v>
      </c>
      <c r="D10" s="422">
        <f>'B) D RI'!Z12</f>
        <v>3939</v>
      </c>
      <c r="E10" s="10">
        <f t="shared" si="0"/>
        <v>44364.5</v>
      </c>
      <c r="F10" s="422">
        <f>'B) D RI'!U12</f>
        <v>24629.026648333398</v>
      </c>
      <c r="G10" s="265">
        <f t="shared" si="1"/>
        <v>1.8013095130985237</v>
      </c>
      <c r="H10" s="55">
        <f t="shared" si="2"/>
        <v>21394.45</v>
      </c>
      <c r="I10" s="413">
        <f t="shared" si="3"/>
        <v>0.86866810879218093</v>
      </c>
    </row>
    <row r="11" spans="1:10" x14ac:dyDescent="0.25">
      <c r="A11" s="49">
        <f>'A) Base RI'!A13</f>
        <v>5407</v>
      </c>
      <c r="B11" s="291" t="str">
        <f>'A) Base RI'!B13</f>
        <v>Leysin</v>
      </c>
      <c r="C11" s="10">
        <f>'B) D RI'!Y13</f>
        <v>768231.9</v>
      </c>
      <c r="D11" s="422">
        <f>'B) D RI'!Z13</f>
        <v>51426.35</v>
      </c>
      <c r="E11" s="10">
        <f t="shared" si="0"/>
        <v>819658.25</v>
      </c>
      <c r="F11" s="422">
        <f>'B) D RI'!U13</f>
        <v>88989.44860843374</v>
      </c>
      <c r="G11" s="265">
        <f t="shared" si="1"/>
        <v>9.2107352367876008</v>
      </c>
      <c r="H11" s="55">
        <f t="shared" si="2"/>
        <v>399543.85499999998</v>
      </c>
      <c r="I11" s="413">
        <f t="shared" si="3"/>
        <v>4.4897890845245021</v>
      </c>
    </row>
    <row r="12" spans="1:10" x14ac:dyDescent="0.25">
      <c r="A12" s="49">
        <f>'A) Base RI'!A14</f>
        <v>5408</v>
      </c>
      <c r="B12" s="291" t="str">
        <f>'A) Base RI'!B14</f>
        <v>Noville</v>
      </c>
      <c r="C12" s="10">
        <f>'B) D RI'!Y14</f>
        <v>644634.94999999995</v>
      </c>
      <c r="D12" s="422">
        <f>'B) D RI'!Z14</f>
        <v>100718.3</v>
      </c>
      <c r="E12" s="10">
        <f t="shared" si="0"/>
        <v>745353.25</v>
      </c>
      <c r="F12" s="422">
        <f>'B) D RI'!U14</f>
        <v>28270.539787685771</v>
      </c>
      <c r="G12" s="265">
        <f t="shared" si="1"/>
        <v>26.365016571939133</v>
      </c>
      <c r="H12" s="55">
        <f t="shared" si="2"/>
        <v>352532.96499999997</v>
      </c>
      <c r="I12" s="413">
        <f t="shared" si="3"/>
        <v>12.469976436514951</v>
      </c>
    </row>
    <row r="13" spans="1:10" x14ac:dyDescent="0.25">
      <c r="A13" s="49">
        <f>'A) Base RI'!A15</f>
        <v>5409</v>
      </c>
      <c r="B13" s="291" t="str">
        <f>'A) Base RI'!B15</f>
        <v>Ollon</v>
      </c>
      <c r="C13" s="10">
        <f>'B) D RI'!Y15</f>
        <v>3097270.4</v>
      </c>
      <c r="D13" s="422">
        <f>'B) D RI'!Z15</f>
        <v>57026.45</v>
      </c>
      <c r="E13" s="10">
        <f t="shared" si="0"/>
        <v>3154296.85</v>
      </c>
      <c r="F13" s="422">
        <f>'B) D RI'!U15</f>
        <v>398078.90791518224</v>
      </c>
      <c r="G13" s="265">
        <f t="shared" si="1"/>
        <v>7.9237979889958874</v>
      </c>
      <c r="H13" s="55">
        <f t="shared" si="2"/>
        <v>1565743.135</v>
      </c>
      <c r="I13" s="413">
        <f t="shared" si="3"/>
        <v>3.933248167304582</v>
      </c>
    </row>
    <row r="14" spans="1:10" x14ac:dyDescent="0.25">
      <c r="A14" s="49">
        <f>'A) Base RI'!A16</f>
        <v>5410</v>
      </c>
      <c r="B14" s="291" t="str">
        <f>'A) Base RI'!B16</f>
        <v>Ormont-Dessous</v>
      </c>
      <c r="C14" s="10">
        <f>'B) D RI'!Y16</f>
        <v>367474.1</v>
      </c>
      <c r="D14" s="422">
        <f>'B) D RI'!Z16</f>
        <v>3078.55</v>
      </c>
      <c r="E14" s="10">
        <f t="shared" si="0"/>
        <v>370552.64999999997</v>
      </c>
      <c r="F14" s="422">
        <f>'B) D RI'!U16</f>
        <v>38209.218513800428</v>
      </c>
      <c r="G14" s="265">
        <f t="shared" si="1"/>
        <v>9.6979908098922127</v>
      </c>
      <c r="H14" s="55">
        <f t="shared" si="2"/>
        <v>184660.61499999999</v>
      </c>
      <c r="I14" s="413">
        <f t="shared" si="3"/>
        <v>4.832881230829261</v>
      </c>
    </row>
    <row r="15" spans="1:10" x14ac:dyDescent="0.25">
      <c r="A15" s="49">
        <f>'A) Base RI'!A17</f>
        <v>5411</v>
      </c>
      <c r="B15" s="291" t="str">
        <f>'A) Base RI'!B17</f>
        <v>Ormont-Dessus</v>
      </c>
      <c r="C15" s="10">
        <f>'B) D RI'!Y17</f>
        <v>706517.8</v>
      </c>
      <c r="D15" s="422">
        <f>'B) D RI'!Z17</f>
        <v>10235.85</v>
      </c>
      <c r="E15" s="10">
        <f t="shared" si="0"/>
        <v>716753.65</v>
      </c>
      <c r="F15" s="422">
        <f>'B) D RI'!U17</f>
        <v>73074.251809839989</v>
      </c>
      <c r="G15" s="265">
        <f t="shared" si="1"/>
        <v>9.80856638621764</v>
      </c>
      <c r="H15" s="55">
        <f t="shared" si="2"/>
        <v>356329.65500000003</v>
      </c>
      <c r="I15" s="413">
        <f t="shared" si="3"/>
        <v>4.8762682637828609</v>
      </c>
    </row>
    <row r="16" spans="1:10" x14ac:dyDescent="0.25">
      <c r="A16" s="49">
        <f>'A) Base RI'!A18</f>
        <v>5412</v>
      </c>
      <c r="B16" s="291" t="str">
        <f>'A) Base RI'!B18</f>
        <v>Rennaz</v>
      </c>
      <c r="C16" s="10">
        <f>'B) D RI'!Y18</f>
        <v>65132.549999999996</v>
      </c>
      <c r="D16" s="422">
        <f>'B) D RI'!Z18</f>
        <v>87891.6</v>
      </c>
      <c r="E16" s="10">
        <f t="shared" si="0"/>
        <v>153024.15</v>
      </c>
      <c r="F16" s="422">
        <f>'B) D RI'!U18</f>
        <v>23813.904160849284</v>
      </c>
      <c r="G16" s="265">
        <f t="shared" si="1"/>
        <v>6.4258321091077502</v>
      </c>
      <c r="H16" s="55">
        <f t="shared" si="2"/>
        <v>58933.754999999997</v>
      </c>
      <c r="I16" s="413">
        <f t="shared" si="3"/>
        <v>2.4747624161891402</v>
      </c>
    </row>
    <row r="17" spans="1:9" x14ac:dyDescent="0.25">
      <c r="A17" s="49">
        <f>'A) Base RI'!A19</f>
        <v>5413</v>
      </c>
      <c r="B17" s="291" t="str">
        <f>'A) Base RI'!B19</f>
        <v>Roche</v>
      </c>
      <c r="C17" s="10">
        <f>'B) D RI'!Y19</f>
        <v>394637.55000000005</v>
      </c>
      <c r="D17" s="422">
        <f>'B) D RI'!Z19</f>
        <v>244007.9</v>
      </c>
      <c r="E17" s="10">
        <f t="shared" si="0"/>
        <v>638645.45000000007</v>
      </c>
      <c r="F17" s="422">
        <f>'B) D RI'!U19</f>
        <v>44639.413526237746</v>
      </c>
      <c r="G17" s="265">
        <f t="shared" si="1"/>
        <v>14.306761660849842</v>
      </c>
      <c r="H17" s="55">
        <f t="shared" si="2"/>
        <v>270521.14500000002</v>
      </c>
      <c r="I17" s="413">
        <f t="shared" si="3"/>
        <v>6.0601411091791242</v>
      </c>
    </row>
    <row r="18" spans="1:9" x14ac:dyDescent="0.25">
      <c r="A18" s="49">
        <f>'A) Base RI'!A20</f>
        <v>5414</v>
      </c>
      <c r="B18" s="291" t="str">
        <f>'A) Base RI'!B20</f>
        <v>Villeneuve</v>
      </c>
      <c r="C18" s="10">
        <f>'B) D RI'!Y20</f>
        <v>1802465.4</v>
      </c>
      <c r="D18" s="422">
        <f>'B) D RI'!Z20</f>
        <v>1426833.65</v>
      </c>
      <c r="E18" s="10">
        <f t="shared" si="0"/>
        <v>3229299.05</v>
      </c>
      <c r="F18" s="422">
        <f>'B) D RI'!U20</f>
        <v>166033.59034311198</v>
      </c>
      <c r="G18" s="265">
        <f t="shared" si="1"/>
        <v>19.449673065110403</v>
      </c>
      <c r="H18" s="55">
        <f t="shared" si="2"/>
        <v>1329282.7949999999</v>
      </c>
      <c r="I18" s="413">
        <f t="shared" si="3"/>
        <v>8.0061076331181447</v>
      </c>
    </row>
    <row r="19" spans="1:9" x14ac:dyDescent="0.25">
      <c r="A19" s="49">
        <f>'A) Base RI'!A21</f>
        <v>5415</v>
      </c>
      <c r="B19" s="291" t="str">
        <f>'A) Base RI'!B21</f>
        <v>Yvorne</v>
      </c>
      <c r="C19" s="10">
        <f>'B) D RI'!Y21</f>
        <v>364831.2</v>
      </c>
      <c r="D19" s="422">
        <f>'B) D RI'!Z21</f>
        <v>18151.900000000001</v>
      </c>
      <c r="E19" s="10">
        <f t="shared" si="0"/>
        <v>382983.10000000003</v>
      </c>
      <c r="F19" s="422">
        <f>'B) D RI'!U21</f>
        <v>39123.170780997614</v>
      </c>
      <c r="G19" s="265">
        <f t="shared" si="1"/>
        <v>9.7891631060235405</v>
      </c>
      <c r="H19" s="55">
        <f t="shared" si="2"/>
        <v>187861.17</v>
      </c>
      <c r="I19" s="413">
        <f t="shared" si="3"/>
        <v>4.8017879494380207</v>
      </c>
    </row>
    <row r="20" spans="1:9" x14ac:dyDescent="0.25">
      <c r="A20" s="49">
        <f>'A) Base RI'!A22</f>
        <v>5421</v>
      </c>
      <c r="B20" s="291" t="str">
        <f>'A) Base RI'!B22</f>
        <v>Apples</v>
      </c>
      <c r="C20" s="10">
        <f>'B) D RI'!Y22</f>
        <v>376949.5</v>
      </c>
      <c r="D20" s="422">
        <f>'B) D RI'!Z22</f>
        <v>26298.5</v>
      </c>
      <c r="E20" s="10">
        <f t="shared" si="0"/>
        <v>403248</v>
      </c>
      <c r="F20" s="422">
        <f>'B) D RI'!U22</f>
        <v>70492.513251958138</v>
      </c>
      <c r="G20" s="265">
        <f t="shared" si="1"/>
        <v>5.7204372691138037</v>
      </c>
      <c r="H20" s="55">
        <f t="shared" si="2"/>
        <v>196364.3</v>
      </c>
      <c r="I20" s="413">
        <f t="shared" si="3"/>
        <v>2.785605037206492</v>
      </c>
    </row>
    <row r="21" spans="1:9" x14ac:dyDescent="0.25">
      <c r="A21" s="49">
        <f>'A) Base RI'!A23</f>
        <v>5422</v>
      </c>
      <c r="B21" s="291" t="str">
        <f>'A) Base RI'!B23</f>
        <v>Aubonne</v>
      </c>
      <c r="C21" s="10">
        <f>'B) D RI'!Y23</f>
        <v>911834.95000000007</v>
      </c>
      <c r="D21" s="422">
        <f>'B) D RI'!Z23</f>
        <v>905909.6</v>
      </c>
      <c r="E21" s="10">
        <f t="shared" si="0"/>
        <v>1817744.55</v>
      </c>
      <c r="F21" s="422">
        <f>'B) D RI'!U23</f>
        <v>245436.88330377048</v>
      </c>
      <c r="G21" s="265">
        <f t="shared" si="1"/>
        <v>7.4061588687557922</v>
      </c>
      <c r="H21" s="55">
        <f t="shared" si="2"/>
        <v>727690.35499999998</v>
      </c>
      <c r="I21" s="413">
        <f t="shared" si="3"/>
        <v>2.9648777527025456</v>
      </c>
    </row>
    <row r="22" spans="1:9" x14ac:dyDescent="0.25">
      <c r="A22" s="49">
        <f>'A) Base RI'!A24</f>
        <v>5423</v>
      </c>
      <c r="B22" s="291" t="str">
        <f>'A) Base RI'!B24</f>
        <v>Ballens</v>
      </c>
      <c r="C22" s="10">
        <f>'B) D RI'!Y24</f>
        <v>80054.3</v>
      </c>
      <c r="D22" s="422">
        <f>'B) D RI'!Z24</f>
        <v>33405.599999999999</v>
      </c>
      <c r="E22" s="10">
        <f t="shared" si="0"/>
        <v>113459.9</v>
      </c>
      <c r="F22" s="422">
        <f>'B) D RI'!U24</f>
        <v>16319.771402685055</v>
      </c>
      <c r="G22" s="265">
        <f t="shared" si="1"/>
        <v>6.9522971370378812</v>
      </c>
      <c r="H22" s="55">
        <f t="shared" si="2"/>
        <v>50048.83</v>
      </c>
      <c r="I22" s="413">
        <f t="shared" si="3"/>
        <v>3.06676048120169</v>
      </c>
    </row>
    <row r="23" spans="1:9" x14ac:dyDescent="0.25">
      <c r="A23" s="49">
        <f>'A) Base RI'!A25</f>
        <v>5424</v>
      </c>
      <c r="B23" s="291" t="str">
        <f>'A) Base RI'!B25</f>
        <v>Berolle</v>
      </c>
      <c r="C23" s="10">
        <f>'B) D RI'!Y25</f>
        <v>10503.9</v>
      </c>
      <c r="D23" s="422">
        <f>'B) D RI'!Z25</f>
        <v>0</v>
      </c>
      <c r="E23" s="10">
        <f t="shared" si="0"/>
        <v>10503.9</v>
      </c>
      <c r="F23" s="422">
        <f>'B) D RI'!U25</f>
        <v>9278.5718181818156</v>
      </c>
      <c r="G23" s="265">
        <f t="shared" si="1"/>
        <v>1.13205999865379</v>
      </c>
      <c r="H23" s="55">
        <f t="shared" si="2"/>
        <v>5251.95</v>
      </c>
      <c r="I23" s="413">
        <f t="shared" si="3"/>
        <v>0.56602999932689502</v>
      </c>
    </row>
    <row r="24" spans="1:9" x14ac:dyDescent="0.25">
      <c r="A24" s="49">
        <f>'A) Base RI'!A26</f>
        <v>5425</v>
      </c>
      <c r="B24" s="291" t="str">
        <f>'A) Base RI'!B26</f>
        <v>Bière</v>
      </c>
      <c r="C24" s="10">
        <f>'B) D RI'!Y26</f>
        <v>304545.45</v>
      </c>
      <c r="D24" s="422">
        <f>'B) D RI'!Z26</f>
        <v>59876.55</v>
      </c>
      <c r="E24" s="10">
        <f t="shared" si="0"/>
        <v>364422</v>
      </c>
      <c r="F24" s="422">
        <f>'B) D RI'!U26</f>
        <v>39360.03487040029</v>
      </c>
      <c r="G24" s="265">
        <f t="shared" si="1"/>
        <v>9.2586808218011587</v>
      </c>
      <c r="H24" s="55">
        <f t="shared" si="2"/>
        <v>170235.69</v>
      </c>
      <c r="I24" s="413">
        <f t="shared" si="3"/>
        <v>4.3250899182516074</v>
      </c>
    </row>
    <row r="25" spans="1:9" x14ac:dyDescent="0.25">
      <c r="A25" s="49">
        <f>'A) Base RI'!A27</f>
        <v>5426</v>
      </c>
      <c r="B25" s="291" t="str">
        <f>'A) Base RI'!B27</f>
        <v>Bougy-Villars</v>
      </c>
      <c r="C25" s="10">
        <f>'B) D RI'!Y27</f>
        <v>315305.75</v>
      </c>
      <c r="D25" s="422">
        <f>'B) D RI'!Z27</f>
        <v>720.4</v>
      </c>
      <c r="E25" s="10">
        <f t="shared" si="0"/>
        <v>316026.15000000002</v>
      </c>
      <c r="F25" s="422">
        <f>'B) D RI'!U27</f>
        <v>51974.123620521015</v>
      </c>
      <c r="G25" s="265">
        <f t="shared" si="1"/>
        <v>6.0804517322389824</v>
      </c>
      <c r="H25" s="55">
        <f t="shared" si="2"/>
        <v>157868.995</v>
      </c>
      <c r="I25" s="413">
        <f t="shared" si="3"/>
        <v>3.0374537174046425</v>
      </c>
    </row>
    <row r="26" spans="1:9" x14ac:dyDescent="0.25">
      <c r="A26" s="49">
        <f>'A) Base RI'!A28</f>
        <v>5427</v>
      </c>
      <c r="B26" s="291" t="str">
        <f>'A) Base RI'!B28</f>
        <v>Féchy</v>
      </c>
      <c r="C26" s="10">
        <f>'B) D RI'!Y28</f>
        <v>460523.35</v>
      </c>
      <c r="D26" s="422">
        <f>'B) D RI'!Z28</f>
        <v>12002.5</v>
      </c>
      <c r="E26" s="10">
        <f t="shared" si="0"/>
        <v>472525.85</v>
      </c>
      <c r="F26" s="422">
        <f>'B) D RI'!U28</f>
        <v>86694.092344793113</v>
      </c>
      <c r="G26" s="265">
        <f t="shared" si="1"/>
        <v>5.4504965358043815</v>
      </c>
      <c r="H26" s="55">
        <f t="shared" si="2"/>
        <v>233862.42499999999</v>
      </c>
      <c r="I26" s="413">
        <f t="shared" si="3"/>
        <v>2.6975589532663915</v>
      </c>
    </row>
    <row r="27" spans="1:9" x14ac:dyDescent="0.25">
      <c r="A27" s="49">
        <f>'A) Base RI'!A29</f>
        <v>5428</v>
      </c>
      <c r="B27" s="291" t="str">
        <f>'A) Base RI'!B29</f>
        <v>Gimel</v>
      </c>
      <c r="C27" s="10">
        <f>'B) D RI'!Y29</f>
        <v>362519.25</v>
      </c>
      <c r="D27" s="422">
        <f>'B) D RI'!Z29</f>
        <v>226233.85</v>
      </c>
      <c r="E27" s="10">
        <f t="shared" si="0"/>
        <v>588753.1</v>
      </c>
      <c r="F27" s="422">
        <f>'B) D RI'!U29</f>
        <v>66248.425772179224</v>
      </c>
      <c r="G27" s="265">
        <f t="shared" si="1"/>
        <v>8.8870504187473784</v>
      </c>
      <c r="H27" s="55">
        <f t="shared" si="2"/>
        <v>249129.78</v>
      </c>
      <c r="I27" s="413">
        <f t="shared" si="3"/>
        <v>3.7605388670929161</v>
      </c>
    </row>
    <row r="28" spans="1:9" x14ac:dyDescent="0.25">
      <c r="A28" s="49">
        <f>'A) Base RI'!A30</f>
        <v>5429</v>
      </c>
      <c r="B28" s="291" t="str">
        <f>'A) Base RI'!B30</f>
        <v>Longirod</v>
      </c>
      <c r="C28" s="10">
        <f>'B) D RI'!Y30</f>
        <v>76944.049999999988</v>
      </c>
      <c r="D28" s="422">
        <f>'B) D RI'!Z30</f>
        <v>0</v>
      </c>
      <c r="E28" s="10">
        <f t="shared" si="0"/>
        <v>76944.049999999988</v>
      </c>
      <c r="F28" s="422">
        <f>'B) D RI'!U30</f>
        <v>15299.789438077625</v>
      </c>
      <c r="G28" s="265">
        <f t="shared" si="1"/>
        <v>5.0290920872743587</v>
      </c>
      <c r="H28" s="55">
        <f t="shared" si="2"/>
        <v>38472.024999999994</v>
      </c>
      <c r="I28" s="413">
        <f t="shared" si="3"/>
        <v>2.5145460436371794</v>
      </c>
    </row>
    <row r="29" spans="1:9" x14ac:dyDescent="0.25">
      <c r="A29" s="49">
        <f>'A) Base RI'!A31</f>
        <v>5430</v>
      </c>
      <c r="B29" s="291" t="str">
        <f>'A) Base RI'!B31</f>
        <v>Marchissy</v>
      </c>
      <c r="C29" s="10">
        <f>'B) D RI'!Y31</f>
        <v>55638.299999999996</v>
      </c>
      <c r="D29" s="422">
        <f>'B) D RI'!Z31</f>
        <v>6850.45</v>
      </c>
      <c r="E29" s="10">
        <f t="shared" si="0"/>
        <v>62488.749999999993</v>
      </c>
      <c r="F29" s="422">
        <f>'B) D RI'!U31</f>
        <v>14892.112085590652</v>
      </c>
      <c r="G29" s="265">
        <f t="shared" si="1"/>
        <v>4.1960972117892545</v>
      </c>
      <c r="H29" s="55">
        <f t="shared" si="2"/>
        <v>29874.284999999996</v>
      </c>
      <c r="I29" s="413">
        <f t="shared" si="3"/>
        <v>2.0060475524426002</v>
      </c>
    </row>
    <row r="30" spans="1:9" x14ac:dyDescent="0.25">
      <c r="A30" s="49">
        <f>'A) Base RI'!A32</f>
        <v>5431</v>
      </c>
      <c r="B30" s="291" t="str">
        <f>'A) Base RI'!B32</f>
        <v>Mollens</v>
      </c>
      <c r="C30" s="10">
        <f>'B) D RI'!Y32</f>
        <v>116337.04999999999</v>
      </c>
      <c r="D30" s="422">
        <f>'B) D RI'!Z32</f>
        <v>292.05</v>
      </c>
      <c r="E30" s="10">
        <f t="shared" si="0"/>
        <v>116629.09999999999</v>
      </c>
      <c r="F30" s="422">
        <f>'B) D RI'!U32</f>
        <v>10626.564516518391</v>
      </c>
      <c r="G30" s="265">
        <f t="shared" si="1"/>
        <v>10.975240381659255</v>
      </c>
      <c r="H30" s="55">
        <f t="shared" si="2"/>
        <v>58256.139999999992</v>
      </c>
      <c r="I30" s="413">
        <f t="shared" si="3"/>
        <v>5.4821235884320032</v>
      </c>
    </row>
    <row r="31" spans="1:9" x14ac:dyDescent="0.25">
      <c r="A31" s="49">
        <f>'A) Base RI'!A33</f>
        <v>5434</v>
      </c>
      <c r="B31" s="291" t="str">
        <f>'A) Base RI'!B33</f>
        <v>Saint-George</v>
      </c>
      <c r="C31" s="10">
        <f>'B) D RI'!Y33</f>
        <v>211977.25</v>
      </c>
      <c r="D31" s="422">
        <f>'B) D RI'!Z33</f>
        <v>31108.400000000001</v>
      </c>
      <c r="E31" s="10">
        <f t="shared" si="0"/>
        <v>243085.65</v>
      </c>
      <c r="F31" s="422">
        <f>'B) D RI'!U33</f>
        <v>39849.055598308893</v>
      </c>
      <c r="G31" s="265">
        <f t="shared" si="1"/>
        <v>6.1001608783500512</v>
      </c>
      <c r="H31" s="55">
        <f t="shared" si="2"/>
        <v>115321.145</v>
      </c>
      <c r="I31" s="413">
        <f t="shared" si="3"/>
        <v>2.8939492609931259</v>
      </c>
    </row>
    <row r="32" spans="1:9" x14ac:dyDescent="0.25">
      <c r="A32" s="49">
        <f>'A) Base RI'!A34</f>
        <v>5435</v>
      </c>
      <c r="B32" s="291" t="str">
        <f>'A) Base RI'!B34</f>
        <v>Saint-Livres</v>
      </c>
      <c r="C32" s="10">
        <f>'B) D RI'!Y34</f>
        <v>66162.399999999994</v>
      </c>
      <c r="D32" s="422">
        <f>'B) D RI'!Z34</f>
        <v>1807.7</v>
      </c>
      <c r="E32" s="10">
        <f t="shared" si="0"/>
        <v>67970.099999999991</v>
      </c>
      <c r="F32" s="422">
        <f>'B) D RI'!U34</f>
        <v>24291.940869565216</v>
      </c>
      <c r="G32" s="265">
        <f t="shared" si="1"/>
        <v>2.7980514346285967</v>
      </c>
      <c r="H32" s="55">
        <f t="shared" si="2"/>
        <v>33623.509999999995</v>
      </c>
      <c r="I32" s="413">
        <f t="shared" si="3"/>
        <v>1.3841425920036745</v>
      </c>
    </row>
    <row r="33" spans="1:9" x14ac:dyDescent="0.25">
      <c r="A33" s="49">
        <f>'A) Base RI'!A35</f>
        <v>5436</v>
      </c>
      <c r="B33" s="291" t="str">
        <f>'A) Base RI'!B35</f>
        <v>Saint-Oyens</v>
      </c>
      <c r="C33" s="10">
        <f>'B) D RI'!Y35</f>
        <v>47544.05</v>
      </c>
      <c r="D33" s="422">
        <f>'B) D RI'!Z35</f>
        <v>1201.0999999999999</v>
      </c>
      <c r="E33" s="10">
        <f t="shared" si="0"/>
        <v>48745.15</v>
      </c>
      <c r="F33" s="422">
        <f>'B) D RI'!U35</f>
        <v>16655.571776721274</v>
      </c>
      <c r="G33" s="265">
        <f t="shared" si="1"/>
        <v>2.9266572564100652</v>
      </c>
      <c r="H33" s="55">
        <f t="shared" si="2"/>
        <v>24132.355000000003</v>
      </c>
      <c r="I33" s="413">
        <f t="shared" si="3"/>
        <v>1.448905827041536</v>
      </c>
    </row>
    <row r="34" spans="1:9" x14ac:dyDescent="0.25">
      <c r="A34" s="49">
        <f>'A) Base RI'!A36</f>
        <v>5437</v>
      </c>
      <c r="B34" s="291" t="str">
        <f>'A) Base RI'!B36</f>
        <v>Saubraz</v>
      </c>
      <c r="C34" s="10">
        <f>'B) D RI'!Y36</f>
        <v>46518.75</v>
      </c>
      <c r="D34" s="422">
        <f>'B) D RI'!Z36</f>
        <v>0</v>
      </c>
      <c r="E34" s="10">
        <f t="shared" si="0"/>
        <v>46518.75</v>
      </c>
      <c r="F34" s="422">
        <f>'B) D RI'!U36</f>
        <v>13155.457431390041</v>
      </c>
      <c r="G34" s="265">
        <f t="shared" si="1"/>
        <v>3.5360800065379943</v>
      </c>
      <c r="H34" s="55">
        <f t="shared" si="2"/>
        <v>23259.375</v>
      </c>
      <c r="I34" s="413">
        <f t="shared" si="3"/>
        <v>1.7680400032689971</v>
      </c>
    </row>
    <row r="35" spans="1:9" x14ac:dyDescent="0.25">
      <c r="A35" s="49">
        <f>'A) Base RI'!A37</f>
        <v>5451</v>
      </c>
      <c r="B35" s="291" t="str">
        <f>'A) Base RI'!B37</f>
        <v>Avenches</v>
      </c>
      <c r="C35" s="10">
        <f>'B) D RI'!Y37</f>
        <v>756358</v>
      </c>
      <c r="D35" s="422">
        <f>'B) D RI'!Z37</f>
        <v>402168.8</v>
      </c>
      <c r="E35" s="10">
        <f t="shared" si="0"/>
        <v>1158526.8</v>
      </c>
      <c r="F35" s="422">
        <f>'B) D RI'!U37</f>
        <v>131058.88480778445</v>
      </c>
      <c r="G35" s="265">
        <f t="shared" si="1"/>
        <v>8.8397425454911822</v>
      </c>
      <c r="H35" s="55">
        <f t="shared" si="2"/>
        <v>498829.64</v>
      </c>
      <c r="I35" s="413">
        <f t="shared" si="3"/>
        <v>3.8061489744216965</v>
      </c>
    </row>
    <row r="36" spans="1:9" x14ac:dyDescent="0.25">
      <c r="A36" s="49">
        <f>'A) Base RI'!A38</f>
        <v>5456</v>
      </c>
      <c r="B36" s="291" t="str">
        <f>'A) Base RI'!B38</f>
        <v>Cudrefin</v>
      </c>
      <c r="C36" s="10">
        <f>'B) D RI'!Y38</f>
        <v>1147950.4500000002</v>
      </c>
      <c r="D36" s="422">
        <f>'B) D RI'!Z38</f>
        <v>11939.5</v>
      </c>
      <c r="E36" s="10">
        <f t="shared" si="0"/>
        <v>1159889.9500000002</v>
      </c>
      <c r="F36" s="422">
        <f>'B) D RI'!U38</f>
        <v>57483.919740251898</v>
      </c>
      <c r="G36" s="265">
        <f t="shared" si="1"/>
        <v>20.177641943018227</v>
      </c>
      <c r="H36" s="55">
        <f t="shared" si="2"/>
        <v>577557.07500000007</v>
      </c>
      <c r="I36" s="413">
        <f t="shared" si="3"/>
        <v>10.047280658830541</v>
      </c>
    </row>
    <row r="37" spans="1:9" x14ac:dyDescent="0.25">
      <c r="A37" s="49">
        <f>'A) Base RI'!A39</f>
        <v>5458</v>
      </c>
      <c r="B37" s="291" t="str">
        <f>'A) Base RI'!B39</f>
        <v>Faoug</v>
      </c>
      <c r="C37" s="10">
        <f>'B) D RI'!Y39</f>
        <v>449305.95000000007</v>
      </c>
      <c r="D37" s="422">
        <f>'B) D RI'!Z39</f>
        <v>0</v>
      </c>
      <c r="E37" s="10">
        <f t="shared" si="0"/>
        <v>449305.95000000007</v>
      </c>
      <c r="F37" s="422">
        <f>'B) D RI'!U39</f>
        <v>33103.176846222719</v>
      </c>
      <c r="G37" s="265">
        <f t="shared" si="1"/>
        <v>13.572895196349371</v>
      </c>
      <c r="H37" s="55">
        <f t="shared" si="2"/>
        <v>224652.97500000003</v>
      </c>
      <c r="I37" s="413">
        <f t="shared" si="3"/>
        <v>6.7864475981746857</v>
      </c>
    </row>
    <row r="38" spans="1:9" x14ac:dyDescent="0.25">
      <c r="A38" s="49">
        <f>'A) Base RI'!A40</f>
        <v>5464</v>
      </c>
      <c r="B38" s="291" t="str">
        <f>'A) Base RI'!B40</f>
        <v>Vully-les-Lacs</v>
      </c>
      <c r="C38" s="10">
        <f>'B) D RI'!Y40</f>
        <v>761841.39999999991</v>
      </c>
      <c r="D38" s="422">
        <f>'B) D RI'!Z40</f>
        <v>0</v>
      </c>
      <c r="E38" s="10">
        <f t="shared" si="0"/>
        <v>761841.39999999991</v>
      </c>
      <c r="F38" s="422">
        <f>'B) D RI'!U40</f>
        <v>112706.50074312353</v>
      </c>
      <c r="G38" s="265">
        <f t="shared" si="1"/>
        <v>6.7595160436784436</v>
      </c>
      <c r="H38" s="55">
        <f t="shared" si="2"/>
        <v>380920.69999999995</v>
      </c>
      <c r="I38" s="413">
        <f t="shared" si="3"/>
        <v>3.3797580218392218</v>
      </c>
    </row>
    <row r="39" spans="1:9" x14ac:dyDescent="0.25">
      <c r="A39" s="49">
        <f>'A) Base RI'!A41</f>
        <v>5471</v>
      </c>
      <c r="B39" s="291" t="str">
        <f>'A) Base RI'!B41</f>
        <v>Bettens</v>
      </c>
      <c r="C39" s="10">
        <f>'B) D RI'!Y41</f>
        <v>33915.450000000004</v>
      </c>
      <c r="D39" s="422">
        <f>'B) D RI'!Z41</f>
        <v>45443.55</v>
      </c>
      <c r="E39" s="10">
        <f t="shared" si="0"/>
        <v>79359</v>
      </c>
      <c r="F39" s="422">
        <f>'B) D RI'!U41</f>
        <v>21669.887846159098</v>
      </c>
      <c r="G39" s="265">
        <f t="shared" si="1"/>
        <v>3.6621786214766252</v>
      </c>
      <c r="H39" s="55">
        <f t="shared" si="2"/>
        <v>30590.79</v>
      </c>
      <c r="I39" s="413">
        <f t="shared" si="3"/>
        <v>1.411672742248276</v>
      </c>
    </row>
    <row r="40" spans="1:9" x14ac:dyDescent="0.25">
      <c r="A40" s="49">
        <f>'A) Base RI'!A42</f>
        <v>5472</v>
      </c>
      <c r="B40" s="291" t="str">
        <f>'A) Base RI'!B42</f>
        <v>Bournens</v>
      </c>
      <c r="C40" s="10">
        <f>'B) D RI'!Y42</f>
        <v>60247.3</v>
      </c>
      <c r="D40" s="422">
        <f>'B) D RI'!Z42</f>
        <v>0</v>
      </c>
      <c r="E40" s="10">
        <f t="shared" si="0"/>
        <v>60247.3</v>
      </c>
      <c r="F40" s="422">
        <f>'B) D RI'!U42</f>
        <v>15019.940865033717</v>
      </c>
      <c r="G40" s="265">
        <f t="shared" si="1"/>
        <v>4.0111542742658299</v>
      </c>
      <c r="H40" s="55">
        <f t="shared" si="2"/>
        <v>30123.65</v>
      </c>
      <c r="I40" s="413">
        <f t="shared" si="3"/>
        <v>2.005577137132915</v>
      </c>
    </row>
    <row r="41" spans="1:9" x14ac:dyDescent="0.25">
      <c r="A41" s="49">
        <f>'A) Base RI'!A43</f>
        <v>5473</v>
      </c>
      <c r="B41" s="291" t="str">
        <f>'A) Base RI'!B43</f>
        <v>Boussens</v>
      </c>
      <c r="C41" s="10">
        <f>'B) D RI'!Y43</f>
        <v>90577</v>
      </c>
      <c r="D41" s="422">
        <f>'B) D RI'!Z43</f>
        <v>329.95</v>
      </c>
      <c r="E41" s="10">
        <f t="shared" si="0"/>
        <v>90906.95</v>
      </c>
      <c r="F41" s="422">
        <f>'B) D RI'!U43</f>
        <v>34282.214706986073</v>
      </c>
      <c r="G41" s="265">
        <f t="shared" si="1"/>
        <v>2.6517233725123033</v>
      </c>
      <c r="H41" s="55">
        <f t="shared" si="2"/>
        <v>45387.485000000001</v>
      </c>
      <c r="I41" s="413">
        <f t="shared" si="3"/>
        <v>1.3239367814457705</v>
      </c>
    </row>
    <row r="42" spans="1:9" x14ac:dyDescent="0.25">
      <c r="A42" s="49">
        <f>'A) Base RI'!A44</f>
        <v>5474</v>
      </c>
      <c r="B42" s="291" t="str">
        <f>'A) Base RI'!B44</f>
        <v>La Chaux (Cossonay)</v>
      </c>
      <c r="C42" s="10">
        <f>'B) D RI'!Y44</f>
        <v>101156.1</v>
      </c>
      <c r="D42" s="422">
        <f>'B) D RI'!Z44</f>
        <v>2824.35</v>
      </c>
      <c r="E42" s="10">
        <f t="shared" si="0"/>
        <v>103980.45000000001</v>
      </c>
      <c r="F42" s="422">
        <f>'B) D RI'!U44</f>
        <v>15312.847748917748</v>
      </c>
      <c r="G42" s="265">
        <f t="shared" si="1"/>
        <v>6.7904057889786662</v>
      </c>
      <c r="H42" s="55">
        <f t="shared" si="2"/>
        <v>51425.355000000003</v>
      </c>
      <c r="I42" s="413">
        <f t="shared" si="3"/>
        <v>3.3583142628473235</v>
      </c>
    </row>
    <row r="43" spans="1:9" x14ac:dyDescent="0.25">
      <c r="A43" s="49">
        <f>'A) Base RI'!A45</f>
        <v>5475</v>
      </c>
      <c r="B43" s="291" t="str">
        <f>'A) Base RI'!B45</f>
        <v>Chavannes-le-Veyron</v>
      </c>
      <c r="C43" s="10">
        <f>'B) D RI'!Y45</f>
        <v>25640.9</v>
      </c>
      <c r="D43" s="422">
        <f>'B) D RI'!Z45</f>
        <v>0</v>
      </c>
      <c r="E43" s="10">
        <f t="shared" si="0"/>
        <v>25640.9</v>
      </c>
      <c r="F43" s="422">
        <f>'B) D RI'!U45</f>
        <v>3043.2190909090909</v>
      </c>
      <c r="G43" s="265">
        <f t="shared" si="1"/>
        <v>8.4255846306288706</v>
      </c>
      <c r="H43" s="55">
        <f t="shared" si="2"/>
        <v>12820.45</v>
      </c>
      <c r="I43" s="413">
        <f t="shared" si="3"/>
        <v>4.2127923153144353</v>
      </c>
    </row>
    <row r="44" spans="1:9" x14ac:dyDescent="0.25">
      <c r="A44" s="49">
        <f>'A) Base RI'!A46</f>
        <v>5476</v>
      </c>
      <c r="B44" s="291" t="str">
        <f>'A) Base RI'!B46</f>
        <v>Chevilly</v>
      </c>
      <c r="C44" s="10">
        <f>'B) D RI'!Y46</f>
        <v>0</v>
      </c>
      <c r="D44" s="422">
        <f>'B) D RI'!Z46</f>
        <v>0</v>
      </c>
      <c r="E44" s="10">
        <f t="shared" si="0"/>
        <v>0</v>
      </c>
      <c r="F44" s="422">
        <f>'B) D RI'!U46</f>
        <v>12636.676556913548</v>
      </c>
      <c r="G44" s="265">
        <f t="shared" si="1"/>
        <v>0</v>
      </c>
      <c r="H44" s="55">
        <f t="shared" si="2"/>
        <v>0</v>
      </c>
      <c r="I44" s="413">
        <f t="shared" si="3"/>
        <v>0</v>
      </c>
    </row>
    <row r="45" spans="1:9" x14ac:dyDescent="0.25">
      <c r="A45" s="49">
        <f>'A) Base RI'!A47</f>
        <v>5477</v>
      </c>
      <c r="B45" s="291" t="str">
        <f>'A) Base RI'!B47</f>
        <v>Cossonay</v>
      </c>
      <c r="C45" s="10">
        <f>'B) D RI'!Y47</f>
        <v>466762.45</v>
      </c>
      <c r="D45" s="422">
        <f>'B) D RI'!Z47</f>
        <v>71916.55</v>
      </c>
      <c r="E45" s="10">
        <f t="shared" si="0"/>
        <v>538679</v>
      </c>
      <c r="F45" s="422">
        <f>'B) D RI'!U47</f>
        <v>144296.3607707771</v>
      </c>
      <c r="G45" s="265">
        <f t="shared" si="1"/>
        <v>3.7331433524905173</v>
      </c>
      <c r="H45" s="55">
        <f t="shared" si="2"/>
        <v>254956.19</v>
      </c>
      <c r="I45" s="413">
        <f t="shared" si="3"/>
        <v>1.7668927243772439</v>
      </c>
    </row>
    <row r="46" spans="1:9" x14ac:dyDescent="0.25">
      <c r="A46" s="49">
        <f>'A) Base RI'!A48</f>
        <v>5478</v>
      </c>
      <c r="B46" s="291" t="str">
        <f>'A) Base RI'!B48</f>
        <v>Cottens</v>
      </c>
      <c r="C46" s="10">
        <f>'B) D RI'!Y48</f>
        <v>105084.1</v>
      </c>
      <c r="D46" s="422">
        <f>'B) D RI'!Z48</f>
        <v>0</v>
      </c>
      <c r="E46" s="10">
        <f t="shared" si="0"/>
        <v>105084.1</v>
      </c>
      <c r="F46" s="422">
        <f>'B) D RI'!U48</f>
        <v>17520.338093666011</v>
      </c>
      <c r="G46" s="265">
        <f t="shared" si="1"/>
        <v>5.9978351695159482</v>
      </c>
      <c r="H46" s="55">
        <f t="shared" si="2"/>
        <v>52542.05</v>
      </c>
      <c r="I46" s="413">
        <f t="shared" si="3"/>
        <v>2.9989175847579741</v>
      </c>
    </row>
    <row r="47" spans="1:9" x14ac:dyDescent="0.25">
      <c r="A47" s="49">
        <f>'A) Base RI'!A49</f>
        <v>5479</v>
      </c>
      <c r="B47" s="291" t="str">
        <f>'A) Base RI'!B49</f>
        <v>Cuarnens</v>
      </c>
      <c r="C47" s="10">
        <f>'B) D RI'!Y49</f>
        <v>45910.3</v>
      </c>
      <c r="D47" s="422">
        <f>'B) D RI'!Z49</f>
        <v>6580.5</v>
      </c>
      <c r="E47" s="10">
        <f t="shared" si="0"/>
        <v>52490.8</v>
      </c>
      <c r="F47" s="422">
        <f>'B) D RI'!U49</f>
        <v>17273.482190037128</v>
      </c>
      <c r="G47" s="265">
        <f t="shared" si="1"/>
        <v>3.0388082392718281</v>
      </c>
      <c r="H47" s="55">
        <f t="shared" si="2"/>
        <v>24929.300000000003</v>
      </c>
      <c r="I47" s="413">
        <f t="shared" si="3"/>
        <v>1.4432121865027621</v>
      </c>
    </row>
    <row r="48" spans="1:9" x14ac:dyDescent="0.25">
      <c r="A48" s="49">
        <f>'A) Base RI'!A50</f>
        <v>5480</v>
      </c>
      <c r="B48" s="291" t="str">
        <f>'A) Base RI'!B50</f>
        <v>Daillens</v>
      </c>
      <c r="C48" s="10">
        <f>'B) D RI'!Y50</f>
        <v>134792.54999999999</v>
      </c>
      <c r="D48" s="422">
        <f>'B) D RI'!Z50</f>
        <v>124620.8</v>
      </c>
      <c r="E48" s="10">
        <f t="shared" si="0"/>
        <v>259413.34999999998</v>
      </c>
      <c r="F48" s="422">
        <f>'B) D RI'!U50</f>
        <v>40220.975555555553</v>
      </c>
      <c r="G48" s="265">
        <f t="shared" si="1"/>
        <v>6.4497030819574022</v>
      </c>
      <c r="H48" s="55">
        <f t="shared" si="2"/>
        <v>104782.51499999998</v>
      </c>
      <c r="I48" s="413">
        <f t="shared" si="3"/>
        <v>2.6051708978383252</v>
      </c>
    </row>
    <row r="49" spans="1:9" x14ac:dyDescent="0.25">
      <c r="A49" s="49">
        <f>'A) Base RI'!A51</f>
        <v>5481</v>
      </c>
      <c r="B49" s="291" t="str">
        <f>'A) Base RI'!B51</f>
        <v>Dizy</v>
      </c>
      <c r="C49" s="10">
        <f>'B) D RI'!Y51</f>
        <v>135.65</v>
      </c>
      <c r="D49" s="422">
        <f>'B) D RI'!Z51</f>
        <v>0</v>
      </c>
      <c r="E49" s="10">
        <f t="shared" si="0"/>
        <v>135.65</v>
      </c>
      <c r="F49" s="422">
        <f>'B) D RI'!U51</f>
        <v>9702.0464562011348</v>
      </c>
      <c r="G49" s="265">
        <f t="shared" si="1"/>
        <v>1.3981586319172725E-2</v>
      </c>
      <c r="H49" s="55">
        <f t="shared" si="2"/>
        <v>67.825000000000003</v>
      </c>
      <c r="I49" s="413">
        <f t="shared" si="3"/>
        <v>6.9907931595863627E-3</v>
      </c>
    </row>
    <row r="50" spans="1:9" x14ac:dyDescent="0.25">
      <c r="A50" s="49">
        <f>'A) Base RI'!A52</f>
        <v>5482</v>
      </c>
      <c r="B50" s="291" t="str">
        <f>'A) Base RI'!B52</f>
        <v>Eclépens</v>
      </c>
      <c r="C50" s="10">
        <f>'B) D RI'!Y52</f>
        <v>106032.29999999999</v>
      </c>
      <c r="D50" s="422">
        <f>'B) D RI'!Z52</f>
        <v>339856.8</v>
      </c>
      <c r="E50" s="10">
        <f t="shared" si="0"/>
        <v>445889.1</v>
      </c>
      <c r="F50" s="422">
        <f>'B) D RI'!U52</f>
        <v>60387.408967257215</v>
      </c>
      <c r="G50" s="265">
        <f t="shared" si="1"/>
        <v>7.3838091023538777</v>
      </c>
      <c r="H50" s="55">
        <f t="shared" si="2"/>
        <v>154973.19</v>
      </c>
      <c r="I50" s="413">
        <f t="shared" si="3"/>
        <v>2.5663162677509206</v>
      </c>
    </row>
    <row r="51" spans="1:9" x14ac:dyDescent="0.25">
      <c r="A51" s="49">
        <f>'A) Base RI'!A53</f>
        <v>5483</v>
      </c>
      <c r="B51" s="291" t="str">
        <f>'A) Base RI'!B53</f>
        <v>Ferreyres</v>
      </c>
      <c r="C51" s="10">
        <f>'B) D RI'!Y53</f>
        <v>59847.299999999996</v>
      </c>
      <c r="D51" s="422">
        <f>'B) D RI'!Z53</f>
        <v>0</v>
      </c>
      <c r="E51" s="10">
        <f t="shared" si="0"/>
        <v>59847.299999999996</v>
      </c>
      <c r="F51" s="422">
        <f>'B) D RI'!U53</f>
        <v>11155.704681224479</v>
      </c>
      <c r="G51" s="265">
        <f t="shared" si="1"/>
        <v>5.3647260939710533</v>
      </c>
      <c r="H51" s="55">
        <f t="shared" si="2"/>
        <v>29923.649999999998</v>
      </c>
      <c r="I51" s="413">
        <f t="shared" si="3"/>
        <v>2.6823630469855266</v>
      </c>
    </row>
    <row r="52" spans="1:9" x14ac:dyDescent="0.25">
      <c r="A52" s="49">
        <f>'A) Base RI'!A54</f>
        <v>5484</v>
      </c>
      <c r="B52" s="291" t="str">
        <f>'A) Base RI'!B54</f>
        <v>Gollion</v>
      </c>
      <c r="C52" s="10">
        <f>'B) D RI'!Y54</f>
        <v>271172.84999999998</v>
      </c>
      <c r="D52" s="422">
        <f>'B) D RI'!Z54</f>
        <v>16240.15</v>
      </c>
      <c r="E52" s="10">
        <f t="shared" si="0"/>
        <v>287413</v>
      </c>
      <c r="F52" s="422">
        <f>'B) D RI'!U54</f>
        <v>33762.861845883657</v>
      </c>
      <c r="G52" s="265">
        <f t="shared" si="1"/>
        <v>8.5126966224588916</v>
      </c>
      <c r="H52" s="55">
        <f t="shared" si="2"/>
        <v>140458.47</v>
      </c>
      <c r="I52" s="413">
        <f t="shared" si="3"/>
        <v>4.1601470468097954</v>
      </c>
    </row>
    <row r="53" spans="1:9" x14ac:dyDescent="0.25">
      <c r="A53" s="49">
        <f>'A) Base RI'!A55</f>
        <v>5485</v>
      </c>
      <c r="B53" s="291" t="str">
        <f>'A) Base RI'!B55</f>
        <v>Grancy</v>
      </c>
      <c r="C53" s="10">
        <f>'B) D RI'!Y55</f>
        <v>85251.8</v>
      </c>
      <c r="D53" s="422">
        <f>'B) D RI'!Z55</f>
        <v>6450.2</v>
      </c>
      <c r="E53" s="10">
        <f t="shared" si="0"/>
        <v>91702</v>
      </c>
      <c r="F53" s="422">
        <f>'B) D RI'!U55</f>
        <v>16914.094370194773</v>
      </c>
      <c r="G53" s="265">
        <f t="shared" si="1"/>
        <v>5.421632278556574</v>
      </c>
      <c r="H53" s="55">
        <f t="shared" si="2"/>
        <v>44560.959999999999</v>
      </c>
      <c r="I53" s="413">
        <f t="shared" si="3"/>
        <v>2.6345460197102391</v>
      </c>
    </row>
    <row r="54" spans="1:9" x14ac:dyDescent="0.25">
      <c r="A54" s="49">
        <f>'A) Base RI'!A56</f>
        <v>5486</v>
      </c>
      <c r="B54" s="291" t="str">
        <f>'A) Base RI'!B56</f>
        <v>L'Isle</v>
      </c>
      <c r="C54" s="10">
        <f>'B) D RI'!Y56</f>
        <v>607593.80000000005</v>
      </c>
      <c r="D54" s="422">
        <f>'B) D RI'!Z56</f>
        <v>53112.2</v>
      </c>
      <c r="E54" s="10">
        <f t="shared" si="0"/>
        <v>660706</v>
      </c>
      <c r="F54" s="422">
        <f>'B) D RI'!U56</f>
        <v>35759.534807519231</v>
      </c>
      <c r="G54" s="265">
        <f t="shared" si="1"/>
        <v>18.476358922350187</v>
      </c>
      <c r="H54" s="55">
        <f t="shared" si="2"/>
        <v>319730.56</v>
      </c>
      <c r="I54" s="413">
        <f t="shared" si="3"/>
        <v>8.9411274984698519</v>
      </c>
    </row>
    <row r="55" spans="1:9" x14ac:dyDescent="0.25">
      <c r="A55" s="49">
        <f>'A) Base RI'!A57</f>
        <v>5487</v>
      </c>
      <c r="B55" s="291" t="str">
        <f>'A) Base RI'!B57</f>
        <v>Lussery-Villars</v>
      </c>
      <c r="C55" s="10">
        <f>'B) D RI'!Y57</f>
        <v>70213.649999999994</v>
      </c>
      <c r="D55" s="422">
        <f>'B) D RI'!Z57</f>
        <v>0</v>
      </c>
      <c r="E55" s="10">
        <f t="shared" si="0"/>
        <v>70213.649999999994</v>
      </c>
      <c r="F55" s="422">
        <f>'B) D RI'!U57</f>
        <v>15494.848822945682</v>
      </c>
      <c r="G55" s="265">
        <f t="shared" si="1"/>
        <v>4.5314188477930486</v>
      </c>
      <c r="H55" s="55">
        <f t="shared" si="2"/>
        <v>35106.824999999997</v>
      </c>
      <c r="I55" s="413">
        <f t="shared" si="3"/>
        <v>2.2657094238965243</v>
      </c>
    </row>
    <row r="56" spans="1:9" x14ac:dyDescent="0.25">
      <c r="A56" s="49">
        <f>'A) Base RI'!A58</f>
        <v>5488</v>
      </c>
      <c r="B56" s="291" t="str">
        <f>'A) Base RI'!B58</f>
        <v>Mauraz</v>
      </c>
      <c r="C56" s="10">
        <f>'B) D RI'!Y58</f>
        <v>0</v>
      </c>
      <c r="D56" s="422">
        <f>'B) D RI'!Z58</f>
        <v>0</v>
      </c>
      <c r="E56" s="10">
        <f t="shared" si="0"/>
        <v>0</v>
      </c>
      <c r="F56" s="422">
        <f>'B) D RI'!U58</f>
        <v>1750.6115384615387</v>
      </c>
      <c r="G56" s="265">
        <f t="shared" si="1"/>
        <v>0</v>
      </c>
      <c r="H56" s="55">
        <f t="shared" si="2"/>
        <v>0</v>
      </c>
      <c r="I56" s="413">
        <f t="shared" si="3"/>
        <v>0</v>
      </c>
    </row>
    <row r="57" spans="1:9" x14ac:dyDescent="0.25">
      <c r="A57" s="49">
        <f>'A) Base RI'!A59</f>
        <v>5489</v>
      </c>
      <c r="B57" s="291" t="str">
        <f>'A) Base RI'!B59</f>
        <v>Mex</v>
      </c>
      <c r="C57" s="10">
        <f>'B) D RI'!Y59</f>
        <v>72039.05</v>
      </c>
      <c r="D57" s="422">
        <f>'B) D RI'!Z59</f>
        <v>144968</v>
      </c>
      <c r="E57" s="10">
        <f t="shared" si="0"/>
        <v>217007.05</v>
      </c>
      <c r="F57" s="422">
        <f>'B) D RI'!U59</f>
        <v>63473.912067537727</v>
      </c>
      <c r="G57" s="265">
        <f t="shared" si="1"/>
        <v>3.4188384319072598</v>
      </c>
      <c r="H57" s="55">
        <f t="shared" si="2"/>
        <v>79509.925000000003</v>
      </c>
      <c r="I57" s="413">
        <f t="shared" si="3"/>
        <v>1.2526394294934835</v>
      </c>
    </row>
    <row r="58" spans="1:9" x14ac:dyDescent="0.25">
      <c r="A58" s="49">
        <f>'A) Base RI'!A60</f>
        <v>5490</v>
      </c>
      <c r="B58" s="291" t="str">
        <f>'A) Base RI'!B60</f>
        <v>Moiry</v>
      </c>
      <c r="C58" s="10">
        <f>'B) D RI'!Y60</f>
        <v>18522.349999999999</v>
      </c>
      <c r="D58" s="422">
        <f>'B) D RI'!Z60</f>
        <v>0</v>
      </c>
      <c r="E58" s="10">
        <f t="shared" si="0"/>
        <v>18522.349999999999</v>
      </c>
      <c r="F58" s="422">
        <f>'B) D RI'!U60</f>
        <v>8338.3158944329061</v>
      </c>
      <c r="G58" s="265">
        <f t="shared" si="1"/>
        <v>2.2213538362544507</v>
      </c>
      <c r="H58" s="55">
        <f t="shared" si="2"/>
        <v>9261.1749999999993</v>
      </c>
      <c r="I58" s="413">
        <f t="shared" si="3"/>
        <v>1.1106769181272254</v>
      </c>
    </row>
    <row r="59" spans="1:9" x14ac:dyDescent="0.25">
      <c r="A59" s="49">
        <f>'A) Base RI'!A61</f>
        <v>5491</v>
      </c>
      <c r="B59" s="291" t="str">
        <f>'A) Base RI'!B61</f>
        <v>Mont-la-Ville</v>
      </c>
      <c r="C59" s="10">
        <f>'B) D RI'!Y61</f>
        <v>25453.5</v>
      </c>
      <c r="D59" s="422">
        <f>'B) D RI'!Z61</f>
        <v>1991.25</v>
      </c>
      <c r="E59" s="10">
        <f t="shared" si="0"/>
        <v>27444.75</v>
      </c>
      <c r="F59" s="422">
        <f>'B) D RI'!U61</f>
        <v>14141.684131434778</v>
      </c>
      <c r="G59" s="265">
        <f t="shared" si="1"/>
        <v>1.9406988407409385</v>
      </c>
      <c r="H59" s="55">
        <f t="shared" si="2"/>
        <v>13324.125</v>
      </c>
      <c r="I59" s="413">
        <f t="shared" si="3"/>
        <v>0.94218799374697737</v>
      </c>
    </row>
    <row r="60" spans="1:9" x14ac:dyDescent="0.25">
      <c r="A60" s="49">
        <f>'A) Base RI'!A62</f>
        <v>5492</v>
      </c>
      <c r="B60" s="291" t="str">
        <f>'A) Base RI'!B62</f>
        <v>Montricher</v>
      </c>
      <c r="C60" s="10">
        <f>'B) D RI'!Y62</f>
        <v>133305.25</v>
      </c>
      <c r="D60" s="422">
        <f>'B) D RI'!Z62</f>
        <v>4397.25</v>
      </c>
      <c r="E60" s="10">
        <f t="shared" si="0"/>
        <v>137702.5</v>
      </c>
      <c r="F60" s="422">
        <f>'B) D RI'!U62</f>
        <v>189730.40192708332</v>
      </c>
      <c r="G60" s="265">
        <f t="shared" si="1"/>
        <v>0.72577983602713003</v>
      </c>
      <c r="H60" s="55">
        <f t="shared" si="2"/>
        <v>67971.8</v>
      </c>
      <c r="I60" s="413">
        <f t="shared" si="3"/>
        <v>0.35825465665814982</v>
      </c>
    </row>
    <row r="61" spans="1:9" x14ac:dyDescent="0.25">
      <c r="A61" s="49">
        <f>'A) Base RI'!A63</f>
        <v>5493</v>
      </c>
      <c r="B61" s="291" t="str">
        <f>'A) Base RI'!B63</f>
        <v>Orny</v>
      </c>
      <c r="C61" s="10">
        <f>'B) D RI'!Y63</f>
        <v>134191.34999999998</v>
      </c>
      <c r="D61" s="422">
        <f>'B) D RI'!Z63</f>
        <v>60984.2</v>
      </c>
      <c r="E61" s="10">
        <f t="shared" si="0"/>
        <v>195175.55</v>
      </c>
      <c r="F61" s="422">
        <f>'B) D RI'!U63</f>
        <v>10671.007215907817</v>
      </c>
      <c r="G61" s="265">
        <f t="shared" si="1"/>
        <v>18.290265019129759</v>
      </c>
      <c r="H61" s="55">
        <f t="shared" si="2"/>
        <v>85390.934999999983</v>
      </c>
      <c r="I61" s="413">
        <f t="shared" si="3"/>
        <v>8.0021438719208575</v>
      </c>
    </row>
    <row r="62" spans="1:9" x14ac:dyDescent="0.25">
      <c r="A62" s="49">
        <f>'A) Base RI'!A64</f>
        <v>5494</v>
      </c>
      <c r="B62" s="291" t="str">
        <f>'A) Base RI'!B64</f>
        <v>Pampigny</v>
      </c>
      <c r="C62" s="10">
        <f>'B) D RI'!Y64</f>
        <v>179439.8</v>
      </c>
      <c r="D62" s="422">
        <f>'B) D RI'!Z64</f>
        <v>30402.1</v>
      </c>
      <c r="E62" s="10">
        <f t="shared" si="0"/>
        <v>209841.9</v>
      </c>
      <c r="F62" s="422">
        <f>'B) D RI'!U64</f>
        <v>36967.725840132596</v>
      </c>
      <c r="G62" s="265">
        <f t="shared" si="1"/>
        <v>5.6763540421032115</v>
      </c>
      <c r="H62" s="55">
        <f t="shared" si="2"/>
        <v>98840.53</v>
      </c>
      <c r="I62" s="413">
        <f t="shared" si="3"/>
        <v>2.6736978743955508</v>
      </c>
    </row>
    <row r="63" spans="1:9" x14ac:dyDescent="0.25">
      <c r="A63" s="49">
        <f>'A) Base RI'!A65</f>
        <v>5495</v>
      </c>
      <c r="B63" s="291" t="str">
        <f>'A) Base RI'!B65</f>
        <v>Penthalaz</v>
      </c>
      <c r="C63" s="10">
        <f>'B) D RI'!Y65</f>
        <v>319372.09999999998</v>
      </c>
      <c r="D63" s="422">
        <f>'B) D RI'!Z65</f>
        <v>195025.4</v>
      </c>
      <c r="E63" s="10">
        <f t="shared" si="0"/>
        <v>514397.5</v>
      </c>
      <c r="F63" s="422">
        <f>'B) D RI'!U65</f>
        <v>95087.015809528908</v>
      </c>
      <c r="G63" s="265">
        <f t="shared" si="1"/>
        <v>5.4097554289683671</v>
      </c>
      <c r="H63" s="55">
        <f t="shared" si="2"/>
        <v>218193.66999999998</v>
      </c>
      <c r="I63" s="413">
        <f t="shared" si="3"/>
        <v>2.294673653835861</v>
      </c>
    </row>
    <row r="64" spans="1:9" x14ac:dyDescent="0.25">
      <c r="A64" s="49">
        <f>'A) Base RI'!A66</f>
        <v>5496</v>
      </c>
      <c r="B64" s="291" t="str">
        <f>'A) Base RI'!B66</f>
        <v>Penthaz</v>
      </c>
      <c r="C64" s="10">
        <f>'B) D RI'!Y66</f>
        <v>386094.2</v>
      </c>
      <c r="D64" s="422">
        <f>'B) D RI'!Z66</f>
        <v>81094.8</v>
      </c>
      <c r="E64" s="10">
        <f t="shared" si="0"/>
        <v>467189</v>
      </c>
      <c r="F64" s="422">
        <f>'B) D RI'!U66</f>
        <v>59337.456966456659</v>
      </c>
      <c r="G64" s="265">
        <f t="shared" si="1"/>
        <v>7.873424711546047</v>
      </c>
      <c r="H64" s="55">
        <f t="shared" si="2"/>
        <v>217375.54</v>
      </c>
      <c r="I64" s="413">
        <f t="shared" si="3"/>
        <v>3.6633780939227298</v>
      </c>
    </row>
    <row r="65" spans="1:9" x14ac:dyDescent="0.25">
      <c r="A65" s="49">
        <f>'A) Base RI'!A67</f>
        <v>5497</v>
      </c>
      <c r="B65" s="291" t="str">
        <f>'A) Base RI'!B67</f>
        <v>Pompaples</v>
      </c>
      <c r="C65" s="10">
        <f>'B) D RI'!Y67</f>
        <v>122223.75</v>
      </c>
      <c r="D65" s="422">
        <f>'B) D RI'!Z67</f>
        <v>197354.2</v>
      </c>
      <c r="E65" s="10">
        <f t="shared" si="0"/>
        <v>319577.95</v>
      </c>
      <c r="F65" s="422">
        <f>'B) D RI'!U67</f>
        <v>22672.594290282061</v>
      </c>
      <c r="G65" s="265">
        <f t="shared" si="1"/>
        <v>14.095341093673506</v>
      </c>
      <c r="H65" s="55">
        <f t="shared" si="2"/>
        <v>120318.13500000001</v>
      </c>
      <c r="I65" s="413">
        <f t="shared" si="3"/>
        <v>5.30676522763744</v>
      </c>
    </row>
    <row r="66" spans="1:9" x14ac:dyDescent="0.25">
      <c r="A66" s="49">
        <f>'A) Base RI'!A68</f>
        <v>5498</v>
      </c>
      <c r="B66" s="291" t="str">
        <f>'A) Base RI'!B68</f>
        <v>La Sarraz</v>
      </c>
      <c r="C66" s="10">
        <f>'B) D RI'!Y68</f>
        <v>519077.95</v>
      </c>
      <c r="D66" s="422">
        <f>'B) D RI'!Z68</f>
        <v>75092.25</v>
      </c>
      <c r="E66" s="10">
        <f t="shared" si="0"/>
        <v>594170.19999999995</v>
      </c>
      <c r="F66" s="422">
        <f>'B) D RI'!U68</f>
        <v>77413.833852725787</v>
      </c>
      <c r="G66" s="265">
        <f t="shared" si="1"/>
        <v>7.6752457594383676</v>
      </c>
      <c r="H66" s="55">
        <f t="shared" si="2"/>
        <v>282066.65000000002</v>
      </c>
      <c r="I66" s="413">
        <f t="shared" si="3"/>
        <v>3.6436207323953416</v>
      </c>
    </row>
    <row r="67" spans="1:9" x14ac:dyDescent="0.25">
      <c r="A67" s="49">
        <f>'A) Base RI'!A69</f>
        <v>5499</v>
      </c>
      <c r="B67" s="291" t="str">
        <f>'A) Base RI'!B69</f>
        <v>Senarclens</v>
      </c>
      <c r="C67" s="10">
        <f>'B) D RI'!Y69</f>
        <v>115448.65</v>
      </c>
      <c r="D67" s="422">
        <f>'B) D RI'!Z69</f>
        <v>8008.2</v>
      </c>
      <c r="E67" s="10">
        <f t="shared" si="0"/>
        <v>123456.84999999999</v>
      </c>
      <c r="F67" s="422">
        <f>'B) D RI'!U69</f>
        <v>19511.48949637344</v>
      </c>
      <c r="G67" s="265">
        <f t="shared" si="1"/>
        <v>6.3273923819576492</v>
      </c>
      <c r="H67" s="55">
        <f t="shared" si="2"/>
        <v>60126.784999999996</v>
      </c>
      <c r="I67" s="413">
        <f t="shared" si="3"/>
        <v>3.0816091724404555</v>
      </c>
    </row>
    <row r="68" spans="1:9" x14ac:dyDescent="0.25">
      <c r="A68" s="49">
        <f>'A) Base RI'!A70</f>
        <v>5500</v>
      </c>
      <c r="B68" s="291" t="str">
        <f>'A) Base RI'!B70</f>
        <v>Sévery</v>
      </c>
      <c r="C68" s="10">
        <f>'B) D RI'!Y70</f>
        <v>31795.25</v>
      </c>
      <c r="D68" s="422">
        <f>'B) D RI'!Z70</f>
        <v>0</v>
      </c>
      <c r="E68" s="10">
        <f t="shared" si="0"/>
        <v>31795.25</v>
      </c>
      <c r="F68" s="422">
        <f>'B) D RI'!U70</f>
        <v>6989.4068888888896</v>
      </c>
      <c r="G68" s="265">
        <f t="shared" si="1"/>
        <v>4.5490626751956791</v>
      </c>
      <c r="H68" s="55">
        <f t="shared" si="2"/>
        <v>15897.625</v>
      </c>
      <c r="I68" s="413">
        <f t="shared" si="3"/>
        <v>2.2745313375978395</v>
      </c>
    </row>
    <row r="69" spans="1:9" x14ac:dyDescent="0.25">
      <c r="A69" s="49">
        <f>'A) Base RI'!A71</f>
        <v>5501</v>
      </c>
      <c r="B69" s="291" t="str">
        <f>'A) Base RI'!B71</f>
        <v>Sullens</v>
      </c>
      <c r="C69" s="10">
        <f>'B) D RI'!Y71</f>
        <v>177349</v>
      </c>
      <c r="D69" s="422">
        <f>'B) D RI'!Z71</f>
        <v>5708.9</v>
      </c>
      <c r="E69" s="10">
        <f t="shared" ref="E69:E132" si="4">C69+D69</f>
        <v>183057.9</v>
      </c>
      <c r="F69" s="422">
        <f>'B) D RI'!U71</f>
        <v>40420.112388899281</v>
      </c>
      <c r="G69" s="265">
        <f t="shared" ref="G69:G132" si="5">E69/F69</f>
        <v>4.5288815191487153</v>
      </c>
      <c r="H69" s="55">
        <f t="shared" ref="H69:H132" si="6">(C69*$C$4)+(D69*$D$4)</f>
        <v>90387.17</v>
      </c>
      <c r="I69" s="413">
        <f t="shared" ref="I69:I132" si="7">H69/F69</f>
        <v>2.2361929410375252</v>
      </c>
    </row>
    <row r="70" spans="1:9" x14ac:dyDescent="0.25">
      <c r="A70" s="49">
        <f>'A) Base RI'!A72</f>
        <v>5503</v>
      </c>
      <c r="B70" s="291" t="str">
        <f>'A) Base RI'!B72</f>
        <v>Vufflens-la-Ville</v>
      </c>
      <c r="C70" s="10">
        <f>'B) D RI'!Y72</f>
        <v>361459.85</v>
      </c>
      <c r="D70" s="422">
        <f>'B) D RI'!Z72</f>
        <v>86713.7</v>
      </c>
      <c r="E70" s="10">
        <f t="shared" si="4"/>
        <v>448173.55</v>
      </c>
      <c r="F70" s="422">
        <f>'B) D RI'!U72</f>
        <v>89557.096460669622</v>
      </c>
      <c r="G70" s="265">
        <f t="shared" si="5"/>
        <v>5.004333187564006</v>
      </c>
      <c r="H70" s="55">
        <f t="shared" si="6"/>
        <v>206744.03499999997</v>
      </c>
      <c r="I70" s="413">
        <f t="shared" si="7"/>
        <v>2.3085165014343092</v>
      </c>
    </row>
    <row r="71" spans="1:9" x14ac:dyDescent="0.25">
      <c r="A71" s="49">
        <f>'A) Base RI'!A73</f>
        <v>5511</v>
      </c>
      <c r="B71" s="291" t="str">
        <f>'A) Base RI'!B73</f>
        <v>Assens</v>
      </c>
      <c r="C71" s="10">
        <f>'B) D RI'!Y73</f>
        <v>239523.35</v>
      </c>
      <c r="D71" s="422">
        <f>'B) D RI'!Z73</f>
        <v>11964.55</v>
      </c>
      <c r="E71" s="10">
        <f t="shared" si="4"/>
        <v>251487.9</v>
      </c>
      <c r="F71" s="422">
        <f>'B) D RI'!U73</f>
        <v>50056.955709388079</v>
      </c>
      <c r="G71" s="265">
        <f t="shared" si="5"/>
        <v>5.0240350503942839</v>
      </c>
      <c r="H71" s="55">
        <f t="shared" si="6"/>
        <v>123351.04000000001</v>
      </c>
      <c r="I71" s="413">
        <f t="shared" si="7"/>
        <v>2.4642137791225243</v>
      </c>
    </row>
    <row r="72" spans="1:9" x14ac:dyDescent="0.25">
      <c r="A72" s="49">
        <f>'A) Base RI'!A74</f>
        <v>5512</v>
      </c>
      <c r="B72" s="291" t="str">
        <f>'A) Base RI'!B74</f>
        <v>Bercher</v>
      </c>
      <c r="C72" s="10">
        <f>'B) D RI'!Y74</f>
        <v>143192.20000000001</v>
      </c>
      <c r="D72" s="422">
        <f>'B) D RI'!Z74</f>
        <v>54197.25</v>
      </c>
      <c r="E72" s="10">
        <f t="shared" si="4"/>
        <v>197389.45</v>
      </c>
      <c r="F72" s="422">
        <f>'B) D RI'!U74</f>
        <v>40014.173696623147</v>
      </c>
      <c r="G72" s="265">
        <f t="shared" si="5"/>
        <v>4.9329882830157752</v>
      </c>
      <c r="H72" s="55">
        <f t="shared" si="6"/>
        <v>87855.275000000009</v>
      </c>
      <c r="I72" s="413">
        <f t="shared" si="7"/>
        <v>2.1956038794177135</v>
      </c>
    </row>
    <row r="73" spans="1:9" x14ac:dyDescent="0.25">
      <c r="A73" s="49">
        <f>'A) Base RI'!A75</f>
        <v>5513</v>
      </c>
      <c r="B73" s="291" t="str">
        <f>'A) Base RI'!B75</f>
        <v>Bioley-Orjulaz</v>
      </c>
      <c r="C73" s="10">
        <f>'B) D RI'!Y75</f>
        <v>48186.05</v>
      </c>
      <c r="D73" s="422">
        <f>'B) D RI'!Z75</f>
        <v>131251.35</v>
      </c>
      <c r="E73" s="10">
        <f t="shared" si="4"/>
        <v>179437.40000000002</v>
      </c>
      <c r="F73" s="422">
        <f>'B) D RI'!U75</f>
        <v>21084.156158347432</v>
      </c>
      <c r="G73" s="265">
        <f t="shared" si="5"/>
        <v>8.5105326792487705</v>
      </c>
      <c r="H73" s="55">
        <f t="shared" si="6"/>
        <v>63468.43</v>
      </c>
      <c r="I73" s="413">
        <f t="shared" si="7"/>
        <v>3.010242834635438</v>
      </c>
    </row>
    <row r="74" spans="1:9" x14ac:dyDescent="0.25">
      <c r="A74" s="49">
        <f>'A) Base RI'!A76</f>
        <v>5514</v>
      </c>
      <c r="B74" s="291" t="str">
        <f>'A) Base RI'!B76</f>
        <v>Bottens</v>
      </c>
      <c r="C74" s="10">
        <f>'B) D RI'!Y76</f>
        <v>123247.25</v>
      </c>
      <c r="D74" s="422">
        <f>'B) D RI'!Z76</f>
        <v>5546.8</v>
      </c>
      <c r="E74" s="10">
        <f t="shared" si="4"/>
        <v>128794.05</v>
      </c>
      <c r="F74" s="422">
        <f>'B) D RI'!U76</f>
        <v>40808.475827283124</v>
      </c>
      <c r="G74" s="265">
        <f t="shared" si="5"/>
        <v>3.156061268867405</v>
      </c>
      <c r="H74" s="55">
        <f t="shared" si="6"/>
        <v>63287.665000000001</v>
      </c>
      <c r="I74" s="413">
        <f t="shared" si="7"/>
        <v>1.5508460856969344</v>
      </c>
    </row>
    <row r="75" spans="1:9" x14ac:dyDescent="0.25">
      <c r="A75" s="49">
        <f>'A) Base RI'!A77</f>
        <v>5515</v>
      </c>
      <c r="B75" s="291" t="str">
        <f>'A) Base RI'!B77</f>
        <v>Bretigny-sur-Morrens</v>
      </c>
      <c r="C75" s="10">
        <f>'B) D RI'!Y77</f>
        <v>187384.1</v>
      </c>
      <c r="D75" s="422">
        <f>'B) D RI'!Z77</f>
        <v>8303</v>
      </c>
      <c r="E75" s="10">
        <f t="shared" si="4"/>
        <v>195687.1</v>
      </c>
      <c r="F75" s="422">
        <f>'B) D RI'!U77</f>
        <v>28817.325490208266</v>
      </c>
      <c r="G75" s="265">
        <f t="shared" si="5"/>
        <v>6.7906058827871378</v>
      </c>
      <c r="H75" s="55">
        <f t="shared" si="6"/>
        <v>96182.95</v>
      </c>
      <c r="I75" s="413">
        <f t="shared" si="7"/>
        <v>3.3376778852250411</v>
      </c>
    </row>
    <row r="76" spans="1:9" x14ac:dyDescent="0.25">
      <c r="A76" s="49">
        <f>'A) Base RI'!A78</f>
        <v>5516</v>
      </c>
      <c r="B76" s="291" t="str">
        <f>'A) Base RI'!B78</f>
        <v>Cugy</v>
      </c>
      <c r="C76" s="10">
        <f>'B) D RI'!Y78</f>
        <v>246324.75</v>
      </c>
      <c r="D76" s="422">
        <f>'B) D RI'!Z78</f>
        <v>81623.75</v>
      </c>
      <c r="E76" s="10">
        <f t="shared" si="4"/>
        <v>327948.5</v>
      </c>
      <c r="F76" s="422">
        <f>'B) D RI'!U78</f>
        <v>110914.83940385764</v>
      </c>
      <c r="G76" s="265">
        <f t="shared" si="5"/>
        <v>2.9567594540338296</v>
      </c>
      <c r="H76" s="55">
        <f t="shared" si="6"/>
        <v>147649.5</v>
      </c>
      <c r="I76" s="413">
        <f t="shared" si="7"/>
        <v>1.3311969867475166</v>
      </c>
    </row>
    <row r="77" spans="1:9" x14ac:dyDescent="0.25">
      <c r="A77" s="49">
        <f>'A) Base RI'!A79</f>
        <v>5518</v>
      </c>
      <c r="B77" s="291" t="str">
        <f>'A) Base RI'!B79</f>
        <v>Echallens</v>
      </c>
      <c r="C77" s="10">
        <f>'B) D RI'!Y79</f>
        <v>1435821.35</v>
      </c>
      <c r="D77" s="422">
        <f>'B) D RI'!Z79</f>
        <v>155319.45000000001</v>
      </c>
      <c r="E77" s="10">
        <f t="shared" si="4"/>
        <v>1591140.8</v>
      </c>
      <c r="F77" s="422">
        <f>'B) D RI'!U79</f>
        <v>185740.88420378894</v>
      </c>
      <c r="G77" s="265">
        <f t="shared" si="5"/>
        <v>8.5664543206020891</v>
      </c>
      <c r="H77" s="55">
        <f t="shared" si="6"/>
        <v>764506.51</v>
      </c>
      <c r="I77" s="413">
        <f t="shared" si="7"/>
        <v>4.1159840133053747</v>
      </c>
    </row>
    <row r="78" spans="1:9" x14ac:dyDescent="0.25">
      <c r="A78" s="49">
        <f>'A) Base RI'!A80</f>
        <v>5520</v>
      </c>
      <c r="B78" s="291" t="str">
        <f>'A) Base RI'!B80</f>
        <v>Essertines-sur-Yverdon</v>
      </c>
      <c r="C78" s="10">
        <f>'B) D RI'!Y80</f>
        <v>125983.59999999999</v>
      </c>
      <c r="D78" s="422">
        <f>'B) D RI'!Z80</f>
        <v>0</v>
      </c>
      <c r="E78" s="10">
        <f t="shared" si="4"/>
        <v>125983.59999999999</v>
      </c>
      <c r="F78" s="422">
        <f>'B) D RI'!U80</f>
        <v>29832.653259959214</v>
      </c>
      <c r="G78" s="265">
        <f t="shared" si="5"/>
        <v>4.2230102331894379</v>
      </c>
      <c r="H78" s="55">
        <f t="shared" si="6"/>
        <v>62991.799999999996</v>
      </c>
      <c r="I78" s="413">
        <f t="shared" si="7"/>
        <v>2.111505116594719</v>
      </c>
    </row>
    <row r="79" spans="1:9" x14ac:dyDescent="0.25">
      <c r="A79" s="49">
        <f>'A) Base RI'!A81</f>
        <v>5521</v>
      </c>
      <c r="B79" s="291" t="str">
        <f>'A) Base RI'!B81</f>
        <v>Etagnières</v>
      </c>
      <c r="C79" s="10">
        <f>'B) D RI'!Y81</f>
        <v>235901.45</v>
      </c>
      <c r="D79" s="422">
        <f>'B) D RI'!Z81</f>
        <v>46383.55</v>
      </c>
      <c r="E79" s="10">
        <f t="shared" si="4"/>
        <v>282285</v>
      </c>
      <c r="F79" s="422">
        <f>'B) D RI'!U81</f>
        <v>48092.453261297029</v>
      </c>
      <c r="G79" s="265">
        <f t="shared" si="5"/>
        <v>5.8696319455005259</v>
      </c>
      <c r="H79" s="55">
        <f t="shared" si="6"/>
        <v>131865.79</v>
      </c>
      <c r="I79" s="413">
        <f t="shared" si="7"/>
        <v>2.7419227146418117</v>
      </c>
    </row>
    <row r="80" spans="1:9" x14ac:dyDescent="0.25">
      <c r="A80" s="49">
        <f>'A) Base RI'!A82</f>
        <v>5522</v>
      </c>
      <c r="B80" s="291" t="str">
        <f>'A) Base RI'!B82</f>
        <v>Fey</v>
      </c>
      <c r="C80" s="10">
        <f>'B) D RI'!Y82</f>
        <v>96596.65</v>
      </c>
      <c r="D80" s="422">
        <f>'B) D RI'!Z82</f>
        <v>12806.3</v>
      </c>
      <c r="E80" s="10">
        <f t="shared" si="4"/>
        <v>109402.95</v>
      </c>
      <c r="F80" s="422">
        <f>'B) D RI'!U82</f>
        <v>22665.113066666665</v>
      </c>
      <c r="G80" s="265">
        <f t="shared" si="5"/>
        <v>4.8269315788632765</v>
      </c>
      <c r="H80" s="55">
        <f t="shared" si="6"/>
        <v>52140.214999999997</v>
      </c>
      <c r="I80" s="413">
        <f t="shared" si="7"/>
        <v>2.3004612792636823</v>
      </c>
    </row>
    <row r="81" spans="1:9" x14ac:dyDescent="0.25">
      <c r="A81" s="49">
        <f>'A) Base RI'!A83</f>
        <v>5523</v>
      </c>
      <c r="B81" s="291" t="str">
        <f>'A) Base RI'!B83</f>
        <v>Froideville</v>
      </c>
      <c r="C81" s="10">
        <f>'B) D RI'!Y83</f>
        <v>241205.55000000002</v>
      </c>
      <c r="D81" s="422">
        <f>'B) D RI'!Z83</f>
        <v>14220.2</v>
      </c>
      <c r="E81" s="10">
        <f t="shared" si="4"/>
        <v>255425.75000000003</v>
      </c>
      <c r="F81" s="422">
        <f>'B) D RI'!U83</f>
        <v>89135.106646646644</v>
      </c>
      <c r="G81" s="265">
        <f t="shared" si="5"/>
        <v>2.8656021135709207</v>
      </c>
      <c r="H81" s="55">
        <f t="shared" si="6"/>
        <v>124868.83500000001</v>
      </c>
      <c r="I81" s="413">
        <f t="shared" si="7"/>
        <v>1.4008939877641096</v>
      </c>
    </row>
    <row r="82" spans="1:9" x14ac:dyDescent="0.25">
      <c r="A82" s="49">
        <f>'A) Base RI'!A84</f>
        <v>5527</v>
      </c>
      <c r="B82" s="291" t="str">
        <f>'A) Base RI'!B84</f>
        <v>Morrens</v>
      </c>
      <c r="C82" s="10">
        <f>'B) D RI'!Y84</f>
        <v>231879.3</v>
      </c>
      <c r="D82" s="422">
        <f>'B) D RI'!Z84</f>
        <v>9237.4500000000007</v>
      </c>
      <c r="E82" s="10">
        <f t="shared" si="4"/>
        <v>241116.75</v>
      </c>
      <c r="F82" s="422">
        <f>'B) D RI'!U84</f>
        <v>40159.939986831349</v>
      </c>
      <c r="G82" s="265">
        <f t="shared" si="5"/>
        <v>6.0039121094071213</v>
      </c>
      <c r="H82" s="55">
        <f t="shared" si="6"/>
        <v>118710.88499999999</v>
      </c>
      <c r="I82" s="413">
        <f t="shared" si="7"/>
        <v>2.9559527489066446</v>
      </c>
    </row>
    <row r="83" spans="1:9" x14ac:dyDescent="0.25">
      <c r="A83" s="49">
        <f>'A) Base RI'!A85</f>
        <v>5529</v>
      </c>
      <c r="B83" s="291" t="str">
        <f>'A) Base RI'!B85</f>
        <v>Oulens-sous-Echallens</v>
      </c>
      <c r="C83" s="10">
        <f>'B) D RI'!Y85</f>
        <v>78023.55</v>
      </c>
      <c r="D83" s="422">
        <f>'B) D RI'!Z85</f>
        <v>1348.8</v>
      </c>
      <c r="E83" s="10">
        <f t="shared" si="4"/>
        <v>79372.350000000006</v>
      </c>
      <c r="F83" s="422">
        <f>'B) D RI'!U85</f>
        <v>21598.779787193034</v>
      </c>
      <c r="G83" s="265">
        <f t="shared" si="5"/>
        <v>3.6748534307046237</v>
      </c>
      <c r="H83" s="55">
        <f t="shared" si="6"/>
        <v>39416.415000000001</v>
      </c>
      <c r="I83" s="413">
        <f t="shared" si="7"/>
        <v>1.8249371209095759</v>
      </c>
    </row>
    <row r="84" spans="1:9" x14ac:dyDescent="0.25">
      <c r="A84" s="49">
        <f>'A) Base RI'!A86</f>
        <v>5530</v>
      </c>
      <c r="B84" s="291" t="str">
        <f>'A) Base RI'!B86</f>
        <v>Pailly</v>
      </c>
      <c r="C84" s="10">
        <f>'B) D RI'!Y86</f>
        <v>95481.75</v>
      </c>
      <c r="D84" s="422">
        <f>'B) D RI'!Z86</f>
        <v>17160.75</v>
      </c>
      <c r="E84" s="10">
        <f t="shared" si="4"/>
        <v>112642.5</v>
      </c>
      <c r="F84" s="422">
        <f>'B) D RI'!U86</f>
        <v>17606.249882733009</v>
      </c>
      <c r="G84" s="265">
        <f t="shared" si="5"/>
        <v>6.3978701171606094</v>
      </c>
      <c r="H84" s="55">
        <f t="shared" si="6"/>
        <v>52889.1</v>
      </c>
      <c r="I84" s="413">
        <f t="shared" si="7"/>
        <v>3.0039957601573044</v>
      </c>
    </row>
    <row r="85" spans="1:9" x14ac:dyDescent="0.25">
      <c r="A85" s="49">
        <f>'A) Base RI'!A87</f>
        <v>5531</v>
      </c>
      <c r="B85" s="291" t="str">
        <f>'A) Base RI'!B87</f>
        <v>Penthéréaz</v>
      </c>
      <c r="C85" s="10">
        <f>'B) D RI'!Y87</f>
        <v>10300.700000000001</v>
      </c>
      <c r="D85" s="422">
        <f>'B) D RI'!Z87</f>
        <v>6576.7</v>
      </c>
      <c r="E85" s="10">
        <f t="shared" si="4"/>
        <v>16877.400000000001</v>
      </c>
      <c r="F85" s="422">
        <f>'B) D RI'!U87</f>
        <v>14646.364779076894</v>
      </c>
      <c r="G85" s="265">
        <f t="shared" si="5"/>
        <v>1.152326891660534</v>
      </c>
      <c r="H85" s="55">
        <f t="shared" si="6"/>
        <v>7123.3600000000006</v>
      </c>
      <c r="I85" s="413">
        <f t="shared" si="7"/>
        <v>0.48635686106740267</v>
      </c>
    </row>
    <row r="86" spans="1:9" x14ac:dyDescent="0.25">
      <c r="A86" s="49">
        <f>'A) Base RI'!A88</f>
        <v>5533</v>
      </c>
      <c r="B86" s="291" t="str">
        <f>'A) Base RI'!B88</f>
        <v>Poliez-Pittet</v>
      </c>
      <c r="C86" s="10">
        <f>'B) D RI'!Y88</f>
        <v>140331.04999999999</v>
      </c>
      <c r="D86" s="422">
        <f>'B) D RI'!Z88</f>
        <v>4124.7</v>
      </c>
      <c r="E86" s="10">
        <f t="shared" si="4"/>
        <v>144455.75</v>
      </c>
      <c r="F86" s="422">
        <f>'B) D RI'!U88</f>
        <v>22519.70890410959</v>
      </c>
      <c r="G86" s="265">
        <f t="shared" si="5"/>
        <v>6.4146366462862439</v>
      </c>
      <c r="H86" s="55">
        <f t="shared" si="6"/>
        <v>71402.934999999998</v>
      </c>
      <c r="I86" s="413">
        <f t="shared" si="7"/>
        <v>3.1706864109140316</v>
      </c>
    </row>
    <row r="87" spans="1:9" x14ac:dyDescent="0.25">
      <c r="A87" s="49">
        <f>'A) Base RI'!A89</f>
        <v>5534</v>
      </c>
      <c r="B87" s="291" t="str">
        <f>'A) Base RI'!B89</f>
        <v>Rueyres</v>
      </c>
      <c r="C87" s="10">
        <f>'B) D RI'!Y89</f>
        <v>30990.25</v>
      </c>
      <c r="D87" s="422">
        <f>'B) D RI'!Z89</f>
        <v>32174.75</v>
      </c>
      <c r="E87" s="10">
        <f t="shared" si="4"/>
        <v>63165</v>
      </c>
      <c r="F87" s="422">
        <f>'B) D RI'!U89</f>
        <v>10356.386166784428</v>
      </c>
      <c r="G87" s="265">
        <f t="shared" si="5"/>
        <v>6.0991352565228079</v>
      </c>
      <c r="H87" s="55">
        <f t="shared" si="6"/>
        <v>25147.55</v>
      </c>
      <c r="I87" s="413">
        <f t="shared" si="7"/>
        <v>2.4282167152722254</v>
      </c>
    </row>
    <row r="88" spans="1:9" x14ac:dyDescent="0.25">
      <c r="A88" s="49">
        <f>'A) Base RI'!A90</f>
        <v>5535</v>
      </c>
      <c r="B88" s="291" t="str">
        <f>'A) Base RI'!B90</f>
        <v>Saint-Barthélemy</v>
      </c>
      <c r="C88" s="10">
        <f>'B) D RI'!Y90</f>
        <v>71441.3</v>
      </c>
      <c r="D88" s="422">
        <f>'B) D RI'!Z90</f>
        <v>42181.4</v>
      </c>
      <c r="E88" s="10">
        <f t="shared" si="4"/>
        <v>113622.70000000001</v>
      </c>
      <c r="F88" s="422">
        <f>'B) D RI'!U90</f>
        <v>22444.916025525185</v>
      </c>
      <c r="G88" s="265">
        <f t="shared" si="5"/>
        <v>5.0622911607592602</v>
      </c>
      <c r="H88" s="55">
        <f t="shared" si="6"/>
        <v>48375.07</v>
      </c>
      <c r="I88" s="413">
        <f t="shared" si="7"/>
        <v>2.1552796163276393</v>
      </c>
    </row>
    <row r="89" spans="1:9" x14ac:dyDescent="0.25">
      <c r="A89" s="49">
        <f>'A) Base RI'!A91</f>
        <v>5537</v>
      </c>
      <c r="B89" s="291" t="str">
        <f>'A) Base RI'!B91</f>
        <v>Villars-le-Terroir</v>
      </c>
      <c r="C89" s="10">
        <f>'B) D RI'!Y91</f>
        <v>94178.450000000012</v>
      </c>
      <c r="D89" s="422">
        <f>'B) D RI'!Z91</f>
        <v>0</v>
      </c>
      <c r="E89" s="10">
        <f t="shared" si="4"/>
        <v>94178.450000000012</v>
      </c>
      <c r="F89" s="422">
        <f>'B) D RI'!U91</f>
        <v>36279.342540673366</v>
      </c>
      <c r="G89" s="265">
        <f t="shared" si="5"/>
        <v>2.5959249370193245</v>
      </c>
      <c r="H89" s="55">
        <f t="shared" si="6"/>
        <v>47089.225000000006</v>
      </c>
      <c r="I89" s="413">
        <f t="shared" si="7"/>
        <v>1.2979624685096622</v>
      </c>
    </row>
    <row r="90" spans="1:9" x14ac:dyDescent="0.25">
      <c r="A90" s="49">
        <f>'A) Base RI'!A92</f>
        <v>5539</v>
      </c>
      <c r="B90" s="291" t="str">
        <f>'A) Base RI'!B92</f>
        <v>Vuarrens</v>
      </c>
      <c r="C90" s="10">
        <f>'B) D RI'!Y92</f>
        <v>193657.75</v>
      </c>
      <c r="D90" s="422">
        <f>'B) D RI'!Z92</f>
        <v>21711.65</v>
      </c>
      <c r="E90" s="10">
        <f t="shared" si="4"/>
        <v>215369.4</v>
      </c>
      <c r="F90" s="422">
        <f>'B) D RI'!U92</f>
        <v>30001.761907299908</v>
      </c>
      <c r="G90" s="265">
        <f t="shared" si="5"/>
        <v>7.1785584015183179</v>
      </c>
      <c r="H90" s="55">
        <f t="shared" si="6"/>
        <v>103342.37</v>
      </c>
      <c r="I90" s="413">
        <f t="shared" si="7"/>
        <v>3.444543367796514</v>
      </c>
    </row>
    <row r="91" spans="1:9" x14ac:dyDescent="0.25">
      <c r="A91" s="49">
        <f>'A) Base RI'!A93</f>
        <v>5540</v>
      </c>
      <c r="B91" s="291" t="str">
        <f>'A) Base RI'!B93</f>
        <v>Montilliez</v>
      </c>
      <c r="C91" s="10">
        <f>'B) D RI'!Y93</f>
        <v>156264.70000000001</v>
      </c>
      <c r="D91" s="422">
        <f>'B) D RI'!Z93</f>
        <v>2612.8000000000002</v>
      </c>
      <c r="E91" s="10">
        <f t="shared" si="4"/>
        <v>158877.5</v>
      </c>
      <c r="F91" s="422">
        <f>'B) D RI'!U93</f>
        <v>64637.646238645939</v>
      </c>
      <c r="G91" s="265">
        <f t="shared" si="5"/>
        <v>2.457971619409145</v>
      </c>
      <c r="H91" s="55">
        <f t="shared" si="6"/>
        <v>78916.19</v>
      </c>
      <c r="I91" s="413">
        <f t="shared" si="7"/>
        <v>1.2209013569064202</v>
      </c>
    </row>
    <row r="92" spans="1:9" x14ac:dyDescent="0.25">
      <c r="A92" s="49">
        <f>'A) Base RI'!A94</f>
        <v>5541</v>
      </c>
      <c r="B92" s="291" t="str">
        <f>'A) Base RI'!B94</f>
        <v>Goumoëns</v>
      </c>
      <c r="C92" s="10">
        <f>'B) D RI'!Y94</f>
        <v>215008.2</v>
      </c>
      <c r="D92" s="422">
        <f>'B) D RI'!Z94</f>
        <v>3564.9</v>
      </c>
      <c r="E92" s="10">
        <f t="shared" si="4"/>
        <v>218573.1</v>
      </c>
      <c r="F92" s="422">
        <f>'B) D RI'!U94</f>
        <v>37288.389369533332</v>
      </c>
      <c r="G92" s="265">
        <f t="shared" si="5"/>
        <v>5.8616932427386166</v>
      </c>
      <c r="H92" s="55">
        <f t="shared" si="6"/>
        <v>108573.57</v>
      </c>
      <c r="I92" s="413">
        <f t="shared" si="7"/>
        <v>2.9117259242285911</v>
      </c>
    </row>
    <row r="93" spans="1:9" x14ac:dyDescent="0.25">
      <c r="A93" s="49">
        <f>'A) Base RI'!A95</f>
        <v>5551</v>
      </c>
      <c r="B93" s="291" t="str">
        <f>'A) Base RI'!B95</f>
        <v>Bonvillars</v>
      </c>
      <c r="C93" s="10">
        <f>'B) D RI'!Y95</f>
        <v>24509.5</v>
      </c>
      <c r="D93" s="422">
        <f>'B) D RI'!Z95</f>
        <v>0</v>
      </c>
      <c r="E93" s="10">
        <f t="shared" si="4"/>
        <v>24509.5</v>
      </c>
      <c r="F93" s="422">
        <f>'B) D RI'!U95</f>
        <v>18267.607293736826</v>
      </c>
      <c r="G93" s="265">
        <f t="shared" si="5"/>
        <v>1.3416918595794014</v>
      </c>
      <c r="H93" s="55">
        <f t="shared" si="6"/>
        <v>12254.75</v>
      </c>
      <c r="I93" s="413">
        <f t="shared" si="7"/>
        <v>0.6708459297897007</v>
      </c>
    </row>
    <row r="94" spans="1:9" x14ac:dyDescent="0.25">
      <c r="A94" s="49">
        <f>'A) Base RI'!A96</f>
        <v>5552</v>
      </c>
      <c r="B94" s="291" t="str">
        <f>'A) Base RI'!B96</f>
        <v>Bullet</v>
      </c>
      <c r="C94" s="10">
        <f>'B) D RI'!Y96</f>
        <v>100952.95</v>
      </c>
      <c r="D94" s="422">
        <f>'B) D RI'!Z96</f>
        <v>53648</v>
      </c>
      <c r="E94" s="10">
        <f t="shared" si="4"/>
        <v>154600.95000000001</v>
      </c>
      <c r="F94" s="422">
        <f>'B) D RI'!U96</f>
        <v>18370.265732879256</v>
      </c>
      <c r="G94" s="265">
        <f t="shared" si="5"/>
        <v>8.4158254566396362</v>
      </c>
      <c r="H94" s="55">
        <f t="shared" si="6"/>
        <v>66570.875</v>
      </c>
      <c r="I94" s="413">
        <f t="shared" si="7"/>
        <v>3.6238384336951039</v>
      </c>
    </row>
    <row r="95" spans="1:9" x14ac:dyDescent="0.25">
      <c r="A95" s="49">
        <f>'A) Base RI'!A97</f>
        <v>5553</v>
      </c>
      <c r="B95" s="291" t="str">
        <f>'A) Base RI'!B97</f>
        <v>Champagne</v>
      </c>
      <c r="C95" s="10">
        <f>'B) D RI'!Y97</f>
        <v>137631.95000000001</v>
      </c>
      <c r="D95" s="422">
        <f>'B) D RI'!Z97</f>
        <v>135489</v>
      </c>
      <c r="E95" s="10">
        <f t="shared" si="4"/>
        <v>273120.95</v>
      </c>
      <c r="F95" s="422">
        <f>'B) D RI'!U97</f>
        <v>37727.892502871691</v>
      </c>
      <c r="G95" s="265">
        <f t="shared" si="5"/>
        <v>7.2392315573739285</v>
      </c>
      <c r="H95" s="55">
        <f t="shared" si="6"/>
        <v>109462.675</v>
      </c>
      <c r="I95" s="413">
        <f t="shared" si="7"/>
        <v>2.9013726380732279</v>
      </c>
    </row>
    <row r="96" spans="1:9" x14ac:dyDescent="0.25">
      <c r="A96" s="49">
        <f>'A) Base RI'!A98</f>
        <v>5554</v>
      </c>
      <c r="B96" s="291" t="str">
        <f>'A) Base RI'!B98</f>
        <v>Concise</v>
      </c>
      <c r="C96" s="10">
        <f>'B) D RI'!Y98</f>
        <v>368921.64999999997</v>
      </c>
      <c r="D96" s="422">
        <f>'B) D RI'!Z98</f>
        <v>2698.3</v>
      </c>
      <c r="E96" s="10">
        <f t="shared" si="4"/>
        <v>371619.94999999995</v>
      </c>
      <c r="F96" s="422">
        <f>'B) D RI'!U98</f>
        <v>33273.512128706279</v>
      </c>
      <c r="G96" s="265">
        <f t="shared" si="5"/>
        <v>11.168642148821728</v>
      </c>
      <c r="H96" s="55">
        <f t="shared" si="6"/>
        <v>185270.31499999997</v>
      </c>
      <c r="I96" s="413">
        <f t="shared" si="7"/>
        <v>5.568102167374164</v>
      </c>
    </row>
    <row r="97" spans="1:9" x14ac:dyDescent="0.25">
      <c r="A97" s="49">
        <f>'A) Base RI'!A99</f>
        <v>5555</v>
      </c>
      <c r="B97" s="291" t="str">
        <f>'A) Base RI'!B99</f>
        <v>Corcelles-près-Concise</v>
      </c>
      <c r="C97" s="10">
        <f>'B) D RI'!Y99</f>
        <v>87260.25</v>
      </c>
      <c r="D97" s="422">
        <f>'B) D RI'!Z99</f>
        <v>8245.2000000000007</v>
      </c>
      <c r="E97" s="10">
        <f t="shared" si="4"/>
        <v>95505.45</v>
      </c>
      <c r="F97" s="422">
        <f>'B) D RI'!U99</f>
        <v>13532.861505055624</v>
      </c>
      <c r="G97" s="265">
        <f t="shared" si="5"/>
        <v>7.057299002455685</v>
      </c>
      <c r="H97" s="55">
        <f t="shared" si="6"/>
        <v>46103.684999999998</v>
      </c>
      <c r="I97" s="413">
        <f t="shared" si="7"/>
        <v>3.4067950065680139</v>
      </c>
    </row>
    <row r="98" spans="1:9" x14ac:dyDescent="0.25">
      <c r="A98" s="49">
        <f>'A) Base RI'!A100</f>
        <v>5556</v>
      </c>
      <c r="B98" s="291" t="str">
        <f>'A) Base RI'!B100</f>
        <v>Fiez</v>
      </c>
      <c r="C98" s="10">
        <f>'B) D RI'!Y100</f>
        <v>29149.1</v>
      </c>
      <c r="D98" s="422">
        <f>'B) D RI'!Z100</f>
        <v>0</v>
      </c>
      <c r="E98" s="10">
        <f t="shared" si="4"/>
        <v>29149.1</v>
      </c>
      <c r="F98" s="422">
        <f>'B) D RI'!U100</f>
        <v>13065.326581020432</v>
      </c>
      <c r="G98" s="265">
        <f t="shared" si="5"/>
        <v>2.2310272781350857</v>
      </c>
      <c r="H98" s="55">
        <f t="shared" si="6"/>
        <v>14574.55</v>
      </c>
      <c r="I98" s="413">
        <f t="shared" si="7"/>
        <v>1.1155136390675429</v>
      </c>
    </row>
    <row r="99" spans="1:9" x14ac:dyDescent="0.25">
      <c r="A99" s="49">
        <f>'A) Base RI'!A101</f>
        <v>5557</v>
      </c>
      <c r="B99" s="291" t="str">
        <f>'A) Base RI'!B101</f>
        <v>Fontaines-sur-Grandson</v>
      </c>
      <c r="C99" s="10">
        <f>'B) D RI'!Y101</f>
        <v>4367.6000000000004</v>
      </c>
      <c r="D99" s="422">
        <f>'B) D RI'!Z101</f>
        <v>0</v>
      </c>
      <c r="E99" s="10">
        <f t="shared" si="4"/>
        <v>4367.6000000000004</v>
      </c>
      <c r="F99" s="422">
        <f>'B) D RI'!U101</f>
        <v>6528.2227757093106</v>
      </c>
      <c r="G99" s="265">
        <f t="shared" si="5"/>
        <v>0.66903354098933121</v>
      </c>
      <c r="H99" s="55">
        <f t="shared" si="6"/>
        <v>2183.8000000000002</v>
      </c>
      <c r="I99" s="413">
        <f t="shared" si="7"/>
        <v>0.33451677049466561</v>
      </c>
    </row>
    <row r="100" spans="1:9" x14ac:dyDescent="0.25">
      <c r="A100" s="49">
        <f>'A) Base RI'!A102</f>
        <v>5559</v>
      </c>
      <c r="B100" s="291" t="str">
        <f>'A) Base RI'!B102</f>
        <v>Giez</v>
      </c>
      <c r="C100" s="10">
        <f>'B) D RI'!Y102</f>
        <v>71459.45</v>
      </c>
      <c r="D100" s="422">
        <f>'B) D RI'!Z102</f>
        <v>17765.05</v>
      </c>
      <c r="E100" s="10">
        <f t="shared" si="4"/>
        <v>89224.5</v>
      </c>
      <c r="F100" s="422">
        <f>'B) D RI'!U102</f>
        <v>20929.407833065721</v>
      </c>
      <c r="G100" s="265">
        <f t="shared" si="5"/>
        <v>4.2631163151705129</v>
      </c>
      <c r="H100" s="55">
        <f t="shared" si="6"/>
        <v>41059.24</v>
      </c>
      <c r="I100" s="413">
        <f t="shared" si="7"/>
        <v>1.9617965461560638</v>
      </c>
    </row>
    <row r="101" spans="1:9" x14ac:dyDescent="0.25">
      <c r="A101" s="49">
        <f>'A) Base RI'!A103</f>
        <v>5560</v>
      </c>
      <c r="B101" s="291" t="str">
        <f>'A) Base RI'!B103</f>
        <v>Grandevent</v>
      </c>
      <c r="C101" s="10">
        <f>'B) D RI'!Y103</f>
        <v>28344.45</v>
      </c>
      <c r="D101" s="422">
        <f>'B) D RI'!Z103</f>
        <v>0</v>
      </c>
      <c r="E101" s="10">
        <f t="shared" si="4"/>
        <v>28344.45</v>
      </c>
      <c r="F101" s="422">
        <f>'B) D RI'!U103</f>
        <v>7416.8272615804444</v>
      </c>
      <c r="G101" s="265">
        <f t="shared" si="5"/>
        <v>3.8216408445732237</v>
      </c>
      <c r="H101" s="55">
        <f t="shared" si="6"/>
        <v>14172.225</v>
      </c>
      <c r="I101" s="413">
        <f t="shared" si="7"/>
        <v>1.9108204222866119</v>
      </c>
    </row>
    <row r="102" spans="1:9" x14ac:dyDescent="0.25">
      <c r="A102" s="49">
        <f>'A) Base RI'!A104</f>
        <v>5561</v>
      </c>
      <c r="B102" s="291" t="str">
        <f>'A) Base RI'!B104</f>
        <v>Grandson</v>
      </c>
      <c r="C102" s="10">
        <f>'B) D RI'!Y104</f>
        <v>2457706.65</v>
      </c>
      <c r="D102" s="422">
        <f>'B) D RI'!Z104</f>
        <v>297970.95</v>
      </c>
      <c r="E102" s="10">
        <f t="shared" si="4"/>
        <v>2755677.6</v>
      </c>
      <c r="F102" s="422">
        <f>'B) D RI'!U104</f>
        <v>113273.1793379919</v>
      </c>
      <c r="G102" s="265">
        <f t="shared" si="5"/>
        <v>24.327714787429333</v>
      </c>
      <c r="H102" s="55">
        <f t="shared" si="6"/>
        <v>1318244.6099999999</v>
      </c>
      <c r="I102" s="413">
        <f t="shared" si="7"/>
        <v>11.637747061610549</v>
      </c>
    </row>
    <row r="103" spans="1:9" x14ac:dyDescent="0.25">
      <c r="A103" s="49">
        <f>'A) Base RI'!A105</f>
        <v>5562</v>
      </c>
      <c r="B103" s="291" t="str">
        <f>'A) Base RI'!B105</f>
        <v>Mauborget</v>
      </c>
      <c r="C103" s="10">
        <f>'B) D RI'!Y105</f>
        <v>83214.45</v>
      </c>
      <c r="D103" s="422">
        <f>'B) D RI'!Z105</f>
        <v>0</v>
      </c>
      <c r="E103" s="10">
        <f t="shared" si="4"/>
        <v>83214.45</v>
      </c>
      <c r="F103" s="422">
        <f>'B) D RI'!U105</f>
        <v>5481.8555000000006</v>
      </c>
      <c r="G103" s="265">
        <f t="shared" si="5"/>
        <v>15.179978749895904</v>
      </c>
      <c r="H103" s="55">
        <f t="shared" si="6"/>
        <v>41607.224999999999</v>
      </c>
      <c r="I103" s="413">
        <f t="shared" si="7"/>
        <v>7.5899893749479519</v>
      </c>
    </row>
    <row r="104" spans="1:9" x14ac:dyDescent="0.25">
      <c r="A104" s="49">
        <f>'A) Base RI'!A106</f>
        <v>5563</v>
      </c>
      <c r="B104" s="291" t="str">
        <f>'A) Base RI'!B106</f>
        <v>Mutrux</v>
      </c>
      <c r="C104" s="10">
        <f>'B) D RI'!Y106</f>
        <v>4745.95</v>
      </c>
      <c r="D104" s="422">
        <f>'B) D RI'!Z106</f>
        <v>0</v>
      </c>
      <c r="E104" s="10">
        <f t="shared" si="4"/>
        <v>4745.95</v>
      </c>
      <c r="F104" s="422">
        <f>'B) D RI'!U106</f>
        <v>4024.138375587273</v>
      </c>
      <c r="G104" s="265">
        <f t="shared" si="5"/>
        <v>1.1793704781107055</v>
      </c>
      <c r="H104" s="55">
        <f t="shared" si="6"/>
        <v>2372.9749999999999</v>
      </c>
      <c r="I104" s="413">
        <f t="shared" si="7"/>
        <v>0.58968523905535275</v>
      </c>
    </row>
    <row r="105" spans="1:9" x14ac:dyDescent="0.25">
      <c r="A105" s="49">
        <f>'A) Base RI'!A107</f>
        <v>5564</v>
      </c>
      <c r="B105" s="291" t="str">
        <f>'A) Base RI'!B107</f>
        <v>Novalles</v>
      </c>
      <c r="C105" s="10">
        <f>'B) D RI'!Y107</f>
        <v>19.8</v>
      </c>
      <c r="D105" s="422">
        <f>'B) D RI'!Z107</f>
        <v>0</v>
      </c>
      <c r="E105" s="10">
        <f t="shared" si="4"/>
        <v>19.8</v>
      </c>
      <c r="F105" s="422">
        <f>'B) D RI'!U107</f>
        <v>2262.9000968180799</v>
      </c>
      <c r="G105" s="265">
        <f t="shared" si="5"/>
        <v>8.7498339090803321E-3</v>
      </c>
      <c r="H105" s="55">
        <f t="shared" si="6"/>
        <v>9.9</v>
      </c>
      <c r="I105" s="413">
        <f t="shared" si="7"/>
        <v>4.3749169545401661E-3</v>
      </c>
    </row>
    <row r="106" spans="1:9" x14ac:dyDescent="0.25">
      <c r="A106" s="49">
        <f>'A) Base RI'!A108</f>
        <v>5565</v>
      </c>
      <c r="B106" s="291" t="str">
        <f>'A) Base RI'!B108</f>
        <v>Onnens</v>
      </c>
      <c r="C106" s="10">
        <f>'B) D RI'!Y108</f>
        <v>160775.35</v>
      </c>
      <c r="D106" s="422">
        <f>'B) D RI'!Z108</f>
        <v>31769.45</v>
      </c>
      <c r="E106" s="10">
        <f t="shared" si="4"/>
        <v>192544.80000000002</v>
      </c>
      <c r="F106" s="422">
        <f>'B) D RI'!U108</f>
        <v>18662.496602351366</v>
      </c>
      <c r="G106" s="265">
        <f t="shared" si="5"/>
        <v>10.317204825411221</v>
      </c>
      <c r="H106" s="55">
        <f t="shared" si="6"/>
        <v>89918.510000000009</v>
      </c>
      <c r="I106" s="413">
        <f t="shared" si="7"/>
        <v>4.8181393902395033</v>
      </c>
    </row>
    <row r="107" spans="1:9" x14ac:dyDescent="0.25">
      <c r="A107" s="49">
        <f>'A) Base RI'!A109</f>
        <v>5566</v>
      </c>
      <c r="B107" s="291" t="str">
        <f>'A) Base RI'!B109</f>
        <v>Provence</v>
      </c>
      <c r="C107" s="10">
        <f>'B) D RI'!Y109</f>
        <v>67771.299999999988</v>
      </c>
      <c r="D107" s="422">
        <f>'B) D RI'!Z109</f>
        <v>33043.65</v>
      </c>
      <c r="E107" s="10">
        <f t="shared" si="4"/>
        <v>100814.94999999998</v>
      </c>
      <c r="F107" s="422">
        <f>'B) D RI'!U109</f>
        <v>8507.523402669327</v>
      </c>
      <c r="G107" s="265">
        <f t="shared" si="5"/>
        <v>11.850093761525029</v>
      </c>
      <c r="H107" s="55">
        <f t="shared" si="6"/>
        <v>43798.744999999995</v>
      </c>
      <c r="I107" s="413">
        <f t="shared" si="7"/>
        <v>5.1482367931256787</v>
      </c>
    </row>
    <row r="108" spans="1:9" x14ac:dyDescent="0.25">
      <c r="A108" s="49">
        <f>'A) Base RI'!A110</f>
        <v>5568</v>
      </c>
      <c r="B108" s="291" t="str">
        <f>'A) Base RI'!B110</f>
        <v>Sainte-Croix</v>
      </c>
      <c r="C108" s="10">
        <f>'B) D RI'!Y110</f>
        <v>1115336.3999999999</v>
      </c>
      <c r="D108" s="422">
        <f>'B) D RI'!Z110</f>
        <v>1673786.35</v>
      </c>
      <c r="E108" s="10">
        <f t="shared" si="4"/>
        <v>2789122.75</v>
      </c>
      <c r="F108" s="422">
        <f>'B) D RI'!U110</f>
        <v>109442.50057575936</v>
      </c>
      <c r="G108" s="265">
        <f t="shared" si="5"/>
        <v>25.484822946541559</v>
      </c>
      <c r="H108" s="55">
        <f t="shared" si="6"/>
        <v>1059804.105</v>
      </c>
      <c r="I108" s="413">
        <f t="shared" si="7"/>
        <v>9.6836612780642017</v>
      </c>
    </row>
    <row r="109" spans="1:9" x14ac:dyDescent="0.25">
      <c r="A109" s="49">
        <f>'A) Base RI'!A111</f>
        <v>5571</v>
      </c>
      <c r="B109" s="291" t="str">
        <f>'A) Base RI'!B111</f>
        <v>Tévenon</v>
      </c>
      <c r="C109" s="10">
        <f>'B) D RI'!Y111</f>
        <v>111402.55</v>
      </c>
      <c r="D109" s="422">
        <f>'B) D RI'!Z111</f>
        <v>46447.8</v>
      </c>
      <c r="E109" s="10">
        <f t="shared" si="4"/>
        <v>157850.35</v>
      </c>
      <c r="F109" s="422">
        <f>'B) D RI'!U111</f>
        <v>24814.739648311806</v>
      </c>
      <c r="G109" s="265">
        <f t="shared" si="5"/>
        <v>6.3611527760170903</v>
      </c>
      <c r="H109" s="55">
        <f t="shared" si="6"/>
        <v>69635.615000000005</v>
      </c>
      <c r="I109" s="413">
        <f t="shared" si="7"/>
        <v>2.8062198510608773</v>
      </c>
    </row>
    <row r="110" spans="1:9" x14ac:dyDescent="0.25">
      <c r="A110" s="49">
        <f>'A) Base RI'!A112</f>
        <v>5581</v>
      </c>
      <c r="B110" s="291" t="str">
        <f>'A) Base RI'!B112</f>
        <v>Belmont-sur-Lausanne</v>
      </c>
      <c r="C110" s="10">
        <f>'B) D RI'!Y112</f>
        <v>738696.10000000009</v>
      </c>
      <c r="D110" s="422">
        <f>'B) D RI'!Z112</f>
        <v>2747.25</v>
      </c>
      <c r="E110" s="10">
        <f t="shared" si="4"/>
        <v>741443.35000000009</v>
      </c>
      <c r="F110" s="422">
        <f>'B) D RI'!U112</f>
        <v>187390.297037037</v>
      </c>
      <c r="G110" s="265">
        <f t="shared" si="5"/>
        <v>3.9566795171548104</v>
      </c>
      <c r="H110" s="55">
        <f t="shared" si="6"/>
        <v>370172.22500000003</v>
      </c>
      <c r="I110" s="413">
        <f t="shared" si="7"/>
        <v>1.9754076430480114</v>
      </c>
    </row>
    <row r="111" spans="1:9" x14ac:dyDescent="0.25">
      <c r="A111" s="49">
        <f>'A) Base RI'!A113</f>
        <v>5582</v>
      </c>
      <c r="B111" s="291" t="str">
        <f>'A) Base RI'!B113</f>
        <v>Cheseaux-sur-Lausanne</v>
      </c>
      <c r="C111" s="10">
        <f>'B) D RI'!Y113</f>
        <v>939557.35000000009</v>
      </c>
      <c r="D111" s="422">
        <f>'B) D RI'!Z113</f>
        <v>456234.5</v>
      </c>
      <c r="E111" s="10">
        <f t="shared" si="4"/>
        <v>1395791.85</v>
      </c>
      <c r="F111" s="422">
        <f>'B) D RI'!U113</f>
        <v>165596.20409124478</v>
      </c>
      <c r="G111" s="265">
        <f t="shared" si="5"/>
        <v>8.4288879546472462</v>
      </c>
      <c r="H111" s="55">
        <f t="shared" si="6"/>
        <v>606649.02500000002</v>
      </c>
      <c r="I111" s="413">
        <f t="shared" si="7"/>
        <v>3.6634234965055827</v>
      </c>
    </row>
    <row r="112" spans="1:9" x14ac:dyDescent="0.25">
      <c r="A112" s="49">
        <f>'A) Base RI'!A114</f>
        <v>5583</v>
      </c>
      <c r="B112" s="291" t="str">
        <f>'A) Base RI'!B114</f>
        <v>Crissier</v>
      </c>
      <c r="C112" s="10">
        <f>'B) D RI'!Y114</f>
        <v>1784205.6500000001</v>
      </c>
      <c r="D112" s="422">
        <f>'B) D RI'!Z114</f>
        <v>1828974.65</v>
      </c>
      <c r="E112" s="10">
        <f t="shared" si="4"/>
        <v>3613180.3</v>
      </c>
      <c r="F112" s="422">
        <f>'B) D RI'!U114</f>
        <v>307386.12106978399</v>
      </c>
      <c r="G112" s="265">
        <f t="shared" si="5"/>
        <v>11.754532987453008</v>
      </c>
      <c r="H112" s="55">
        <f t="shared" si="6"/>
        <v>1440795.22</v>
      </c>
      <c r="I112" s="413">
        <f t="shared" si="7"/>
        <v>4.6872487768336981</v>
      </c>
    </row>
    <row r="113" spans="1:9" x14ac:dyDescent="0.25">
      <c r="A113" s="49">
        <f>'A) Base RI'!A115</f>
        <v>5584</v>
      </c>
      <c r="B113" s="291" t="str">
        <f>'A) Base RI'!B115</f>
        <v>Epalinges</v>
      </c>
      <c r="C113" s="10">
        <f>'B) D RI'!Y115</f>
        <v>2278499.8199999998</v>
      </c>
      <c r="D113" s="422">
        <f>'B) D RI'!Z115</f>
        <v>263683.25</v>
      </c>
      <c r="E113" s="10">
        <f t="shared" si="4"/>
        <v>2542183.0699999998</v>
      </c>
      <c r="F113" s="422">
        <f>'B) D RI'!U115</f>
        <v>474209.93693948264</v>
      </c>
      <c r="G113" s="265">
        <f t="shared" si="5"/>
        <v>5.3608810612596383</v>
      </c>
      <c r="H113" s="55">
        <f t="shared" si="6"/>
        <v>1218354.885</v>
      </c>
      <c r="I113" s="413">
        <f t="shared" si="7"/>
        <v>2.5692310305920119</v>
      </c>
    </row>
    <row r="114" spans="1:9" x14ac:dyDescent="0.25">
      <c r="A114" s="49">
        <f>'A) Base RI'!A116</f>
        <v>5585</v>
      </c>
      <c r="B114" s="291" t="str">
        <f>'A) Base RI'!B116</f>
        <v>Jouxtens-Mézery</v>
      </c>
      <c r="C114" s="10">
        <f>'B) D RI'!Y116</f>
        <v>438350.3</v>
      </c>
      <c r="D114" s="422">
        <f>'B) D RI'!Z116</f>
        <v>1587.1</v>
      </c>
      <c r="E114" s="10">
        <f t="shared" si="4"/>
        <v>439937.39999999997</v>
      </c>
      <c r="F114" s="422">
        <f>'B) D RI'!U116</f>
        <v>229667.26461667338</v>
      </c>
      <c r="G114" s="265">
        <f t="shared" si="5"/>
        <v>1.9155424728651618</v>
      </c>
      <c r="H114" s="55">
        <f t="shared" si="6"/>
        <v>219651.28</v>
      </c>
      <c r="I114" s="413">
        <f t="shared" si="7"/>
        <v>0.9563891500454339</v>
      </c>
    </row>
    <row r="115" spans="1:9" x14ac:dyDescent="0.25">
      <c r="A115" s="49">
        <f>'A) Base RI'!A117</f>
        <v>5586</v>
      </c>
      <c r="B115" s="291" t="str">
        <f>'A) Base RI'!B117</f>
        <v>Lausanne</v>
      </c>
      <c r="C115" s="10">
        <f>'B) D RI'!Y117</f>
        <v>33438163.050000001</v>
      </c>
      <c r="D115" s="422">
        <f>'B) D RI'!Z117</f>
        <v>11639074.1</v>
      </c>
      <c r="E115" s="10">
        <f t="shared" si="4"/>
        <v>45077237.149999999</v>
      </c>
      <c r="F115" s="422">
        <f>'B) D RI'!U117</f>
        <v>5921149.2978412546</v>
      </c>
      <c r="G115" s="265">
        <f t="shared" si="5"/>
        <v>7.6129202089929322</v>
      </c>
      <c r="H115" s="55">
        <f t="shared" si="6"/>
        <v>20210803.754999999</v>
      </c>
      <c r="I115" s="413">
        <f t="shared" si="7"/>
        <v>3.4133244642840701</v>
      </c>
    </row>
    <row r="116" spans="1:9" x14ac:dyDescent="0.25">
      <c r="A116" s="49">
        <f>'A) Base RI'!A118</f>
        <v>5587</v>
      </c>
      <c r="B116" s="291" t="str">
        <f>'A) Base RI'!B118</f>
        <v>Le Mont-sur-Lausanne</v>
      </c>
      <c r="C116" s="10">
        <f>'B) D RI'!Y118</f>
        <v>1568943.5</v>
      </c>
      <c r="D116" s="422">
        <f>'B) D RI'!Z118</f>
        <v>464277.7</v>
      </c>
      <c r="E116" s="10">
        <f t="shared" si="4"/>
        <v>2033221.2</v>
      </c>
      <c r="F116" s="422">
        <f>'B) D RI'!U118</f>
        <v>435325.60080081096</v>
      </c>
      <c r="G116" s="265">
        <f t="shared" si="5"/>
        <v>4.6705757627388591</v>
      </c>
      <c r="H116" s="55">
        <f t="shared" si="6"/>
        <v>923755.06</v>
      </c>
      <c r="I116" s="413">
        <f t="shared" si="7"/>
        <v>2.1219865275570515</v>
      </c>
    </row>
    <row r="117" spans="1:9" x14ac:dyDescent="0.25">
      <c r="A117" s="49">
        <f>'A) Base RI'!A119</f>
        <v>5588</v>
      </c>
      <c r="B117" s="291" t="str">
        <f>'A) Base RI'!B119</f>
        <v>Paudex</v>
      </c>
      <c r="C117" s="10">
        <f>'B) D RI'!Y119</f>
        <v>165007.35</v>
      </c>
      <c r="D117" s="422">
        <f>'B) D RI'!Z119</f>
        <v>6796.8</v>
      </c>
      <c r="E117" s="10">
        <f t="shared" si="4"/>
        <v>171804.15</v>
      </c>
      <c r="F117" s="422">
        <f>'B) D RI'!U119</f>
        <v>133190.693055262</v>
      </c>
      <c r="G117" s="265">
        <f t="shared" si="5"/>
        <v>1.2899110745577165</v>
      </c>
      <c r="H117" s="55">
        <f t="shared" si="6"/>
        <v>84542.714999999997</v>
      </c>
      <c r="I117" s="413">
        <f t="shared" si="7"/>
        <v>0.63474941875197299</v>
      </c>
    </row>
    <row r="118" spans="1:9" x14ac:dyDescent="0.25">
      <c r="A118" s="49">
        <f>'A) Base RI'!A120</f>
        <v>5589</v>
      </c>
      <c r="B118" s="291" t="str">
        <f>'A) Base RI'!B120</f>
        <v>Prilly</v>
      </c>
      <c r="C118" s="10">
        <f>'B) D RI'!Y120</f>
        <v>1516116.6</v>
      </c>
      <c r="D118" s="422">
        <f>'B) D RI'!Z120</f>
        <v>1109829.25</v>
      </c>
      <c r="E118" s="10">
        <f t="shared" si="4"/>
        <v>2625945.85</v>
      </c>
      <c r="F118" s="422">
        <f>'B) D RI'!U120</f>
        <v>406505.26778654603</v>
      </c>
      <c r="G118" s="265">
        <f t="shared" si="5"/>
        <v>6.4598076780123588</v>
      </c>
      <c r="H118" s="55">
        <f t="shared" si="6"/>
        <v>1091007.075</v>
      </c>
      <c r="I118" s="413">
        <f t="shared" si="7"/>
        <v>2.6838694635880649</v>
      </c>
    </row>
    <row r="119" spans="1:9" x14ac:dyDescent="0.25">
      <c r="A119" s="49">
        <f>'A) Base RI'!A121</f>
        <v>5590</v>
      </c>
      <c r="B119" s="291" t="str">
        <f>'A) Base RI'!B121</f>
        <v>Pully</v>
      </c>
      <c r="C119" s="10">
        <f>'B) D RI'!Y121</f>
        <v>9909031.1500000004</v>
      </c>
      <c r="D119" s="422">
        <f>'B) D RI'!Z121</f>
        <v>164601.25</v>
      </c>
      <c r="E119" s="10">
        <f t="shared" si="4"/>
        <v>10073632.4</v>
      </c>
      <c r="F119" s="422">
        <f>'B) D RI'!U121</f>
        <v>1525137.1517209217</v>
      </c>
      <c r="G119" s="265">
        <f t="shared" si="5"/>
        <v>6.6050665598390266</v>
      </c>
      <c r="H119" s="55">
        <f t="shared" si="6"/>
        <v>5003895.95</v>
      </c>
      <c r="I119" s="413">
        <f t="shared" si="7"/>
        <v>3.2809481720078391</v>
      </c>
    </row>
    <row r="120" spans="1:9" x14ac:dyDescent="0.25">
      <c r="A120" s="49">
        <f>'A) Base RI'!A122</f>
        <v>5591</v>
      </c>
      <c r="B120" s="291" t="str">
        <f>'A) Base RI'!B122</f>
        <v>Renens</v>
      </c>
      <c r="C120" s="10">
        <f>'B) D RI'!Y122</f>
        <v>2790361.2</v>
      </c>
      <c r="D120" s="422">
        <f>'B) D RI'!Z122</f>
        <v>1922457.75</v>
      </c>
      <c r="E120" s="10">
        <f t="shared" si="4"/>
        <v>4712818.95</v>
      </c>
      <c r="F120" s="422">
        <f>'B) D RI'!U122</f>
        <v>560894.98850347521</v>
      </c>
      <c r="G120" s="265">
        <f t="shared" si="5"/>
        <v>8.402319590293148</v>
      </c>
      <c r="H120" s="55">
        <f t="shared" si="6"/>
        <v>1971917.925</v>
      </c>
      <c r="I120" s="413">
        <f t="shared" si="7"/>
        <v>3.5156632977971105</v>
      </c>
    </row>
    <row r="121" spans="1:9" x14ac:dyDescent="0.25">
      <c r="A121" s="49">
        <f>'A) Base RI'!A123</f>
        <v>5592</v>
      </c>
      <c r="B121" s="291" t="str">
        <f>'A) Base RI'!B123</f>
        <v>Romanel-sur-Lausanne</v>
      </c>
      <c r="C121" s="10">
        <f>'B) D RI'!Y123</f>
        <v>596609.1</v>
      </c>
      <c r="D121" s="422">
        <f>'B) D RI'!Z123</f>
        <v>201383</v>
      </c>
      <c r="E121" s="10">
        <f t="shared" si="4"/>
        <v>797992.1</v>
      </c>
      <c r="F121" s="422">
        <f>'B) D RI'!U123</f>
        <v>112590.71279371857</v>
      </c>
      <c r="G121" s="265">
        <f t="shared" si="5"/>
        <v>7.0875481662686468</v>
      </c>
      <c r="H121" s="55">
        <f t="shared" si="6"/>
        <v>358719.44999999995</v>
      </c>
      <c r="I121" s="413">
        <f t="shared" si="7"/>
        <v>3.1860483080626958</v>
      </c>
    </row>
    <row r="122" spans="1:9" x14ac:dyDescent="0.25">
      <c r="A122" s="49">
        <f>'A) Base RI'!A124</f>
        <v>5601</v>
      </c>
      <c r="B122" s="291" t="str">
        <f>'A) Base RI'!B124</f>
        <v>Chexbres</v>
      </c>
      <c r="C122" s="10">
        <f>'B) D RI'!Y124</f>
        <v>815985.92</v>
      </c>
      <c r="D122" s="422">
        <f>'B) D RI'!Z124</f>
        <v>57507.3</v>
      </c>
      <c r="E122" s="10">
        <f t="shared" si="4"/>
        <v>873493.22000000009</v>
      </c>
      <c r="F122" s="422">
        <f>'B) D RI'!U124</f>
        <v>103283.91611303072</v>
      </c>
      <c r="G122" s="265">
        <f t="shared" si="5"/>
        <v>8.4572046923944697</v>
      </c>
      <c r="H122" s="55">
        <f t="shared" si="6"/>
        <v>425245.15</v>
      </c>
      <c r="I122" s="413">
        <f t="shared" si="7"/>
        <v>4.1172446398587841</v>
      </c>
    </row>
    <row r="123" spans="1:9" x14ac:dyDescent="0.25">
      <c r="A123" s="49">
        <f>'A) Base RI'!A125</f>
        <v>5604</v>
      </c>
      <c r="B123" s="291" t="str">
        <f>'A) Base RI'!B125</f>
        <v>Forel (Lavaux)</v>
      </c>
      <c r="C123" s="10">
        <f>'B) D RI'!Y125</f>
        <v>344450.1</v>
      </c>
      <c r="D123" s="422">
        <f>'B) D RI'!Z125</f>
        <v>86564.800000000003</v>
      </c>
      <c r="E123" s="10">
        <f t="shared" si="4"/>
        <v>431014.89999999997</v>
      </c>
      <c r="F123" s="422">
        <f>'B) D RI'!U125</f>
        <v>73662.582961552936</v>
      </c>
      <c r="G123" s="265">
        <f t="shared" si="5"/>
        <v>5.8512053565235638</v>
      </c>
      <c r="H123" s="55">
        <f t="shared" si="6"/>
        <v>198194.49</v>
      </c>
      <c r="I123" s="413">
        <f t="shared" si="7"/>
        <v>2.6905720928010979</v>
      </c>
    </row>
    <row r="124" spans="1:9" x14ac:dyDescent="0.25">
      <c r="A124" s="49">
        <f>'A) Base RI'!A126</f>
        <v>5606</v>
      </c>
      <c r="B124" s="291" t="str">
        <f>'A) Base RI'!B126</f>
        <v>Lutry</v>
      </c>
      <c r="C124" s="10">
        <f>'B) D RI'!Y126</f>
        <v>7300230.1000000006</v>
      </c>
      <c r="D124" s="422">
        <f>'B) D RI'!Z126</f>
        <v>105724.85</v>
      </c>
      <c r="E124" s="10">
        <f t="shared" si="4"/>
        <v>7405954.9500000002</v>
      </c>
      <c r="F124" s="422">
        <f>'B) D RI'!U126</f>
        <v>807933.92151435383</v>
      </c>
      <c r="G124" s="265">
        <f t="shared" si="5"/>
        <v>9.1665354712655489</v>
      </c>
      <c r="H124" s="55">
        <f t="shared" si="6"/>
        <v>3681832.5050000004</v>
      </c>
      <c r="I124" s="413">
        <f t="shared" si="7"/>
        <v>4.5570960779799226</v>
      </c>
    </row>
    <row r="125" spans="1:9" x14ac:dyDescent="0.25">
      <c r="A125" s="49">
        <f>'A) Base RI'!A127</f>
        <v>5607</v>
      </c>
      <c r="B125" s="291" t="str">
        <f>'A) Base RI'!B127</f>
        <v>Puidoux</v>
      </c>
      <c r="C125" s="10">
        <f>'B) D RI'!Y127</f>
        <v>243871.35</v>
      </c>
      <c r="D125" s="422">
        <f>'B) D RI'!Z127</f>
        <v>204335.45</v>
      </c>
      <c r="E125" s="10">
        <f t="shared" si="4"/>
        <v>448206.80000000005</v>
      </c>
      <c r="F125" s="422">
        <f>'B) D RI'!U127</f>
        <v>99930.249355206179</v>
      </c>
      <c r="G125" s="265">
        <f t="shared" si="5"/>
        <v>4.4851964534465489</v>
      </c>
      <c r="H125" s="55">
        <f t="shared" si="6"/>
        <v>183236.31</v>
      </c>
      <c r="I125" s="413">
        <f t="shared" si="7"/>
        <v>1.8336420771720383</v>
      </c>
    </row>
    <row r="126" spans="1:9" x14ac:dyDescent="0.25">
      <c r="A126" s="49">
        <f>'A) Base RI'!A128</f>
        <v>5609</v>
      </c>
      <c r="B126" s="291" t="str">
        <f>'A) Base RI'!B128</f>
        <v>Rivaz</v>
      </c>
      <c r="C126" s="10">
        <f>'B) D RI'!Y128</f>
        <v>37235</v>
      </c>
      <c r="D126" s="422">
        <f>'B) D RI'!Z128</f>
        <v>0</v>
      </c>
      <c r="E126" s="10">
        <f t="shared" si="4"/>
        <v>37235</v>
      </c>
      <c r="F126" s="422">
        <f>'B) D RI'!U128</f>
        <v>13671.143301269074</v>
      </c>
      <c r="G126" s="265">
        <f t="shared" si="5"/>
        <v>2.7236200498712879</v>
      </c>
      <c r="H126" s="55">
        <f t="shared" si="6"/>
        <v>18617.5</v>
      </c>
      <c r="I126" s="413">
        <f t="shared" si="7"/>
        <v>1.361810024935644</v>
      </c>
    </row>
    <row r="127" spans="1:9" x14ac:dyDescent="0.25">
      <c r="A127" s="49">
        <f>'A) Base RI'!A129</f>
        <v>5610</v>
      </c>
      <c r="B127" s="291" t="str">
        <f>'A) Base RI'!B129</f>
        <v>St-Saphorin (Lavaux)</v>
      </c>
      <c r="C127" s="10">
        <f>'B) D RI'!Y129</f>
        <v>33802.35</v>
      </c>
      <c r="D127" s="422">
        <f>'B) D RI'!Z129</f>
        <v>0</v>
      </c>
      <c r="E127" s="10">
        <f t="shared" si="4"/>
        <v>33802.35</v>
      </c>
      <c r="F127" s="422">
        <f>'B) D RI'!U129</f>
        <v>22273.105318410097</v>
      </c>
      <c r="G127" s="265">
        <f t="shared" si="5"/>
        <v>1.5176307711372545</v>
      </c>
      <c r="H127" s="55">
        <f t="shared" si="6"/>
        <v>16901.174999999999</v>
      </c>
      <c r="I127" s="413">
        <f t="shared" si="7"/>
        <v>0.75881538556862727</v>
      </c>
    </row>
    <row r="128" spans="1:9" x14ac:dyDescent="0.25">
      <c r="A128" s="49">
        <f>'A) Base RI'!A130</f>
        <v>5611</v>
      </c>
      <c r="B128" s="291" t="str">
        <f>'A) Base RI'!B130</f>
        <v>Savigny</v>
      </c>
      <c r="C128" s="10">
        <f>'B) D RI'!Y130</f>
        <v>1242585.7000000002</v>
      </c>
      <c r="D128" s="422">
        <f>'B) D RI'!Z130</f>
        <v>112933.35</v>
      </c>
      <c r="E128" s="10">
        <f t="shared" si="4"/>
        <v>1355519.0500000003</v>
      </c>
      <c r="F128" s="422">
        <f>'B) D RI'!U130</f>
        <v>134511.88344270343</v>
      </c>
      <c r="G128" s="265">
        <f t="shared" si="5"/>
        <v>10.077318191573728</v>
      </c>
      <c r="H128" s="55">
        <f t="shared" si="6"/>
        <v>655172.8550000001</v>
      </c>
      <c r="I128" s="413">
        <f t="shared" si="7"/>
        <v>4.870743299636251</v>
      </c>
    </row>
    <row r="129" spans="1:9" x14ac:dyDescent="0.25">
      <c r="A129" s="49">
        <f>'A) Base RI'!A131</f>
        <v>5613</v>
      </c>
      <c r="B129" s="291" t="str">
        <f>'A) Base RI'!B131</f>
        <v>Bourg-en-Lavaux</v>
      </c>
      <c r="C129" s="10">
        <f>'B) D RI'!Y131</f>
        <v>1963191.9</v>
      </c>
      <c r="D129" s="422">
        <f>'B) D RI'!Z131</f>
        <v>39562.800000000003</v>
      </c>
      <c r="E129" s="10">
        <f t="shared" si="4"/>
        <v>2002754.7</v>
      </c>
      <c r="F129" s="422">
        <f>'B) D RI'!U131</f>
        <v>332932.37553055235</v>
      </c>
      <c r="G129" s="265">
        <f t="shared" si="5"/>
        <v>6.0154999849698072</v>
      </c>
      <c r="H129" s="55">
        <f t="shared" si="6"/>
        <v>993464.78999999992</v>
      </c>
      <c r="I129" s="413">
        <f t="shared" si="7"/>
        <v>2.9839837246733376</v>
      </c>
    </row>
    <row r="130" spans="1:9" x14ac:dyDescent="0.25">
      <c r="A130" s="49">
        <f>'A) Base RI'!A132</f>
        <v>5621</v>
      </c>
      <c r="B130" s="291" t="str">
        <f>'A) Base RI'!B132</f>
        <v>Aclens</v>
      </c>
      <c r="C130" s="10">
        <f>'B) D RI'!Y132</f>
        <v>186757.4</v>
      </c>
      <c r="D130" s="422">
        <f>'B) D RI'!Z132</f>
        <v>163883.20000000001</v>
      </c>
      <c r="E130" s="10">
        <f t="shared" si="4"/>
        <v>350640.6</v>
      </c>
      <c r="F130" s="422">
        <f>'B) D RI'!U132</f>
        <v>27011.410978345568</v>
      </c>
      <c r="G130" s="265">
        <f t="shared" si="5"/>
        <v>12.981202658428341</v>
      </c>
      <c r="H130" s="55">
        <f t="shared" si="6"/>
        <v>142543.66</v>
      </c>
      <c r="I130" s="413">
        <f t="shared" si="7"/>
        <v>5.277164532955128</v>
      </c>
    </row>
    <row r="131" spans="1:9" x14ac:dyDescent="0.25">
      <c r="A131" s="49">
        <f>'A) Base RI'!A133</f>
        <v>5622</v>
      </c>
      <c r="B131" s="291" t="str">
        <f>'A) Base RI'!B133</f>
        <v>Bremblens</v>
      </c>
      <c r="C131" s="10">
        <f>'B) D RI'!Y133</f>
        <v>227182.35</v>
      </c>
      <c r="D131" s="422">
        <f>'B) D RI'!Z133</f>
        <v>25229.55</v>
      </c>
      <c r="E131" s="10">
        <f t="shared" si="4"/>
        <v>252411.9</v>
      </c>
      <c r="F131" s="422">
        <f>'B) D RI'!U133</f>
        <v>26937.345606060608</v>
      </c>
      <c r="G131" s="265">
        <f t="shared" si="5"/>
        <v>9.370333056988736</v>
      </c>
      <c r="H131" s="55">
        <f t="shared" si="6"/>
        <v>121160.04000000001</v>
      </c>
      <c r="I131" s="413">
        <f t="shared" si="7"/>
        <v>4.4978462901237135</v>
      </c>
    </row>
    <row r="132" spans="1:9" x14ac:dyDescent="0.25">
      <c r="A132" s="49">
        <f>'A) Base RI'!A134</f>
        <v>5623</v>
      </c>
      <c r="B132" s="291" t="str">
        <f>'A) Base RI'!B134</f>
        <v>Buchillon</v>
      </c>
      <c r="C132" s="10">
        <f>'B) D RI'!Y134</f>
        <v>465814.1</v>
      </c>
      <c r="D132" s="422">
        <f>'B) D RI'!Z134</f>
        <v>1708.45</v>
      </c>
      <c r="E132" s="10">
        <f t="shared" si="4"/>
        <v>467522.55</v>
      </c>
      <c r="F132" s="422">
        <f>'B) D RI'!U134</f>
        <v>89461.877418085525</v>
      </c>
      <c r="G132" s="265">
        <f t="shared" si="5"/>
        <v>5.2259416356210524</v>
      </c>
      <c r="H132" s="55">
        <f t="shared" si="6"/>
        <v>233419.58499999999</v>
      </c>
      <c r="I132" s="413">
        <f t="shared" si="7"/>
        <v>2.6091514255748463</v>
      </c>
    </row>
    <row r="133" spans="1:9" x14ac:dyDescent="0.25">
      <c r="A133" s="49">
        <f>'A) Base RI'!A135</f>
        <v>5624</v>
      </c>
      <c r="B133" s="291" t="str">
        <f>'A) Base RI'!B135</f>
        <v>Bussigny</v>
      </c>
      <c r="C133" s="10">
        <f>'B) D RI'!Y135</f>
        <v>3182607.0999999996</v>
      </c>
      <c r="D133" s="422">
        <f>'B) D RI'!Z135</f>
        <v>1135079.8999999999</v>
      </c>
      <c r="E133" s="10">
        <f t="shared" ref="E133:E196" si="8">C133+D133</f>
        <v>4317687</v>
      </c>
      <c r="F133" s="422">
        <f>'B) D RI'!U135</f>
        <v>400390.10765672859</v>
      </c>
      <c r="G133" s="265">
        <f t="shared" ref="G133:G196" si="9">E133/F133</f>
        <v>10.783700489677772</v>
      </c>
      <c r="H133" s="55">
        <f t="shared" ref="H133:H196" si="10">(C133*$C$4)+(D133*$D$4)</f>
        <v>1931827.5199999998</v>
      </c>
      <c r="I133" s="413">
        <f t="shared" ref="I133:I196" si="11">H133/F133</f>
        <v>4.8248632597492582</v>
      </c>
    </row>
    <row r="134" spans="1:9" x14ac:dyDescent="0.25">
      <c r="A134" s="49">
        <f>'A) Base RI'!A136</f>
        <v>5625</v>
      </c>
      <c r="B134" s="291" t="str">
        <f>'A) Base RI'!B136</f>
        <v>Bussy-Chardonney</v>
      </c>
      <c r="C134" s="10">
        <f>'B) D RI'!Y136</f>
        <v>87121.85</v>
      </c>
      <c r="D134" s="422">
        <f>'B) D RI'!Z136</f>
        <v>0</v>
      </c>
      <c r="E134" s="10">
        <f t="shared" si="8"/>
        <v>87121.85</v>
      </c>
      <c r="F134" s="422">
        <f>'B) D RI'!U136</f>
        <v>16815.127999439792</v>
      </c>
      <c r="G134" s="265">
        <f t="shared" si="9"/>
        <v>5.1811588947109133</v>
      </c>
      <c r="H134" s="55">
        <f t="shared" si="10"/>
        <v>43560.925000000003</v>
      </c>
      <c r="I134" s="413">
        <f t="shared" si="11"/>
        <v>2.5905794473554566</v>
      </c>
    </row>
    <row r="135" spans="1:9" x14ac:dyDescent="0.25">
      <c r="A135" s="49">
        <f>'A) Base RI'!A137</f>
        <v>5627</v>
      </c>
      <c r="B135" s="291" t="str">
        <f>'A) Base RI'!B137</f>
        <v>Chavannes-près-Renens</v>
      </c>
      <c r="C135" s="10">
        <f>'B) D RI'!Y137</f>
        <v>2650331.9</v>
      </c>
      <c r="D135" s="422">
        <f>'B) D RI'!Z137</f>
        <v>311973.45</v>
      </c>
      <c r="E135" s="10">
        <f t="shared" si="8"/>
        <v>2962305.35</v>
      </c>
      <c r="F135" s="422">
        <f>'B) D RI'!U137</f>
        <v>214338.77376035714</v>
      </c>
      <c r="G135" s="265">
        <f t="shared" si="9"/>
        <v>13.820669485176886</v>
      </c>
      <c r="H135" s="55">
        <f t="shared" si="10"/>
        <v>1418757.9849999999</v>
      </c>
      <c r="I135" s="413">
        <f t="shared" si="11"/>
        <v>6.6192316028935174</v>
      </c>
    </row>
    <row r="136" spans="1:9" x14ac:dyDescent="0.25">
      <c r="A136" s="49">
        <f>'A) Base RI'!A138</f>
        <v>5628</v>
      </c>
      <c r="B136" s="291" t="str">
        <f>'A) Base RI'!B138</f>
        <v>Chigny</v>
      </c>
      <c r="C136" s="10">
        <f>'B) D RI'!Y138</f>
        <v>152416.44999999998</v>
      </c>
      <c r="D136" s="422">
        <f>'B) D RI'!Z138</f>
        <v>11124.5</v>
      </c>
      <c r="E136" s="10">
        <f t="shared" si="8"/>
        <v>163540.94999999998</v>
      </c>
      <c r="F136" s="422">
        <f>'B) D RI'!U138</f>
        <v>22372.02129032258</v>
      </c>
      <c r="G136" s="265">
        <f t="shared" si="9"/>
        <v>7.3100659023037204</v>
      </c>
      <c r="H136" s="55">
        <f t="shared" si="10"/>
        <v>79545.574999999997</v>
      </c>
      <c r="I136" s="413">
        <f t="shared" si="11"/>
        <v>3.5555828401794374</v>
      </c>
    </row>
    <row r="137" spans="1:9" x14ac:dyDescent="0.25">
      <c r="A137" s="49">
        <f>'A) Base RI'!A139</f>
        <v>5629</v>
      </c>
      <c r="B137" s="291" t="str">
        <f>'A) Base RI'!B139</f>
        <v>Clarmont</v>
      </c>
      <c r="C137" s="10">
        <f>'B) D RI'!Y139</f>
        <v>102692.95</v>
      </c>
      <c r="D137" s="422">
        <f>'B) D RI'!Z139</f>
        <v>0</v>
      </c>
      <c r="E137" s="10">
        <f t="shared" si="8"/>
        <v>102692.95</v>
      </c>
      <c r="F137" s="422">
        <f>'B) D RI'!U139</f>
        <v>6749.9170666666651</v>
      </c>
      <c r="G137" s="265">
        <f t="shared" si="9"/>
        <v>15.213957295435812</v>
      </c>
      <c r="H137" s="55">
        <f t="shared" si="10"/>
        <v>51346.474999999999</v>
      </c>
      <c r="I137" s="413">
        <f t="shared" si="11"/>
        <v>7.6069786477179058</v>
      </c>
    </row>
    <row r="138" spans="1:9" x14ac:dyDescent="0.25">
      <c r="A138" s="49">
        <f>'A) Base RI'!A140</f>
        <v>5631</v>
      </c>
      <c r="B138" s="291" t="str">
        <f>'A) Base RI'!B140</f>
        <v>Denens</v>
      </c>
      <c r="C138" s="10">
        <f>'B) D RI'!Y140</f>
        <v>104019.6</v>
      </c>
      <c r="D138" s="422">
        <f>'B) D RI'!Z140</f>
        <v>0</v>
      </c>
      <c r="E138" s="10">
        <f t="shared" si="8"/>
        <v>104019.6</v>
      </c>
      <c r="F138" s="422">
        <f>'B) D RI'!U140</f>
        <v>51374.095571428574</v>
      </c>
      <c r="G138" s="265">
        <f t="shared" si="9"/>
        <v>2.0247480533331266</v>
      </c>
      <c r="H138" s="55">
        <f t="shared" si="10"/>
        <v>52009.8</v>
      </c>
      <c r="I138" s="413">
        <f t="shared" si="11"/>
        <v>1.0123740266665633</v>
      </c>
    </row>
    <row r="139" spans="1:9" x14ac:dyDescent="0.25">
      <c r="A139" s="49">
        <f>'A) Base RI'!A141</f>
        <v>5632</v>
      </c>
      <c r="B139" s="291" t="str">
        <f>'A) Base RI'!B141</f>
        <v>Denges</v>
      </c>
      <c r="C139" s="10">
        <f>'B) D RI'!Y141</f>
        <v>316040.25</v>
      </c>
      <c r="D139" s="422">
        <f>'B) D RI'!Z141</f>
        <v>46752.800000000003</v>
      </c>
      <c r="E139" s="10">
        <f t="shared" si="8"/>
        <v>362793.05</v>
      </c>
      <c r="F139" s="422">
        <f>'B) D RI'!U141</f>
        <v>73160.20406689003</v>
      </c>
      <c r="G139" s="265">
        <f t="shared" si="9"/>
        <v>4.9588851565845831</v>
      </c>
      <c r="H139" s="55">
        <f t="shared" si="10"/>
        <v>172045.965</v>
      </c>
      <c r="I139" s="413">
        <f t="shared" si="11"/>
        <v>2.3516332026999156</v>
      </c>
    </row>
    <row r="140" spans="1:9" x14ac:dyDescent="0.25">
      <c r="A140" s="49">
        <f>'A) Base RI'!A142</f>
        <v>5633</v>
      </c>
      <c r="B140" s="291" t="str">
        <f>'A) Base RI'!B142</f>
        <v>Echandens</v>
      </c>
      <c r="C140" s="10">
        <f>'B) D RI'!Y142</f>
        <v>475323.88</v>
      </c>
      <c r="D140" s="422">
        <f>'B) D RI'!Z142</f>
        <v>224162.65</v>
      </c>
      <c r="E140" s="10">
        <f t="shared" si="8"/>
        <v>699486.53</v>
      </c>
      <c r="F140" s="422">
        <f>'B) D RI'!U142</f>
        <v>160114.83181506293</v>
      </c>
      <c r="G140" s="265">
        <f t="shared" si="9"/>
        <v>4.3686554335448848</v>
      </c>
      <c r="H140" s="55">
        <f t="shared" si="10"/>
        <v>304910.73499999999</v>
      </c>
      <c r="I140" s="413">
        <f t="shared" si="11"/>
        <v>1.9043253616390787</v>
      </c>
    </row>
    <row r="141" spans="1:9" x14ac:dyDescent="0.25">
      <c r="A141" s="49">
        <f>'A) Base RI'!A143</f>
        <v>5634</v>
      </c>
      <c r="B141" s="291" t="str">
        <f>'A) Base RI'!B143</f>
        <v>Echichens</v>
      </c>
      <c r="C141" s="10">
        <f>'B) D RI'!Y143</f>
        <v>1291678.9000000001</v>
      </c>
      <c r="D141" s="422">
        <f>'B) D RI'!Z143</f>
        <v>32250.05</v>
      </c>
      <c r="E141" s="10">
        <f t="shared" si="8"/>
        <v>1323928.9500000002</v>
      </c>
      <c r="F141" s="422">
        <f>'B) D RI'!U143</f>
        <v>173888.96393435504</v>
      </c>
      <c r="G141" s="265">
        <f t="shared" si="9"/>
        <v>7.6136456279065401</v>
      </c>
      <c r="H141" s="55">
        <f t="shared" si="10"/>
        <v>655514.46500000008</v>
      </c>
      <c r="I141" s="413">
        <f t="shared" si="11"/>
        <v>3.7697301206962384</v>
      </c>
    </row>
    <row r="142" spans="1:9" x14ac:dyDescent="0.25">
      <c r="A142" s="49">
        <f>'A) Base RI'!A144</f>
        <v>5635</v>
      </c>
      <c r="B142" s="291" t="str">
        <f>'A) Base RI'!B144</f>
        <v>Ecublens</v>
      </c>
      <c r="C142" s="10">
        <f>'B) D RI'!Y144</f>
        <v>2274357.5</v>
      </c>
      <c r="D142" s="422">
        <f>'B) D RI'!Z144</f>
        <v>2637319.7000000002</v>
      </c>
      <c r="E142" s="10">
        <f t="shared" si="8"/>
        <v>4911677.2</v>
      </c>
      <c r="F142" s="422">
        <f>'B) D RI'!U144</f>
        <v>488507.72683115519</v>
      </c>
      <c r="G142" s="265">
        <f t="shared" si="9"/>
        <v>10.054451404199881</v>
      </c>
      <c r="H142" s="55">
        <f t="shared" si="10"/>
        <v>1928374.6600000001</v>
      </c>
      <c r="I142" s="413">
        <f t="shared" si="11"/>
        <v>3.9474803653750841</v>
      </c>
    </row>
    <row r="143" spans="1:9" x14ac:dyDescent="0.25">
      <c r="A143" s="49">
        <f>'A) Base RI'!A145</f>
        <v>5636</v>
      </c>
      <c r="B143" s="291" t="str">
        <f>'A) Base RI'!B145</f>
        <v>Etoy</v>
      </c>
      <c r="C143" s="10">
        <f>'B) D RI'!Y145</f>
        <v>1045687.25</v>
      </c>
      <c r="D143" s="422">
        <f>'B) D RI'!Z145</f>
        <v>399939.55</v>
      </c>
      <c r="E143" s="10">
        <f t="shared" si="8"/>
        <v>1445626.8</v>
      </c>
      <c r="F143" s="422">
        <f>'B) D RI'!U145</f>
        <v>176831.6240274295</v>
      </c>
      <c r="G143" s="265">
        <f t="shared" si="9"/>
        <v>8.1751598898156335</v>
      </c>
      <c r="H143" s="55">
        <f t="shared" si="10"/>
        <v>642825.49</v>
      </c>
      <c r="I143" s="413">
        <f t="shared" si="11"/>
        <v>3.6352405489432544</v>
      </c>
    </row>
    <row r="144" spans="1:9" x14ac:dyDescent="0.25">
      <c r="A144" s="49">
        <f>'A) Base RI'!A146</f>
        <v>5637</v>
      </c>
      <c r="B144" s="291" t="str">
        <f>'A) Base RI'!B146</f>
        <v>Lavigny</v>
      </c>
      <c r="C144" s="10">
        <f>'B) D RI'!Y146</f>
        <v>115473</v>
      </c>
      <c r="D144" s="422">
        <f>'B) D RI'!Z146</f>
        <v>207758.15</v>
      </c>
      <c r="E144" s="10">
        <f t="shared" si="8"/>
        <v>323231.15000000002</v>
      </c>
      <c r="F144" s="422">
        <f>'B) D RI'!U146</f>
        <v>37137.682399987621</v>
      </c>
      <c r="G144" s="265">
        <f t="shared" si="9"/>
        <v>8.7035896995044517</v>
      </c>
      <c r="H144" s="55">
        <f t="shared" si="10"/>
        <v>120063.94499999999</v>
      </c>
      <c r="I144" s="413">
        <f t="shared" si="11"/>
        <v>3.2329412402977526</v>
      </c>
    </row>
    <row r="145" spans="1:9" x14ac:dyDescent="0.25">
      <c r="A145" s="49">
        <f>'A) Base RI'!A147</f>
        <v>5638</v>
      </c>
      <c r="B145" s="291" t="str">
        <f>'A) Base RI'!B147</f>
        <v>Lonay</v>
      </c>
      <c r="C145" s="10">
        <f>'B) D RI'!Y147</f>
        <v>3147228.9</v>
      </c>
      <c r="D145" s="422">
        <f>'B) D RI'!Z147</f>
        <v>214877.05</v>
      </c>
      <c r="E145" s="10">
        <f t="shared" si="8"/>
        <v>3362105.9499999997</v>
      </c>
      <c r="F145" s="422">
        <f>'B) D RI'!U147</f>
        <v>154797.39129324263</v>
      </c>
      <c r="G145" s="265">
        <f t="shared" si="9"/>
        <v>21.719396702435034</v>
      </c>
      <c r="H145" s="55">
        <f t="shared" si="10"/>
        <v>1638077.5649999999</v>
      </c>
      <c r="I145" s="413">
        <f t="shared" si="11"/>
        <v>10.582074745025157</v>
      </c>
    </row>
    <row r="146" spans="1:9" x14ac:dyDescent="0.25">
      <c r="A146" s="49">
        <f>'A) Base RI'!A148</f>
        <v>5639</v>
      </c>
      <c r="B146" s="291" t="str">
        <f>'A) Base RI'!B148</f>
        <v>Lully</v>
      </c>
      <c r="C146" s="10">
        <f>'B) D RI'!Y148</f>
        <v>118581.40000000001</v>
      </c>
      <c r="D146" s="422">
        <f>'B) D RI'!Z148</f>
        <v>19523.8</v>
      </c>
      <c r="E146" s="10">
        <f t="shared" si="8"/>
        <v>138105.20000000001</v>
      </c>
      <c r="F146" s="422">
        <f>'B) D RI'!U148</f>
        <v>46990.489786222082</v>
      </c>
      <c r="G146" s="265">
        <f t="shared" si="9"/>
        <v>2.9390032031650235</v>
      </c>
      <c r="H146" s="55">
        <f t="shared" si="10"/>
        <v>65147.840000000004</v>
      </c>
      <c r="I146" s="413">
        <f t="shared" si="11"/>
        <v>1.3864047873597984</v>
      </c>
    </row>
    <row r="147" spans="1:9" x14ac:dyDescent="0.25">
      <c r="A147" s="49">
        <f>'A) Base RI'!A149</f>
        <v>5640</v>
      </c>
      <c r="B147" s="291" t="str">
        <f>'A) Base RI'!B149</f>
        <v>Lussy-sur-Morges</v>
      </c>
      <c r="C147" s="10">
        <f>'B) D RI'!Y149</f>
        <v>452699.75</v>
      </c>
      <c r="D147" s="422">
        <f>'B) D RI'!Z149</f>
        <v>15620.7</v>
      </c>
      <c r="E147" s="10">
        <f t="shared" si="8"/>
        <v>468320.45</v>
      </c>
      <c r="F147" s="422">
        <f>'B) D RI'!U149</f>
        <v>60932.654829076157</v>
      </c>
      <c r="G147" s="265">
        <f t="shared" si="9"/>
        <v>7.6858697739939021</v>
      </c>
      <c r="H147" s="55">
        <f t="shared" si="10"/>
        <v>231036.08499999999</v>
      </c>
      <c r="I147" s="413">
        <f t="shared" si="11"/>
        <v>3.7916628718719969</v>
      </c>
    </row>
    <row r="148" spans="1:9" x14ac:dyDescent="0.25">
      <c r="A148" s="49">
        <f>'A) Base RI'!A150</f>
        <v>5642</v>
      </c>
      <c r="B148" s="291" t="str">
        <f>'A) Base RI'!B150</f>
        <v>Morges</v>
      </c>
      <c r="C148" s="10">
        <f>'B) D RI'!Y150</f>
        <v>5978284.0499999998</v>
      </c>
      <c r="D148" s="422">
        <f>'B) D RI'!Z150</f>
        <v>1302438.1000000001</v>
      </c>
      <c r="E148" s="10">
        <f t="shared" si="8"/>
        <v>7280722.1500000004</v>
      </c>
      <c r="F148" s="422">
        <f>'B) D RI'!U150</f>
        <v>860073.47085290938</v>
      </c>
      <c r="G148" s="265">
        <f t="shared" si="9"/>
        <v>8.4652327931704772</v>
      </c>
      <c r="H148" s="55">
        <f t="shared" si="10"/>
        <v>3379873.4550000001</v>
      </c>
      <c r="I148" s="413">
        <f t="shared" si="11"/>
        <v>3.9297496894634825</v>
      </c>
    </row>
    <row r="149" spans="1:9" x14ac:dyDescent="0.25">
      <c r="A149" s="49">
        <f>'A) Base RI'!A151</f>
        <v>5643</v>
      </c>
      <c r="B149" s="291" t="str">
        <f>'A) Base RI'!B151</f>
        <v>Préverenges</v>
      </c>
      <c r="C149" s="10">
        <f>'B) D RI'!Y151</f>
        <v>1779413.5</v>
      </c>
      <c r="D149" s="422">
        <f>'B) D RI'!Z151</f>
        <v>126106.3</v>
      </c>
      <c r="E149" s="10">
        <f t="shared" si="8"/>
        <v>1905519.8</v>
      </c>
      <c r="F149" s="422">
        <f>'B) D RI'!U151</f>
        <v>258751.58879529274</v>
      </c>
      <c r="G149" s="265">
        <f t="shared" si="9"/>
        <v>7.364282510773382</v>
      </c>
      <c r="H149" s="55">
        <f t="shared" si="10"/>
        <v>927538.64</v>
      </c>
      <c r="I149" s="413">
        <f t="shared" si="11"/>
        <v>3.5846683852975589</v>
      </c>
    </row>
    <row r="150" spans="1:9" x14ac:dyDescent="0.25">
      <c r="A150" s="49">
        <f>'A) Base RI'!A152</f>
        <v>5644</v>
      </c>
      <c r="B150" s="291" t="str">
        <f>'A) Base RI'!B152</f>
        <v>Reverolle</v>
      </c>
      <c r="C150" s="10">
        <f>'B) D RI'!Y152</f>
        <v>78349.150000000009</v>
      </c>
      <c r="D150" s="422">
        <f>'B) D RI'!Z152</f>
        <v>5384.9</v>
      </c>
      <c r="E150" s="10">
        <f t="shared" si="8"/>
        <v>83734.05</v>
      </c>
      <c r="F150" s="422">
        <f>'B) D RI'!U152</f>
        <v>16806.032344441897</v>
      </c>
      <c r="G150" s="265">
        <f t="shared" si="9"/>
        <v>4.9823806288039538</v>
      </c>
      <c r="H150" s="55">
        <f t="shared" si="10"/>
        <v>40790.045000000006</v>
      </c>
      <c r="I150" s="413">
        <f t="shared" si="11"/>
        <v>2.4271073721627174</v>
      </c>
    </row>
    <row r="151" spans="1:9" x14ac:dyDescent="0.25">
      <c r="A151" s="49">
        <f>'A) Base RI'!A153</f>
        <v>5645</v>
      </c>
      <c r="B151" s="291" t="str">
        <f>'A) Base RI'!B153</f>
        <v>Romanel-sur-Morges</v>
      </c>
      <c r="C151" s="10">
        <f>'B) D RI'!Y153</f>
        <v>137831.75</v>
      </c>
      <c r="D151" s="422">
        <f>'B) D RI'!Z153</f>
        <v>70369.600000000006</v>
      </c>
      <c r="E151" s="10">
        <f t="shared" si="8"/>
        <v>208201.35</v>
      </c>
      <c r="F151" s="422">
        <f>'B) D RI'!U153</f>
        <v>30104.624556076433</v>
      </c>
      <c r="G151" s="265">
        <f t="shared" si="9"/>
        <v>6.9159258110719684</v>
      </c>
      <c r="H151" s="55">
        <f t="shared" si="10"/>
        <v>90026.755000000005</v>
      </c>
      <c r="I151" s="413">
        <f t="shared" si="11"/>
        <v>2.9904626391305937</v>
      </c>
    </row>
    <row r="152" spans="1:9" x14ac:dyDescent="0.25">
      <c r="A152" s="49">
        <f>'A) Base RI'!A154</f>
        <v>5646</v>
      </c>
      <c r="B152" s="291" t="str">
        <f>'A) Base RI'!B154</f>
        <v>Saint-Prex</v>
      </c>
      <c r="C152" s="10">
        <f>'B) D RI'!Y154</f>
        <v>1766550</v>
      </c>
      <c r="D152" s="422">
        <f>'B) D RI'!Z154</f>
        <v>176250.1</v>
      </c>
      <c r="E152" s="10">
        <f t="shared" si="8"/>
        <v>1942800.1</v>
      </c>
      <c r="F152" s="422">
        <f>'B) D RI'!U154</f>
        <v>410896.75287158613</v>
      </c>
      <c r="G152" s="265">
        <f t="shared" si="9"/>
        <v>4.7281953104340202</v>
      </c>
      <c r="H152" s="55">
        <f t="shared" si="10"/>
        <v>936150.03</v>
      </c>
      <c r="I152" s="413">
        <f t="shared" si="11"/>
        <v>2.2783096324262426</v>
      </c>
    </row>
    <row r="153" spans="1:9" x14ac:dyDescent="0.25">
      <c r="A153" s="49">
        <f>'A) Base RI'!A155</f>
        <v>5648</v>
      </c>
      <c r="B153" s="291" t="str">
        <f>'A) Base RI'!B155</f>
        <v>Saint-Sulpice</v>
      </c>
      <c r="C153" s="10">
        <f>'B) D RI'!Y155</f>
        <v>2329876.2999999998</v>
      </c>
      <c r="D153" s="422">
        <f>'B) D RI'!Z155</f>
        <v>78291.899999999994</v>
      </c>
      <c r="E153" s="10">
        <f t="shared" si="8"/>
        <v>2408168.1999999997</v>
      </c>
      <c r="F153" s="422">
        <f>'B) D RI'!U155</f>
        <v>382700.93610668415</v>
      </c>
      <c r="G153" s="265">
        <f t="shared" si="9"/>
        <v>6.2925589482453823</v>
      </c>
      <c r="H153" s="55">
        <f t="shared" si="10"/>
        <v>1188425.72</v>
      </c>
      <c r="I153" s="413">
        <f t="shared" si="11"/>
        <v>3.1053640267780973</v>
      </c>
    </row>
    <row r="154" spans="1:9" x14ac:dyDescent="0.25">
      <c r="A154" s="49">
        <f>'A) Base RI'!A156</f>
        <v>5649</v>
      </c>
      <c r="B154" s="291" t="str">
        <f>'A) Base RI'!B156</f>
        <v>Tolochenaz</v>
      </c>
      <c r="C154" s="10">
        <f>'B) D RI'!Y156</f>
        <v>152973.85</v>
      </c>
      <c r="D154" s="422">
        <f>'B) D RI'!Z156</f>
        <v>359125.2</v>
      </c>
      <c r="E154" s="10">
        <f t="shared" si="8"/>
        <v>512099.05000000005</v>
      </c>
      <c r="F154" s="422">
        <f>'B) D RI'!U156</f>
        <v>102752.22096213103</v>
      </c>
      <c r="G154" s="265">
        <f t="shared" si="9"/>
        <v>4.9838246337150451</v>
      </c>
      <c r="H154" s="55">
        <f t="shared" si="10"/>
        <v>184224.48499999999</v>
      </c>
      <c r="I154" s="413">
        <f t="shared" si="11"/>
        <v>1.7929002728602359</v>
      </c>
    </row>
    <row r="155" spans="1:9" x14ac:dyDescent="0.25">
      <c r="A155" s="49">
        <f>'A) Base RI'!A157</f>
        <v>5650</v>
      </c>
      <c r="B155" s="291" t="str">
        <f>'A) Base RI'!B157</f>
        <v>Vaux-sur-Morges</v>
      </c>
      <c r="C155" s="10">
        <f>'B) D RI'!Y157</f>
        <v>13849</v>
      </c>
      <c r="D155" s="422">
        <f>'B) D RI'!Z157</f>
        <v>0</v>
      </c>
      <c r="E155" s="10">
        <f t="shared" si="8"/>
        <v>13849</v>
      </c>
      <c r="F155" s="422">
        <f>'B) D RI'!U157</f>
        <v>91360.78017857144</v>
      </c>
      <c r="G155" s="265">
        <f t="shared" si="9"/>
        <v>0.15158583336231476</v>
      </c>
      <c r="H155" s="55">
        <f t="shared" si="10"/>
        <v>6924.5</v>
      </c>
      <c r="I155" s="413">
        <f t="shared" si="11"/>
        <v>7.5792916681157382E-2</v>
      </c>
    </row>
    <row r="156" spans="1:9" x14ac:dyDescent="0.25">
      <c r="A156" s="49">
        <f>'A) Base RI'!A158</f>
        <v>5651</v>
      </c>
      <c r="B156" s="291" t="str">
        <f>'A) Base RI'!B158</f>
        <v>Villars-Sainte-Croix</v>
      </c>
      <c r="C156" s="10">
        <f>'B) D RI'!Y158</f>
        <v>186043.65</v>
      </c>
      <c r="D156" s="422">
        <f>'B) D RI'!Z158</f>
        <v>159294.39999999999</v>
      </c>
      <c r="E156" s="10">
        <f t="shared" si="8"/>
        <v>345338.05</v>
      </c>
      <c r="F156" s="422">
        <f>'B) D RI'!U158</f>
        <v>58663.104123472025</v>
      </c>
      <c r="G156" s="265">
        <f t="shared" si="9"/>
        <v>5.8868015111021856</v>
      </c>
      <c r="H156" s="55">
        <f t="shared" si="10"/>
        <v>140810.14499999999</v>
      </c>
      <c r="I156" s="413">
        <f t="shared" si="11"/>
        <v>2.4003186858920351</v>
      </c>
    </row>
    <row r="157" spans="1:9" x14ac:dyDescent="0.25">
      <c r="A157" s="49">
        <f>'A) Base RI'!A159</f>
        <v>5652</v>
      </c>
      <c r="B157" s="291" t="str">
        <f>'A) Base RI'!B159</f>
        <v>Villars-sous-Yens</v>
      </c>
      <c r="C157" s="10">
        <f>'B) D RI'!Y159</f>
        <v>65318.75</v>
      </c>
      <c r="D157" s="422">
        <f>'B) D RI'!Z159</f>
        <v>3541.45</v>
      </c>
      <c r="E157" s="10">
        <f t="shared" si="8"/>
        <v>68860.2</v>
      </c>
      <c r="F157" s="422">
        <f>'B) D RI'!U159</f>
        <v>32914.720873332524</v>
      </c>
      <c r="G157" s="265">
        <f t="shared" si="9"/>
        <v>2.0920791115014579</v>
      </c>
      <c r="H157" s="55">
        <f t="shared" si="10"/>
        <v>33721.81</v>
      </c>
      <c r="I157" s="413">
        <f t="shared" si="11"/>
        <v>1.024520612821644</v>
      </c>
    </row>
    <row r="158" spans="1:9" x14ac:dyDescent="0.25">
      <c r="A158" s="49">
        <f>'A) Base RI'!A160</f>
        <v>5653</v>
      </c>
      <c r="B158" s="291" t="str">
        <f>'A) Base RI'!B160</f>
        <v>Vufflens-le-Château</v>
      </c>
      <c r="C158" s="10">
        <f>'B) D RI'!Y160</f>
        <v>1825982.5</v>
      </c>
      <c r="D158" s="422">
        <f>'B) D RI'!Z160</f>
        <v>1599.2</v>
      </c>
      <c r="E158" s="10">
        <f t="shared" si="8"/>
        <v>1827581.7</v>
      </c>
      <c r="F158" s="422">
        <f>'B) D RI'!U160</f>
        <v>71945.00670599271</v>
      </c>
      <c r="G158" s="265">
        <f t="shared" si="9"/>
        <v>25.402481474058579</v>
      </c>
      <c r="H158" s="55">
        <f t="shared" si="10"/>
        <v>913471.01</v>
      </c>
      <c r="I158" s="413">
        <f t="shared" si="11"/>
        <v>12.696795119263111</v>
      </c>
    </row>
    <row r="159" spans="1:9" x14ac:dyDescent="0.25">
      <c r="A159" s="49">
        <f>'A) Base RI'!A161</f>
        <v>5654</v>
      </c>
      <c r="B159" s="291" t="str">
        <f>'A) Base RI'!B161</f>
        <v>Vullierens</v>
      </c>
      <c r="C159" s="10">
        <f>'B) D RI'!Y161</f>
        <v>49940.7</v>
      </c>
      <c r="D159" s="422">
        <f>'B) D RI'!Z161</f>
        <v>6198.3</v>
      </c>
      <c r="E159" s="10">
        <f t="shared" si="8"/>
        <v>56139</v>
      </c>
      <c r="F159" s="422">
        <f>'B) D RI'!U161</f>
        <v>18024.22731423103</v>
      </c>
      <c r="G159" s="265">
        <f t="shared" si="9"/>
        <v>3.1146411450146019</v>
      </c>
      <c r="H159" s="55">
        <f t="shared" si="10"/>
        <v>26829.84</v>
      </c>
      <c r="I159" s="413">
        <f t="shared" si="11"/>
        <v>1.4885431443053594</v>
      </c>
    </row>
    <row r="160" spans="1:9" x14ac:dyDescent="0.25">
      <c r="A160" s="49">
        <f>'A) Base RI'!A162</f>
        <v>5655</v>
      </c>
      <c r="B160" s="291" t="str">
        <f>'A) Base RI'!B162</f>
        <v>Yens</v>
      </c>
      <c r="C160" s="10">
        <f>'B) D RI'!Y162</f>
        <v>491924.44999999995</v>
      </c>
      <c r="D160" s="422">
        <f>'B) D RI'!Z162</f>
        <v>61074.9</v>
      </c>
      <c r="E160" s="10">
        <f t="shared" si="8"/>
        <v>552999.35</v>
      </c>
      <c r="F160" s="422">
        <f>'B) D RI'!U162</f>
        <v>77001.825217451595</v>
      </c>
      <c r="G160" s="265">
        <f t="shared" si="9"/>
        <v>7.1816395057953626</v>
      </c>
      <c r="H160" s="55">
        <f t="shared" si="10"/>
        <v>264284.69499999995</v>
      </c>
      <c r="I160" s="413">
        <f t="shared" si="11"/>
        <v>3.4321874092421227</v>
      </c>
    </row>
    <row r="161" spans="1:9" x14ac:dyDescent="0.25">
      <c r="A161" s="49">
        <f>'A) Base RI'!A163</f>
        <v>5661</v>
      </c>
      <c r="B161" s="291" t="str">
        <f>'A) Base RI'!B163</f>
        <v>Boulens</v>
      </c>
      <c r="C161" s="10">
        <f>'B) D RI'!Y163</f>
        <v>2482.6999999999998</v>
      </c>
      <c r="D161" s="422">
        <f>'B) D RI'!Z163</f>
        <v>16467.349999999999</v>
      </c>
      <c r="E161" s="10">
        <f t="shared" si="8"/>
        <v>18950.05</v>
      </c>
      <c r="F161" s="422">
        <f>'B) D RI'!U163</f>
        <v>10064.101124681909</v>
      </c>
      <c r="G161" s="265">
        <f t="shared" si="9"/>
        <v>1.8829351737658482</v>
      </c>
      <c r="H161" s="55">
        <f t="shared" si="10"/>
        <v>6181.5549999999985</v>
      </c>
      <c r="I161" s="413">
        <f t="shared" si="11"/>
        <v>0.61421829167037267</v>
      </c>
    </row>
    <row r="162" spans="1:9" x14ac:dyDescent="0.25">
      <c r="A162" s="49">
        <f>'A) Base RI'!A164</f>
        <v>5663</v>
      </c>
      <c r="B162" s="291" t="str">
        <f>'A) Base RI'!B164</f>
        <v>Bussy-sur-Moudon</v>
      </c>
      <c r="C162" s="10">
        <f>'B) D RI'!Y164</f>
        <v>45394.15</v>
      </c>
      <c r="D162" s="422">
        <f>'B) D RI'!Z164</f>
        <v>0</v>
      </c>
      <c r="E162" s="10">
        <f t="shared" si="8"/>
        <v>45394.15</v>
      </c>
      <c r="F162" s="422">
        <f>'B) D RI'!U164</f>
        <v>6370.1104534474161</v>
      </c>
      <c r="G162" s="265">
        <f t="shared" si="9"/>
        <v>7.1261166241526173</v>
      </c>
      <c r="H162" s="55">
        <f t="shared" si="10"/>
        <v>22697.075000000001</v>
      </c>
      <c r="I162" s="413">
        <f t="shared" si="11"/>
        <v>3.5630583120763086</v>
      </c>
    </row>
    <row r="163" spans="1:9" x14ac:dyDescent="0.25">
      <c r="A163" s="49">
        <f>'A) Base RI'!A165</f>
        <v>5665</v>
      </c>
      <c r="B163" s="291" t="str">
        <f>'A) Base RI'!B165</f>
        <v>Chavannes-sur-Moudon</v>
      </c>
      <c r="C163" s="10">
        <f>'B) D RI'!Y165</f>
        <v>29501.35</v>
      </c>
      <c r="D163" s="422">
        <f>'B) D RI'!Z165</f>
        <v>0</v>
      </c>
      <c r="E163" s="10">
        <f t="shared" si="8"/>
        <v>29501.35</v>
      </c>
      <c r="F163" s="422">
        <f>'B) D RI'!U165</f>
        <v>4725.8157534246584</v>
      </c>
      <c r="G163" s="265">
        <f t="shared" si="9"/>
        <v>6.2425941973343431</v>
      </c>
      <c r="H163" s="55">
        <f t="shared" si="10"/>
        <v>14750.674999999999</v>
      </c>
      <c r="I163" s="413">
        <f t="shared" si="11"/>
        <v>3.1212970986671715</v>
      </c>
    </row>
    <row r="164" spans="1:9" x14ac:dyDescent="0.25">
      <c r="A164" s="49">
        <f>'A) Base RI'!A166</f>
        <v>5669</v>
      </c>
      <c r="B164" s="291" t="str">
        <f>'A) Base RI'!B166</f>
        <v>Curtilles</v>
      </c>
      <c r="C164" s="10">
        <f>'B) D RI'!Y166</f>
        <v>15233.1</v>
      </c>
      <c r="D164" s="422">
        <f>'B) D RI'!Z166</f>
        <v>0</v>
      </c>
      <c r="E164" s="10">
        <f t="shared" si="8"/>
        <v>15233.1</v>
      </c>
      <c r="F164" s="422">
        <f>'B) D RI'!U166</f>
        <v>9981.2313977454014</v>
      </c>
      <c r="G164" s="265">
        <f t="shared" si="9"/>
        <v>1.5261744160586148</v>
      </c>
      <c r="H164" s="55">
        <f t="shared" si="10"/>
        <v>7616.55</v>
      </c>
      <c r="I164" s="413">
        <f t="shared" si="11"/>
        <v>0.76308720802930741</v>
      </c>
    </row>
    <row r="165" spans="1:9" x14ac:dyDescent="0.25">
      <c r="A165" s="49">
        <f>'A) Base RI'!A167</f>
        <v>5671</v>
      </c>
      <c r="B165" s="291" t="str">
        <f>'A) Base RI'!B167</f>
        <v>Dompierre</v>
      </c>
      <c r="C165" s="10">
        <f>'B) D RI'!Y167</f>
        <v>48014.05</v>
      </c>
      <c r="D165" s="422">
        <f>'B) D RI'!Z167</f>
        <v>0</v>
      </c>
      <c r="E165" s="10">
        <f t="shared" si="8"/>
        <v>48014.05</v>
      </c>
      <c r="F165" s="422">
        <f>'B) D RI'!U167</f>
        <v>6546.2666570185083</v>
      </c>
      <c r="G165" s="265">
        <f t="shared" si="9"/>
        <v>7.3345698419605716</v>
      </c>
      <c r="H165" s="55">
        <f t="shared" si="10"/>
        <v>24007.025000000001</v>
      </c>
      <c r="I165" s="413">
        <f t="shared" si="11"/>
        <v>3.6672849209802858</v>
      </c>
    </row>
    <row r="166" spans="1:9" x14ac:dyDescent="0.25">
      <c r="A166" s="49">
        <f>'A) Base RI'!A168</f>
        <v>5673</v>
      </c>
      <c r="B166" s="291" t="str">
        <f>'A) Base RI'!B168</f>
        <v>Hermenches</v>
      </c>
      <c r="C166" s="10">
        <f>'B) D RI'!Y168</f>
        <v>36228.449999999997</v>
      </c>
      <c r="D166" s="422">
        <f>'B) D RI'!Z168</f>
        <v>17325.349999999999</v>
      </c>
      <c r="E166" s="10">
        <f t="shared" si="8"/>
        <v>53553.799999999996</v>
      </c>
      <c r="F166" s="422">
        <f>'B) D RI'!U168</f>
        <v>9911.4858119507371</v>
      </c>
      <c r="G166" s="265">
        <f t="shared" si="9"/>
        <v>5.4032060395453225</v>
      </c>
      <c r="H166" s="55">
        <f t="shared" si="10"/>
        <v>23311.829999999998</v>
      </c>
      <c r="I166" s="413">
        <f t="shared" si="11"/>
        <v>2.3520015507555736</v>
      </c>
    </row>
    <row r="167" spans="1:9" x14ac:dyDescent="0.25">
      <c r="A167" s="49">
        <f>'A) Base RI'!A169</f>
        <v>5674</v>
      </c>
      <c r="B167" s="291" t="str">
        <f>'A) Base RI'!B169</f>
        <v>Lovatens</v>
      </c>
      <c r="C167" s="10">
        <f>'B) D RI'!Y169</f>
        <v>189.35</v>
      </c>
      <c r="D167" s="422">
        <f>'B) D RI'!Z169</f>
        <v>0</v>
      </c>
      <c r="E167" s="10">
        <f t="shared" si="8"/>
        <v>189.35</v>
      </c>
      <c r="F167" s="422">
        <f>'B) D RI'!U169</f>
        <v>3212.7201333333333</v>
      </c>
      <c r="G167" s="265">
        <f t="shared" si="9"/>
        <v>5.8937595601749895E-2</v>
      </c>
      <c r="H167" s="55">
        <f t="shared" si="10"/>
        <v>94.674999999999997</v>
      </c>
      <c r="I167" s="413">
        <f t="shared" si="11"/>
        <v>2.9468797800874948E-2</v>
      </c>
    </row>
    <row r="168" spans="1:9" x14ac:dyDescent="0.25">
      <c r="A168" s="49">
        <f>'A) Base RI'!A170</f>
        <v>5675</v>
      </c>
      <c r="B168" s="291" t="str">
        <f>'A) Base RI'!B170</f>
        <v>Lucens</v>
      </c>
      <c r="C168" s="10">
        <f>'B) D RI'!Y170</f>
        <v>900659.05</v>
      </c>
      <c r="D168" s="422">
        <f>'B) D RI'!Z170</f>
        <v>30334.9</v>
      </c>
      <c r="E168" s="10">
        <f t="shared" si="8"/>
        <v>930993.95000000007</v>
      </c>
      <c r="F168" s="422">
        <f>'B) D RI'!U170</f>
        <v>97171.957057014763</v>
      </c>
      <c r="G168" s="265">
        <f t="shared" si="9"/>
        <v>9.5808912179647443</v>
      </c>
      <c r="H168" s="55">
        <f t="shared" si="10"/>
        <v>459429.995</v>
      </c>
      <c r="I168" s="413">
        <f t="shared" si="11"/>
        <v>4.728010106150621</v>
      </c>
    </row>
    <row r="169" spans="1:9" x14ac:dyDescent="0.25">
      <c r="A169" s="49">
        <f>'A) Base RI'!A171</f>
        <v>5678</v>
      </c>
      <c r="B169" s="291" t="str">
        <f>'A) Base RI'!B171</f>
        <v>Moudon</v>
      </c>
      <c r="C169" s="10">
        <f>'B) D RI'!Y171</f>
        <v>1380751.95</v>
      </c>
      <c r="D169" s="422">
        <f>'B) D RI'!Z171</f>
        <v>212403.65</v>
      </c>
      <c r="E169" s="10">
        <f t="shared" si="8"/>
        <v>1593155.5999999999</v>
      </c>
      <c r="F169" s="422">
        <f>'B) D RI'!U171</f>
        <v>124990.90700543707</v>
      </c>
      <c r="G169" s="265">
        <f t="shared" si="9"/>
        <v>12.746172006982061</v>
      </c>
      <c r="H169" s="55">
        <f t="shared" si="10"/>
        <v>754097.07</v>
      </c>
      <c r="I169" s="413">
        <f t="shared" si="11"/>
        <v>6.0332154399615403</v>
      </c>
    </row>
    <row r="170" spans="1:9" x14ac:dyDescent="0.25">
      <c r="A170" s="49">
        <f>'A) Base RI'!A172</f>
        <v>5680</v>
      </c>
      <c r="B170" s="291" t="str">
        <f>'A) Base RI'!B172</f>
        <v>Ogens</v>
      </c>
      <c r="C170" s="10">
        <f>'B) D RI'!Y172</f>
        <v>73350.05</v>
      </c>
      <c r="D170" s="422">
        <f>'B) D RI'!Z172</f>
        <v>0</v>
      </c>
      <c r="E170" s="10">
        <f t="shared" si="8"/>
        <v>73350.05</v>
      </c>
      <c r="F170" s="422">
        <f>'B) D RI'!U172</f>
        <v>6319.984442335237</v>
      </c>
      <c r="G170" s="265">
        <f t="shared" si="9"/>
        <v>11.60604913971863</v>
      </c>
      <c r="H170" s="55">
        <f t="shared" si="10"/>
        <v>36675.025000000001</v>
      </c>
      <c r="I170" s="413">
        <f t="shared" si="11"/>
        <v>5.803024569859315</v>
      </c>
    </row>
    <row r="171" spans="1:9" x14ac:dyDescent="0.25">
      <c r="A171" s="49">
        <f>'A) Base RI'!A173</f>
        <v>5683</v>
      </c>
      <c r="B171" s="291" t="str">
        <f>'A) Base RI'!B173</f>
        <v>Prévonloup</v>
      </c>
      <c r="C171" s="10">
        <f>'B) D RI'!Y173</f>
        <v>8253.2999999999993</v>
      </c>
      <c r="D171" s="422">
        <f>'B) D RI'!Z173</f>
        <v>0</v>
      </c>
      <c r="E171" s="10">
        <f t="shared" si="8"/>
        <v>8253.2999999999993</v>
      </c>
      <c r="F171" s="422">
        <f>'B) D RI'!U173</f>
        <v>4554.1237837837825</v>
      </c>
      <c r="G171" s="265">
        <f t="shared" si="9"/>
        <v>1.8122695806794178</v>
      </c>
      <c r="H171" s="55">
        <f t="shared" si="10"/>
        <v>4126.6499999999996</v>
      </c>
      <c r="I171" s="413">
        <f t="shared" si="11"/>
        <v>0.9061347903397089</v>
      </c>
    </row>
    <row r="172" spans="1:9" x14ac:dyDescent="0.25">
      <c r="A172" s="49">
        <f>'A) Base RI'!A174</f>
        <v>5684</v>
      </c>
      <c r="B172" s="291" t="str">
        <f>'A) Base RI'!B174</f>
        <v>Rossenges</v>
      </c>
      <c r="C172" s="10">
        <f>'B) D RI'!Y174</f>
        <v>0</v>
      </c>
      <c r="D172" s="422">
        <f>'B) D RI'!Z174</f>
        <v>0</v>
      </c>
      <c r="E172" s="10">
        <f t="shared" si="8"/>
        <v>0</v>
      </c>
      <c r="F172" s="422">
        <f>'B) D RI'!U174</f>
        <v>3099.5946967890927</v>
      </c>
      <c r="G172" s="265">
        <f t="shared" si="9"/>
        <v>0</v>
      </c>
      <c r="H172" s="55">
        <f t="shared" si="10"/>
        <v>0</v>
      </c>
      <c r="I172" s="413">
        <f t="shared" si="11"/>
        <v>0</v>
      </c>
    </row>
    <row r="173" spans="1:9" x14ac:dyDescent="0.25">
      <c r="A173" s="49">
        <f>'A) Base RI'!A175</f>
        <v>5688</v>
      </c>
      <c r="B173" s="291" t="str">
        <f>'A) Base RI'!B175</f>
        <v>Syens</v>
      </c>
      <c r="C173" s="10">
        <f>'B) D RI'!Y175</f>
        <v>4.1500000000000004</v>
      </c>
      <c r="D173" s="422">
        <f>'B) D RI'!Z175</f>
        <v>398.4</v>
      </c>
      <c r="E173" s="10">
        <f t="shared" si="8"/>
        <v>402.54999999999995</v>
      </c>
      <c r="F173" s="422">
        <f>'B) D RI'!U175</f>
        <v>2722.3146828511958</v>
      </c>
      <c r="G173" s="265">
        <f t="shared" si="9"/>
        <v>0.14787048776388784</v>
      </c>
      <c r="H173" s="55">
        <f t="shared" si="10"/>
        <v>121.59499999999998</v>
      </c>
      <c r="I173" s="413">
        <f t="shared" si="11"/>
        <v>4.4666033932803231E-2</v>
      </c>
    </row>
    <row r="174" spans="1:9" x14ac:dyDescent="0.25">
      <c r="A174" s="49">
        <f>'A) Base RI'!A176</f>
        <v>5690</v>
      </c>
      <c r="B174" s="291" t="str">
        <f>'A) Base RI'!B176</f>
        <v>Villars-le-Comte</v>
      </c>
      <c r="C174" s="10">
        <f>'B) D RI'!Y176</f>
        <v>23594.399999999987</v>
      </c>
      <c r="D174" s="422">
        <f>'B) D RI'!Z176</f>
        <v>0</v>
      </c>
      <c r="E174" s="10">
        <f t="shared" si="8"/>
        <v>23594.399999999987</v>
      </c>
      <c r="F174" s="422">
        <f>'B) D RI'!U176</f>
        <v>3015.9771931576993</v>
      </c>
      <c r="G174" s="265">
        <f t="shared" si="9"/>
        <v>7.8231360812436632</v>
      </c>
      <c r="H174" s="55">
        <f t="shared" si="10"/>
        <v>11797.199999999993</v>
      </c>
      <c r="I174" s="413">
        <f t="shared" si="11"/>
        <v>3.9115680406218316</v>
      </c>
    </row>
    <row r="175" spans="1:9" x14ac:dyDescent="0.25">
      <c r="A175" s="49">
        <f>'A) Base RI'!A177</f>
        <v>5692</v>
      </c>
      <c r="B175" s="291" t="str">
        <f>'A) Base RI'!B177</f>
        <v>Vucherens</v>
      </c>
      <c r="C175" s="10">
        <f>'B) D RI'!Y177</f>
        <v>95859.45</v>
      </c>
      <c r="D175" s="422">
        <f>'B) D RI'!Z177</f>
        <v>8874.2999999999993</v>
      </c>
      <c r="E175" s="10">
        <f t="shared" si="8"/>
        <v>104733.75</v>
      </c>
      <c r="F175" s="422">
        <f>'B) D RI'!U177</f>
        <v>15976.51835443038</v>
      </c>
      <c r="G175" s="265">
        <f t="shared" si="9"/>
        <v>6.5554802164363135</v>
      </c>
      <c r="H175" s="55">
        <f t="shared" si="10"/>
        <v>50592.014999999999</v>
      </c>
      <c r="I175" s="413">
        <f t="shared" si="11"/>
        <v>3.1666483195927695</v>
      </c>
    </row>
    <row r="176" spans="1:9" x14ac:dyDescent="0.25">
      <c r="A176" s="49">
        <f>'A) Base RI'!A178</f>
        <v>5693</v>
      </c>
      <c r="B176" s="291" t="str">
        <f>'A) Base RI'!B178</f>
        <v>Montanaire</v>
      </c>
      <c r="C176" s="10">
        <f>'B) D RI'!Y178</f>
        <v>323742.19999999995</v>
      </c>
      <c r="D176" s="422">
        <f>'B) D RI'!Z178</f>
        <v>22355.5</v>
      </c>
      <c r="E176" s="10">
        <f t="shared" si="8"/>
        <v>346097.69999999995</v>
      </c>
      <c r="F176" s="422">
        <f>'B) D RI'!U178</f>
        <v>70480.928098220116</v>
      </c>
      <c r="G176" s="265">
        <f t="shared" si="9"/>
        <v>4.9105156435750752</v>
      </c>
      <c r="H176" s="55">
        <f t="shared" si="10"/>
        <v>168577.74999999997</v>
      </c>
      <c r="I176" s="413">
        <f t="shared" si="11"/>
        <v>2.3918208024314755</v>
      </c>
    </row>
    <row r="177" spans="1:9" x14ac:dyDescent="0.25">
      <c r="A177" s="49">
        <f>'A) Base RI'!A179</f>
        <v>5701</v>
      </c>
      <c r="B177" s="291" t="str">
        <f>'A) Base RI'!B179</f>
        <v>Arnex-sur-Nyon</v>
      </c>
      <c r="C177" s="10">
        <f>'B) D RI'!Y179</f>
        <v>42113.8</v>
      </c>
      <c r="D177" s="422">
        <f>'B) D RI'!Z179</f>
        <v>0</v>
      </c>
      <c r="E177" s="10">
        <f t="shared" si="8"/>
        <v>42113.8</v>
      </c>
      <c r="F177" s="422">
        <f>'B) D RI'!U179</f>
        <v>12114.196611371119</v>
      </c>
      <c r="G177" s="265">
        <f t="shared" si="9"/>
        <v>3.4764005695986011</v>
      </c>
      <c r="H177" s="55">
        <f t="shared" si="10"/>
        <v>21056.9</v>
      </c>
      <c r="I177" s="413">
        <f t="shared" si="11"/>
        <v>1.7382002847993006</v>
      </c>
    </row>
    <row r="178" spans="1:9" x14ac:dyDescent="0.25">
      <c r="A178" s="49">
        <f>'A) Base RI'!A180</f>
        <v>5702</v>
      </c>
      <c r="B178" s="291" t="str">
        <f>'A) Base RI'!B180</f>
        <v>Arzier-Le Muids</v>
      </c>
      <c r="C178" s="10">
        <f>'B) D RI'!Y180</f>
        <v>1310532.1499999999</v>
      </c>
      <c r="D178" s="422">
        <f>'B) D RI'!Z180</f>
        <v>56289.4</v>
      </c>
      <c r="E178" s="10">
        <f t="shared" si="8"/>
        <v>1366821.5499999998</v>
      </c>
      <c r="F178" s="422">
        <f>'B) D RI'!U180</f>
        <v>174460.56839607147</v>
      </c>
      <c r="G178" s="265">
        <f t="shared" si="9"/>
        <v>7.8345586201287309</v>
      </c>
      <c r="H178" s="55">
        <f t="shared" si="10"/>
        <v>672152.8949999999</v>
      </c>
      <c r="I178" s="413">
        <f t="shared" si="11"/>
        <v>3.8527496567249266</v>
      </c>
    </row>
    <row r="179" spans="1:9" x14ac:dyDescent="0.25">
      <c r="A179" s="49">
        <f>'A) Base RI'!A181</f>
        <v>5703</v>
      </c>
      <c r="B179" s="291" t="str">
        <f>'A) Base RI'!B181</f>
        <v>Bassins</v>
      </c>
      <c r="C179" s="10">
        <f>'B) D RI'!Y181</f>
        <v>336569.85</v>
      </c>
      <c r="D179" s="422">
        <f>'B) D RI'!Z181</f>
        <v>23240.400000000001</v>
      </c>
      <c r="E179" s="10">
        <f t="shared" si="8"/>
        <v>359810.25</v>
      </c>
      <c r="F179" s="422">
        <f>'B) D RI'!U181</f>
        <v>58935.560453684549</v>
      </c>
      <c r="G179" s="265">
        <f t="shared" si="9"/>
        <v>6.1051468286750685</v>
      </c>
      <c r="H179" s="55">
        <f t="shared" si="10"/>
        <v>175257.04499999998</v>
      </c>
      <c r="I179" s="413">
        <f t="shared" si="11"/>
        <v>2.9737062590204522</v>
      </c>
    </row>
    <row r="180" spans="1:9" x14ac:dyDescent="0.25">
      <c r="A180" s="49">
        <f>'A) Base RI'!A182</f>
        <v>5704</v>
      </c>
      <c r="B180" s="291" t="str">
        <f>'A) Base RI'!B182</f>
        <v>Begnins</v>
      </c>
      <c r="C180" s="10">
        <f>'B) D RI'!Y182</f>
        <v>601065.85000000009</v>
      </c>
      <c r="D180" s="422">
        <f>'B) D RI'!Z182</f>
        <v>49246.95</v>
      </c>
      <c r="E180" s="10">
        <f t="shared" si="8"/>
        <v>650312.80000000005</v>
      </c>
      <c r="F180" s="422">
        <f>'B) D RI'!U182</f>
        <v>129508.82887740067</v>
      </c>
      <c r="G180" s="265">
        <f t="shared" si="9"/>
        <v>5.0213781225341609</v>
      </c>
      <c r="H180" s="55">
        <f t="shared" si="10"/>
        <v>315307.01000000007</v>
      </c>
      <c r="I180" s="413">
        <f t="shared" si="11"/>
        <v>2.4346371805931852</v>
      </c>
    </row>
    <row r="181" spans="1:9" x14ac:dyDescent="0.25">
      <c r="A181" s="49">
        <f>'A) Base RI'!A183</f>
        <v>5705</v>
      </c>
      <c r="B181" s="291" t="str">
        <f>'A) Base RI'!B183</f>
        <v>Bogis-Bossey</v>
      </c>
      <c r="C181" s="10">
        <f>'B) D RI'!Y183</f>
        <v>308447.45</v>
      </c>
      <c r="D181" s="422">
        <f>'B) D RI'!Z183</f>
        <v>26663.15</v>
      </c>
      <c r="E181" s="10">
        <f t="shared" si="8"/>
        <v>335110.60000000003</v>
      </c>
      <c r="F181" s="422">
        <f>'B) D RI'!U183</f>
        <v>47399.998914219243</v>
      </c>
      <c r="G181" s="265">
        <f t="shared" si="9"/>
        <v>7.069844043803811</v>
      </c>
      <c r="H181" s="55">
        <f t="shared" si="10"/>
        <v>162222.67000000001</v>
      </c>
      <c r="I181" s="413">
        <f t="shared" si="11"/>
        <v>3.4224192767087978</v>
      </c>
    </row>
    <row r="182" spans="1:9" x14ac:dyDescent="0.25">
      <c r="A182" s="49">
        <f>'A) Base RI'!A184</f>
        <v>5706</v>
      </c>
      <c r="B182" s="291" t="str">
        <f>'A) Base RI'!B184</f>
        <v>Borex</v>
      </c>
      <c r="C182" s="10">
        <f>'B) D RI'!Y184</f>
        <v>235544.1</v>
      </c>
      <c r="D182" s="422">
        <f>'B) D RI'!Z184</f>
        <v>9244.4</v>
      </c>
      <c r="E182" s="10">
        <f t="shared" si="8"/>
        <v>244788.5</v>
      </c>
      <c r="F182" s="422">
        <f>'B) D RI'!U184</f>
        <v>76732.339331916941</v>
      </c>
      <c r="G182" s="265">
        <f t="shared" si="9"/>
        <v>3.1901607865900137</v>
      </c>
      <c r="H182" s="55">
        <f t="shared" si="10"/>
        <v>120545.37</v>
      </c>
      <c r="I182" s="413">
        <f t="shared" si="11"/>
        <v>1.570985207144062</v>
      </c>
    </row>
    <row r="183" spans="1:9" x14ac:dyDescent="0.25">
      <c r="A183" s="49">
        <f>'A) Base RI'!A185</f>
        <v>5707</v>
      </c>
      <c r="B183" s="291" t="str">
        <f>'A) Base RI'!B185</f>
        <v>Chavannes-de-Bogis</v>
      </c>
      <c r="C183" s="10">
        <f>'B) D RI'!Y185</f>
        <v>351125.8</v>
      </c>
      <c r="D183" s="422">
        <f>'B) D RI'!Z185</f>
        <v>690372.3</v>
      </c>
      <c r="E183" s="10">
        <f t="shared" si="8"/>
        <v>1041498.1000000001</v>
      </c>
      <c r="F183" s="422">
        <f>'B) D RI'!U185</f>
        <v>80433.672291066076</v>
      </c>
      <c r="G183" s="265">
        <f t="shared" si="9"/>
        <v>12.948533497651596</v>
      </c>
      <c r="H183" s="55">
        <f t="shared" si="10"/>
        <v>382674.58999999997</v>
      </c>
      <c r="I183" s="413">
        <f t="shared" si="11"/>
        <v>4.7576416580261549</v>
      </c>
    </row>
    <row r="184" spans="1:9" x14ac:dyDescent="0.25">
      <c r="A184" s="49">
        <f>'A) Base RI'!A186</f>
        <v>5708</v>
      </c>
      <c r="B184" s="291" t="str">
        <f>'A) Base RI'!B186</f>
        <v>Chavannes-des-Bois</v>
      </c>
      <c r="C184" s="10">
        <f>'B) D RI'!Y186</f>
        <v>476916.94999999995</v>
      </c>
      <c r="D184" s="422">
        <f>'B) D RI'!Z186</f>
        <v>2082.3000000000002</v>
      </c>
      <c r="E184" s="10">
        <f t="shared" si="8"/>
        <v>478999.24999999994</v>
      </c>
      <c r="F184" s="422">
        <f>'B) D RI'!U186</f>
        <v>64673.600200081586</v>
      </c>
      <c r="G184" s="265">
        <f t="shared" si="9"/>
        <v>7.406410784587738</v>
      </c>
      <c r="H184" s="55">
        <f t="shared" si="10"/>
        <v>239083.16499999998</v>
      </c>
      <c r="I184" s="413">
        <f t="shared" si="11"/>
        <v>3.6967659796322638</v>
      </c>
    </row>
    <row r="185" spans="1:9" x14ac:dyDescent="0.25">
      <c r="A185" s="49">
        <f>'A) Base RI'!A187</f>
        <v>5709</v>
      </c>
      <c r="B185" s="291" t="str">
        <f>'A) Base RI'!B187</f>
        <v>Chéserex</v>
      </c>
      <c r="C185" s="10">
        <f>'B) D RI'!Y187</f>
        <v>606577.80000000005</v>
      </c>
      <c r="D185" s="422">
        <f>'B) D RI'!Z187</f>
        <v>40088.300000000003</v>
      </c>
      <c r="E185" s="10">
        <f t="shared" si="8"/>
        <v>646666.10000000009</v>
      </c>
      <c r="F185" s="422">
        <f>'B) D RI'!U187</f>
        <v>96665.564675304791</v>
      </c>
      <c r="G185" s="265">
        <f t="shared" si="9"/>
        <v>6.6897255726185634</v>
      </c>
      <c r="H185" s="55">
        <f t="shared" si="10"/>
        <v>315315.39</v>
      </c>
      <c r="I185" s="413">
        <f t="shared" si="11"/>
        <v>3.2619205304301482</v>
      </c>
    </row>
    <row r="186" spans="1:9" x14ac:dyDescent="0.25">
      <c r="A186" s="49">
        <f>'A) Base RI'!A188</f>
        <v>5710</v>
      </c>
      <c r="B186" s="291" t="str">
        <f>'A) Base RI'!B188</f>
        <v>Coinsins</v>
      </c>
      <c r="C186" s="10">
        <f>'B) D RI'!Y188</f>
        <v>116236.4</v>
      </c>
      <c r="D186" s="422">
        <f>'B) D RI'!Z188</f>
        <v>58083.9</v>
      </c>
      <c r="E186" s="10">
        <f t="shared" si="8"/>
        <v>174320.3</v>
      </c>
      <c r="F186" s="422">
        <f>'B) D RI'!U188</f>
        <v>116722.0098047505</v>
      </c>
      <c r="G186" s="265">
        <f t="shared" si="9"/>
        <v>1.4934655451152563</v>
      </c>
      <c r="H186" s="55">
        <f t="shared" si="10"/>
        <v>75543.37</v>
      </c>
      <c r="I186" s="413">
        <f t="shared" si="11"/>
        <v>0.64720758429680014</v>
      </c>
    </row>
    <row r="187" spans="1:9" x14ac:dyDescent="0.25">
      <c r="A187" s="49">
        <f>'A) Base RI'!A189</f>
        <v>5711</v>
      </c>
      <c r="B187" s="291" t="str">
        <f>'A) Base RI'!B189</f>
        <v>Commugny</v>
      </c>
      <c r="C187" s="10">
        <f>'B) D RI'!Y189</f>
        <v>1374279.35</v>
      </c>
      <c r="D187" s="422">
        <f>'B) D RI'!Z189</f>
        <v>21638.05</v>
      </c>
      <c r="E187" s="10">
        <f t="shared" si="8"/>
        <v>1395917.4000000001</v>
      </c>
      <c r="F187" s="422">
        <f>'B) D RI'!U189</f>
        <v>257446.98641964147</v>
      </c>
      <c r="G187" s="265">
        <f t="shared" si="9"/>
        <v>5.4221547488795974</v>
      </c>
      <c r="H187" s="55">
        <f t="shared" si="10"/>
        <v>693631.09000000008</v>
      </c>
      <c r="I187" s="413">
        <f t="shared" si="11"/>
        <v>2.6942676612627876</v>
      </c>
    </row>
    <row r="188" spans="1:9" x14ac:dyDescent="0.25">
      <c r="A188" s="49">
        <f>'A) Base RI'!A190</f>
        <v>5712</v>
      </c>
      <c r="B188" s="291" t="str">
        <f>'A) Base RI'!B190</f>
        <v>Coppet</v>
      </c>
      <c r="C188" s="10">
        <f>'B) D RI'!Y190</f>
        <v>2203531.9500000002</v>
      </c>
      <c r="D188" s="422">
        <f>'B) D RI'!Z190</f>
        <v>154539.25</v>
      </c>
      <c r="E188" s="10">
        <f t="shared" si="8"/>
        <v>2358071.2000000002</v>
      </c>
      <c r="F188" s="422">
        <f>'B) D RI'!U190</f>
        <v>389580.29972433241</v>
      </c>
      <c r="G188" s="265">
        <f t="shared" si="9"/>
        <v>6.0528502125712587</v>
      </c>
      <c r="H188" s="55">
        <f t="shared" si="10"/>
        <v>1148127.75</v>
      </c>
      <c r="I188" s="413">
        <f t="shared" si="11"/>
        <v>2.9470888307556025</v>
      </c>
    </row>
    <row r="189" spans="1:9" x14ac:dyDescent="0.25">
      <c r="A189" s="49">
        <f>'A) Base RI'!A191</f>
        <v>5713</v>
      </c>
      <c r="B189" s="291" t="str">
        <f>'A) Base RI'!B191</f>
        <v>Crans-près-Céligny</v>
      </c>
      <c r="C189" s="10">
        <f>'B) D RI'!Y191</f>
        <v>1061544.6499999999</v>
      </c>
      <c r="D189" s="422">
        <f>'B) D RI'!Z191</f>
        <v>21843.1</v>
      </c>
      <c r="E189" s="10">
        <f t="shared" si="8"/>
        <v>1083387.75</v>
      </c>
      <c r="F189" s="422">
        <f>'B) D RI'!U191</f>
        <v>285688.37252656295</v>
      </c>
      <c r="G189" s="265">
        <f t="shared" si="9"/>
        <v>3.7922010630631036</v>
      </c>
      <c r="H189" s="55">
        <f t="shared" si="10"/>
        <v>537325.255</v>
      </c>
      <c r="I189" s="413">
        <f t="shared" si="11"/>
        <v>1.8808089746461074</v>
      </c>
    </row>
    <row r="190" spans="1:9" x14ac:dyDescent="0.25">
      <c r="A190" s="49">
        <f>'A) Base RI'!A192</f>
        <v>5714</v>
      </c>
      <c r="B190" s="291" t="str">
        <f>'A) Base RI'!B192</f>
        <v>Crassier</v>
      </c>
      <c r="C190" s="10">
        <f>'B) D RI'!Y192</f>
        <v>306357.80000000005</v>
      </c>
      <c r="D190" s="422">
        <f>'B) D RI'!Z192</f>
        <v>78593.5</v>
      </c>
      <c r="E190" s="10">
        <f t="shared" si="8"/>
        <v>384951.30000000005</v>
      </c>
      <c r="F190" s="422">
        <f>'B) D RI'!U192</f>
        <v>69464.601004636497</v>
      </c>
      <c r="G190" s="265">
        <f t="shared" si="9"/>
        <v>5.5416902196603131</v>
      </c>
      <c r="H190" s="55">
        <f t="shared" si="10"/>
        <v>176756.95</v>
      </c>
      <c r="I190" s="413">
        <f t="shared" si="11"/>
        <v>2.5445615096558627</v>
      </c>
    </row>
    <row r="191" spans="1:9" x14ac:dyDescent="0.25">
      <c r="A191" s="49">
        <f>'A) Base RI'!A193</f>
        <v>5715</v>
      </c>
      <c r="B191" s="291" t="str">
        <f>'A) Base RI'!B193</f>
        <v>Duillier</v>
      </c>
      <c r="C191" s="10">
        <f>'B) D RI'!Y193</f>
        <v>298520</v>
      </c>
      <c r="D191" s="422">
        <f>'B) D RI'!Z193</f>
        <v>59422.95</v>
      </c>
      <c r="E191" s="10">
        <f t="shared" si="8"/>
        <v>357942.95</v>
      </c>
      <c r="F191" s="422">
        <f>'B) D RI'!U193</f>
        <v>70057.743908647069</v>
      </c>
      <c r="G191" s="265">
        <f t="shared" si="9"/>
        <v>5.1092560226710342</v>
      </c>
      <c r="H191" s="55">
        <f t="shared" si="10"/>
        <v>167086.88500000001</v>
      </c>
      <c r="I191" s="413">
        <f t="shared" si="11"/>
        <v>2.38498809236386</v>
      </c>
    </row>
    <row r="192" spans="1:9" x14ac:dyDescent="0.25">
      <c r="A192" s="49">
        <f>'A) Base RI'!A194</f>
        <v>5716</v>
      </c>
      <c r="B192" s="291" t="str">
        <f>'A) Base RI'!B194</f>
        <v>Eysins</v>
      </c>
      <c r="C192" s="10">
        <f>'B) D RI'!Y194</f>
        <v>522671.94999999995</v>
      </c>
      <c r="D192" s="422">
        <f>'B) D RI'!Z194</f>
        <v>485768.2</v>
      </c>
      <c r="E192" s="10">
        <f t="shared" si="8"/>
        <v>1008440.1499999999</v>
      </c>
      <c r="F192" s="422">
        <f>'B) D RI'!U194</f>
        <v>215421.00462875623</v>
      </c>
      <c r="G192" s="265">
        <f t="shared" si="9"/>
        <v>4.6812526556446334</v>
      </c>
      <c r="H192" s="55">
        <f t="shared" si="10"/>
        <v>407066.43499999994</v>
      </c>
      <c r="I192" s="413">
        <f t="shared" si="11"/>
        <v>1.8896320519046603</v>
      </c>
    </row>
    <row r="193" spans="1:9" x14ac:dyDescent="0.25">
      <c r="A193" s="49">
        <f>'A) Base RI'!A195</f>
        <v>5717</v>
      </c>
      <c r="B193" s="291" t="str">
        <f>'A) Base RI'!B195</f>
        <v>Founex</v>
      </c>
      <c r="C193" s="10">
        <f>'B) D RI'!Y195</f>
        <v>2357226.4500000002</v>
      </c>
      <c r="D193" s="422">
        <f>'B) D RI'!Z195</f>
        <v>216727.3</v>
      </c>
      <c r="E193" s="10">
        <f t="shared" si="8"/>
        <v>2573953.75</v>
      </c>
      <c r="F193" s="422">
        <f>'B) D RI'!U195</f>
        <v>344785.57941848523</v>
      </c>
      <c r="G193" s="265">
        <f t="shared" si="9"/>
        <v>7.465375304678421</v>
      </c>
      <c r="H193" s="55">
        <f t="shared" si="10"/>
        <v>1243631.415</v>
      </c>
      <c r="I193" s="413">
        <f t="shared" si="11"/>
        <v>3.6069705035155666</v>
      </c>
    </row>
    <row r="194" spans="1:9" x14ac:dyDescent="0.25">
      <c r="A194" s="49">
        <f>'A) Base RI'!A196</f>
        <v>5718</v>
      </c>
      <c r="B194" s="291" t="str">
        <f>'A) Base RI'!B196</f>
        <v>Genolier</v>
      </c>
      <c r="C194" s="10">
        <f>'B) D RI'!Y196</f>
        <v>1428668.4</v>
      </c>
      <c r="D194" s="422">
        <f>'B) D RI'!Z196</f>
        <v>281010.59999999998</v>
      </c>
      <c r="E194" s="10">
        <f t="shared" si="8"/>
        <v>1709679</v>
      </c>
      <c r="F194" s="422">
        <f>'B) D RI'!U196</f>
        <v>170276.54994177341</v>
      </c>
      <c r="G194" s="265">
        <f t="shared" si="9"/>
        <v>10.040601601245914</v>
      </c>
      <c r="H194" s="55">
        <f t="shared" si="10"/>
        <v>798637.37999999989</v>
      </c>
      <c r="I194" s="413">
        <f t="shared" si="11"/>
        <v>4.6902370307191239</v>
      </c>
    </row>
    <row r="195" spans="1:9" x14ac:dyDescent="0.25">
      <c r="A195" s="49">
        <f>'A) Base RI'!A197</f>
        <v>5719</v>
      </c>
      <c r="B195" s="291" t="str">
        <f>'A) Base RI'!B197</f>
        <v>Gingins</v>
      </c>
      <c r="C195" s="10">
        <f>'B) D RI'!Y197</f>
        <v>354559.35</v>
      </c>
      <c r="D195" s="422">
        <f>'B) D RI'!Z197</f>
        <v>55232.15</v>
      </c>
      <c r="E195" s="10">
        <f t="shared" si="8"/>
        <v>409791.5</v>
      </c>
      <c r="F195" s="422">
        <f>'B) D RI'!U197</f>
        <v>142327.02027947939</v>
      </c>
      <c r="G195" s="265">
        <f t="shared" si="9"/>
        <v>2.8792248948605543</v>
      </c>
      <c r="H195" s="55">
        <f t="shared" si="10"/>
        <v>193849.31999999998</v>
      </c>
      <c r="I195" s="413">
        <f t="shared" si="11"/>
        <v>1.3619994265273678</v>
      </c>
    </row>
    <row r="196" spans="1:9" x14ac:dyDescent="0.25">
      <c r="A196" s="49">
        <f>'A) Base RI'!A198</f>
        <v>5720</v>
      </c>
      <c r="B196" s="291" t="str">
        <f>'A) Base RI'!B198</f>
        <v>Givrins</v>
      </c>
      <c r="C196" s="10">
        <f>'B) D RI'!Y198</f>
        <v>579337.30000000005</v>
      </c>
      <c r="D196" s="422">
        <f>'B) D RI'!Z198</f>
        <v>12988.35</v>
      </c>
      <c r="E196" s="10">
        <f t="shared" si="8"/>
        <v>592325.65</v>
      </c>
      <c r="F196" s="422">
        <f>'B) D RI'!U198</f>
        <v>82417.202201596621</v>
      </c>
      <c r="G196" s="265">
        <f t="shared" si="9"/>
        <v>7.1869177086494842</v>
      </c>
      <c r="H196" s="55">
        <f t="shared" si="10"/>
        <v>293565.15500000003</v>
      </c>
      <c r="I196" s="413">
        <f t="shared" si="11"/>
        <v>3.5619403129206559</v>
      </c>
    </row>
    <row r="197" spans="1:9" x14ac:dyDescent="0.25">
      <c r="A197" s="49">
        <f>'A) Base RI'!A199</f>
        <v>5721</v>
      </c>
      <c r="B197" s="291" t="str">
        <f>'A) Base RI'!B199</f>
        <v>Gland</v>
      </c>
      <c r="C197" s="10">
        <f>'B) D RI'!Y199</f>
        <v>3532358.0499999993</v>
      </c>
      <c r="D197" s="422">
        <f>'B) D RI'!Z199</f>
        <v>1685223</v>
      </c>
      <c r="E197" s="10">
        <f t="shared" ref="E197:E260" si="12">C197+D197</f>
        <v>5217581.0499999989</v>
      </c>
      <c r="F197" s="422">
        <f>'B) D RI'!U199</f>
        <v>657906.43691215932</v>
      </c>
      <c r="G197" s="265">
        <f t="shared" ref="G197:G260" si="13">E197/F197</f>
        <v>7.9305821576824407</v>
      </c>
      <c r="H197" s="55">
        <f t="shared" ref="H197:H260" si="14">(C197*$C$4)+(D197*$D$4)</f>
        <v>2271745.9249999998</v>
      </c>
      <c r="I197" s="413">
        <f t="shared" ref="I197:I260" si="15">H197/F197</f>
        <v>3.4529923976155183</v>
      </c>
    </row>
    <row r="198" spans="1:9" x14ac:dyDescent="0.25">
      <c r="A198" s="49">
        <f>'A) Base RI'!A200</f>
        <v>5722</v>
      </c>
      <c r="B198" s="291" t="str">
        <f>'A) Base RI'!B200</f>
        <v>Grens</v>
      </c>
      <c r="C198" s="10">
        <f>'B) D RI'!Y200</f>
        <v>128942.05</v>
      </c>
      <c r="D198" s="422">
        <f>'B) D RI'!Z200</f>
        <v>14870.05</v>
      </c>
      <c r="E198" s="10">
        <f t="shared" si="12"/>
        <v>143812.1</v>
      </c>
      <c r="F198" s="422">
        <f>'B) D RI'!U200</f>
        <v>20260.981774193551</v>
      </c>
      <c r="G198" s="265">
        <f t="shared" si="13"/>
        <v>7.0979827928759969</v>
      </c>
      <c r="H198" s="55">
        <f t="shared" si="14"/>
        <v>68932.040000000008</v>
      </c>
      <c r="I198" s="413">
        <f t="shared" si="15"/>
        <v>3.4022063080772753</v>
      </c>
    </row>
    <row r="199" spans="1:9" x14ac:dyDescent="0.25">
      <c r="A199" s="49">
        <f>'A) Base RI'!A201</f>
        <v>5723</v>
      </c>
      <c r="B199" s="291" t="str">
        <f>'A) Base RI'!B201</f>
        <v>Mies</v>
      </c>
      <c r="C199" s="10">
        <f>'B) D RI'!Y201</f>
        <v>1045594.8</v>
      </c>
      <c r="D199" s="422">
        <f>'B) D RI'!Z201</f>
        <v>100227.75</v>
      </c>
      <c r="E199" s="10">
        <f t="shared" si="12"/>
        <v>1145822.55</v>
      </c>
      <c r="F199" s="422">
        <f>'B) D RI'!U201</f>
        <v>196584.50934585766</v>
      </c>
      <c r="G199" s="265">
        <f t="shared" si="13"/>
        <v>5.8286512696893951</v>
      </c>
      <c r="H199" s="55">
        <f t="shared" si="14"/>
        <v>552865.72499999998</v>
      </c>
      <c r="I199" s="413">
        <f t="shared" si="15"/>
        <v>2.812356511912772</v>
      </c>
    </row>
    <row r="200" spans="1:9" x14ac:dyDescent="0.25">
      <c r="A200" s="49">
        <f>'A) Base RI'!A202</f>
        <v>5724</v>
      </c>
      <c r="B200" s="291" t="str">
        <f>'A) Base RI'!B202</f>
        <v>Nyon</v>
      </c>
      <c r="C200" s="10">
        <f>'B) D RI'!Y202</f>
        <v>8236001.1500000004</v>
      </c>
      <c r="D200" s="422">
        <f>'B) D RI'!Z202</f>
        <v>4882546.7</v>
      </c>
      <c r="E200" s="10">
        <f t="shared" si="12"/>
        <v>13118547.850000001</v>
      </c>
      <c r="F200" s="422">
        <f>'B) D RI'!U202</f>
        <v>1385271.3719392153</v>
      </c>
      <c r="G200" s="265">
        <f t="shared" si="13"/>
        <v>9.4700201821362935</v>
      </c>
      <c r="H200" s="55">
        <f t="shared" si="14"/>
        <v>5582764.585</v>
      </c>
      <c r="I200" s="413">
        <f t="shared" si="15"/>
        <v>4.0300873158049839</v>
      </c>
    </row>
    <row r="201" spans="1:9" x14ac:dyDescent="0.25">
      <c r="A201" s="49">
        <f>'A) Base RI'!A203</f>
        <v>5725</v>
      </c>
      <c r="B201" s="291" t="str">
        <f>'A) Base RI'!B203</f>
        <v>Prangins</v>
      </c>
      <c r="C201" s="10">
        <f>'B) D RI'!Y203</f>
        <v>2615214.9500000002</v>
      </c>
      <c r="D201" s="422">
        <f>'B) D RI'!Z203</f>
        <v>1121038.45</v>
      </c>
      <c r="E201" s="10">
        <f t="shared" si="12"/>
        <v>3736253.4000000004</v>
      </c>
      <c r="F201" s="422">
        <f>'B) D RI'!U203</f>
        <v>342757.72234116954</v>
      </c>
      <c r="G201" s="265">
        <f t="shared" si="13"/>
        <v>10.900566658221223</v>
      </c>
      <c r="H201" s="55">
        <f t="shared" si="14"/>
        <v>1643919.01</v>
      </c>
      <c r="I201" s="413">
        <f t="shared" si="15"/>
        <v>4.7961545513005195</v>
      </c>
    </row>
    <row r="202" spans="1:9" x14ac:dyDescent="0.25">
      <c r="A202" s="49">
        <f>'A) Base RI'!A204</f>
        <v>5726</v>
      </c>
      <c r="B202" s="291" t="str">
        <f>'A) Base RI'!B204</f>
        <v>La Rippe</v>
      </c>
      <c r="C202" s="10">
        <f>'B) D RI'!Y204</f>
        <v>240323</v>
      </c>
      <c r="D202" s="422">
        <f>'B) D RI'!Z204</f>
        <v>43623.199999999997</v>
      </c>
      <c r="E202" s="10">
        <f t="shared" si="12"/>
        <v>283946.2</v>
      </c>
      <c r="F202" s="422">
        <f>'B) D RI'!U204</f>
        <v>61259.007150466066</v>
      </c>
      <c r="G202" s="265">
        <f t="shared" si="13"/>
        <v>4.6351746985151667</v>
      </c>
      <c r="H202" s="55">
        <f t="shared" si="14"/>
        <v>133248.46</v>
      </c>
      <c r="I202" s="413">
        <f t="shared" si="15"/>
        <v>2.1751651911809708</v>
      </c>
    </row>
    <row r="203" spans="1:9" x14ac:dyDescent="0.25">
      <c r="A203" s="49">
        <f>'A) Base RI'!A205</f>
        <v>5727</v>
      </c>
      <c r="B203" s="291" t="str">
        <f>'A) Base RI'!B205</f>
        <v>Saint-Cergue</v>
      </c>
      <c r="C203" s="10">
        <f>'B) D RI'!Y205</f>
        <v>648391.94999999995</v>
      </c>
      <c r="D203" s="422">
        <f>'B) D RI'!Z205</f>
        <v>158797.79999999999</v>
      </c>
      <c r="E203" s="10">
        <f t="shared" si="12"/>
        <v>807189.75</v>
      </c>
      <c r="F203" s="422">
        <f>'B) D RI'!U205</f>
        <v>96033.059668733855</v>
      </c>
      <c r="G203" s="265">
        <f t="shared" si="13"/>
        <v>8.4053320052948628</v>
      </c>
      <c r="H203" s="55">
        <f t="shared" si="14"/>
        <v>371835.31499999994</v>
      </c>
      <c r="I203" s="413">
        <f t="shared" si="15"/>
        <v>3.8719511414365666</v>
      </c>
    </row>
    <row r="204" spans="1:9" x14ac:dyDescent="0.25">
      <c r="A204" s="49">
        <f>'A) Base RI'!A206</f>
        <v>5728</v>
      </c>
      <c r="B204" s="291" t="str">
        <f>'A) Base RI'!B206</f>
        <v>Signy-Avenex</v>
      </c>
      <c r="C204" s="10">
        <f>'B) D RI'!Y206</f>
        <v>90188.5</v>
      </c>
      <c r="D204" s="422">
        <f>'B) D RI'!Z206</f>
        <v>207284.05</v>
      </c>
      <c r="E204" s="10">
        <f t="shared" si="12"/>
        <v>297472.55</v>
      </c>
      <c r="F204" s="422">
        <f>'B) D RI'!U206</f>
        <v>43425.016490818416</v>
      </c>
      <c r="G204" s="265">
        <f t="shared" si="13"/>
        <v>6.8502576173551066</v>
      </c>
      <c r="H204" s="55">
        <f t="shared" si="14"/>
        <v>107279.465</v>
      </c>
      <c r="I204" s="413">
        <f t="shared" si="15"/>
        <v>2.4704530629869228</v>
      </c>
    </row>
    <row r="205" spans="1:9" x14ac:dyDescent="0.25">
      <c r="A205" s="49">
        <f>'A) Base RI'!A207</f>
        <v>5729</v>
      </c>
      <c r="B205" s="291" t="str">
        <f>'A) Base RI'!B207</f>
        <v>Tannay</v>
      </c>
      <c r="C205" s="10">
        <f>'B) D RI'!Y207</f>
        <v>950352.8</v>
      </c>
      <c r="D205" s="422">
        <f>'B) D RI'!Z207</f>
        <v>8148.6</v>
      </c>
      <c r="E205" s="10">
        <f t="shared" si="12"/>
        <v>958501.4</v>
      </c>
      <c r="F205" s="422">
        <f>'B) D RI'!U207</f>
        <v>176785.12407552512</v>
      </c>
      <c r="G205" s="265">
        <f t="shared" si="13"/>
        <v>5.4218442021768452</v>
      </c>
      <c r="H205" s="55">
        <f t="shared" si="14"/>
        <v>477620.98000000004</v>
      </c>
      <c r="I205" s="413">
        <f t="shared" si="15"/>
        <v>2.7017034521295669</v>
      </c>
    </row>
    <row r="206" spans="1:9" x14ac:dyDescent="0.25">
      <c r="A206" s="49">
        <f>'A) Base RI'!A208</f>
        <v>5730</v>
      </c>
      <c r="B206" s="291" t="str">
        <f>'A) Base RI'!B208</f>
        <v>Trélex</v>
      </c>
      <c r="C206" s="10">
        <f>'B) D RI'!Y208</f>
        <v>520253.4</v>
      </c>
      <c r="D206" s="422">
        <f>'B) D RI'!Z208</f>
        <v>9246.0499999999993</v>
      </c>
      <c r="E206" s="10">
        <f t="shared" si="12"/>
        <v>529499.45000000007</v>
      </c>
      <c r="F206" s="422">
        <f>'B) D RI'!U208</f>
        <v>134389.74453035684</v>
      </c>
      <c r="G206" s="265">
        <f t="shared" si="13"/>
        <v>3.9400286967611078</v>
      </c>
      <c r="H206" s="55">
        <f t="shared" si="14"/>
        <v>262900.51500000001</v>
      </c>
      <c r="I206" s="413">
        <f t="shared" si="15"/>
        <v>1.9562542954355742</v>
      </c>
    </row>
    <row r="207" spans="1:9" x14ac:dyDescent="0.25">
      <c r="A207" s="49">
        <f>'A) Base RI'!A209</f>
        <v>5731</v>
      </c>
      <c r="B207" s="291" t="str">
        <f>'A) Base RI'!B209</f>
        <v>Le Vaud</v>
      </c>
      <c r="C207" s="10">
        <f>'B) D RI'!Y209</f>
        <v>720073.8</v>
      </c>
      <c r="D207" s="422">
        <f>'B) D RI'!Z209</f>
        <v>36501.300000000003</v>
      </c>
      <c r="E207" s="10">
        <f t="shared" si="12"/>
        <v>756575.10000000009</v>
      </c>
      <c r="F207" s="422">
        <f>'B) D RI'!U209</f>
        <v>61951.44694342916</v>
      </c>
      <c r="G207" s="265">
        <f t="shared" si="13"/>
        <v>12.212387883221922</v>
      </c>
      <c r="H207" s="55">
        <f t="shared" si="14"/>
        <v>370987.29000000004</v>
      </c>
      <c r="I207" s="413">
        <f t="shared" si="15"/>
        <v>5.9883555316918802</v>
      </c>
    </row>
    <row r="208" spans="1:9" x14ac:dyDescent="0.25">
      <c r="A208" s="49">
        <f>'A) Base RI'!A210</f>
        <v>5732</v>
      </c>
      <c r="B208" s="291" t="str">
        <f>'A) Base RI'!B210</f>
        <v>Vich</v>
      </c>
      <c r="C208" s="10">
        <f>'B) D RI'!Y210</f>
        <v>364872.75</v>
      </c>
      <c r="D208" s="422">
        <f>'B) D RI'!Z210</f>
        <v>81769.7</v>
      </c>
      <c r="E208" s="10">
        <f t="shared" si="12"/>
        <v>446642.45</v>
      </c>
      <c r="F208" s="422">
        <f>'B) D RI'!U210</f>
        <v>62590.343939393941</v>
      </c>
      <c r="G208" s="265">
        <f t="shared" si="13"/>
        <v>7.1359641422083042</v>
      </c>
      <c r="H208" s="55">
        <f t="shared" si="14"/>
        <v>206967.285</v>
      </c>
      <c r="I208" s="413">
        <f t="shared" si="15"/>
        <v>3.306696719871133</v>
      </c>
    </row>
    <row r="209" spans="1:9" x14ac:dyDescent="0.25">
      <c r="A209" s="49">
        <f>'A) Base RI'!A211</f>
        <v>5741</v>
      </c>
      <c r="B209" s="291" t="str">
        <f>'A) Base RI'!B211</f>
        <v>L'Abergement</v>
      </c>
      <c r="C209" s="10">
        <f>'B) D RI'!Y211</f>
        <v>35109.9</v>
      </c>
      <c r="D209" s="422">
        <f>'B) D RI'!Z211</f>
        <v>21051.95</v>
      </c>
      <c r="E209" s="10">
        <f t="shared" si="12"/>
        <v>56161.850000000006</v>
      </c>
      <c r="F209" s="422">
        <f>'B) D RI'!U211</f>
        <v>7136.3252688010616</v>
      </c>
      <c r="G209" s="265">
        <f t="shared" si="13"/>
        <v>7.8698556868660612</v>
      </c>
      <c r="H209" s="55">
        <f t="shared" si="14"/>
        <v>23870.535</v>
      </c>
      <c r="I209" s="413">
        <f t="shared" si="15"/>
        <v>3.3449337160062451</v>
      </c>
    </row>
    <row r="210" spans="1:9" x14ac:dyDescent="0.25">
      <c r="A210" s="49">
        <f>'A) Base RI'!A212</f>
        <v>5742</v>
      </c>
      <c r="B210" s="291" t="str">
        <f>'A) Base RI'!B212</f>
        <v>Agiez</v>
      </c>
      <c r="C210" s="10">
        <f>'B) D RI'!Y212</f>
        <v>66912.850000000006</v>
      </c>
      <c r="D210" s="422">
        <f>'B) D RI'!Z212</f>
        <v>0</v>
      </c>
      <c r="E210" s="10">
        <f t="shared" si="12"/>
        <v>66912.850000000006</v>
      </c>
      <c r="F210" s="422">
        <f>'B) D RI'!U212</f>
        <v>9012.3275646255879</v>
      </c>
      <c r="G210" s="265">
        <f t="shared" si="13"/>
        <v>7.4245914299254459</v>
      </c>
      <c r="H210" s="55">
        <f t="shared" si="14"/>
        <v>33456.425000000003</v>
      </c>
      <c r="I210" s="413">
        <f t="shared" si="15"/>
        <v>3.7122957149627229</v>
      </c>
    </row>
    <row r="211" spans="1:9" x14ac:dyDescent="0.25">
      <c r="A211" s="49">
        <f>'A) Base RI'!A213</f>
        <v>5743</v>
      </c>
      <c r="B211" s="291" t="str">
        <f>'A) Base RI'!B213</f>
        <v>Arnex-sur-Orbe</v>
      </c>
      <c r="C211" s="10">
        <f>'B) D RI'!Y213</f>
        <v>200542.35</v>
      </c>
      <c r="D211" s="422">
        <f>'B) D RI'!Z213</f>
        <v>28664.35</v>
      </c>
      <c r="E211" s="10">
        <f t="shared" si="12"/>
        <v>229206.7</v>
      </c>
      <c r="F211" s="422">
        <f>'B) D RI'!U213</f>
        <v>18985.341168070638</v>
      </c>
      <c r="G211" s="265">
        <f t="shared" si="13"/>
        <v>12.072824921654693</v>
      </c>
      <c r="H211" s="55">
        <f t="shared" si="14"/>
        <v>108870.48</v>
      </c>
      <c r="I211" s="413">
        <f t="shared" si="15"/>
        <v>5.7344494911209347</v>
      </c>
    </row>
    <row r="212" spans="1:9" x14ac:dyDescent="0.25">
      <c r="A212" s="49">
        <f>'A) Base RI'!A214</f>
        <v>5744</v>
      </c>
      <c r="B212" s="291" t="str">
        <f>'A) Base RI'!B214</f>
        <v>Ballaigues</v>
      </c>
      <c r="C212" s="10">
        <f>'B) D RI'!Y214</f>
        <v>142974.5</v>
      </c>
      <c r="D212" s="422">
        <f>'B) D RI'!Z214</f>
        <v>1627852.05</v>
      </c>
      <c r="E212" s="10">
        <f t="shared" si="12"/>
        <v>1770826.55</v>
      </c>
      <c r="F212" s="422">
        <f>'B) D RI'!U214</f>
        <v>59853.218669078378</v>
      </c>
      <c r="G212" s="265">
        <f t="shared" si="13"/>
        <v>29.586154084556391</v>
      </c>
      <c r="H212" s="55">
        <f t="shared" si="14"/>
        <v>559842.86499999999</v>
      </c>
      <c r="I212" s="413">
        <f t="shared" si="15"/>
        <v>9.3535966393939045</v>
      </c>
    </row>
    <row r="213" spans="1:9" x14ac:dyDescent="0.25">
      <c r="A213" s="49">
        <f>'A) Base RI'!A215</f>
        <v>5745</v>
      </c>
      <c r="B213" s="291" t="str">
        <f>'A) Base RI'!B215</f>
        <v>Baulmes</v>
      </c>
      <c r="C213" s="10">
        <f>'B) D RI'!Y215</f>
        <v>119245.8</v>
      </c>
      <c r="D213" s="422">
        <f>'B) D RI'!Z215</f>
        <v>185403.2</v>
      </c>
      <c r="E213" s="10">
        <f t="shared" si="12"/>
        <v>304649</v>
      </c>
      <c r="F213" s="422">
        <f>'B) D RI'!U215</f>
        <v>27688.42729631942</v>
      </c>
      <c r="G213" s="265">
        <f t="shared" si="13"/>
        <v>11.002755654543677</v>
      </c>
      <c r="H213" s="55">
        <f t="shared" si="14"/>
        <v>115243.86</v>
      </c>
      <c r="I213" s="413">
        <f t="shared" si="15"/>
        <v>4.1621670587017841</v>
      </c>
    </row>
    <row r="214" spans="1:9" x14ac:dyDescent="0.25">
      <c r="A214" s="49">
        <f>'A) Base RI'!A216</f>
        <v>5746</v>
      </c>
      <c r="B214" s="291" t="str">
        <f>'A) Base RI'!B216</f>
        <v>Bavois</v>
      </c>
      <c r="C214" s="10">
        <f>'B) D RI'!Y216</f>
        <v>196550.5</v>
      </c>
      <c r="D214" s="422">
        <f>'B) D RI'!Z216</f>
        <v>21961.55</v>
      </c>
      <c r="E214" s="10">
        <f t="shared" si="12"/>
        <v>218512.05</v>
      </c>
      <c r="F214" s="422">
        <f>'B) D RI'!U216</f>
        <v>26210.064905994277</v>
      </c>
      <c r="G214" s="265">
        <f t="shared" si="13"/>
        <v>8.3369518840842698</v>
      </c>
      <c r="H214" s="55">
        <f t="shared" si="14"/>
        <v>104863.715</v>
      </c>
      <c r="I214" s="413">
        <f t="shared" si="15"/>
        <v>4.0008948995779683</v>
      </c>
    </row>
    <row r="215" spans="1:9" x14ac:dyDescent="0.25">
      <c r="A215" s="49">
        <f>'A) Base RI'!A217</f>
        <v>5747</v>
      </c>
      <c r="B215" s="291" t="str">
        <f>'A) Base RI'!B217</f>
        <v>Bofflens</v>
      </c>
      <c r="C215" s="10">
        <f>'B) D RI'!Y217</f>
        <v>14171.45</v>
      </c>
      <c r="D215" s="422">
        <f>'B) D RI'!Z217</f>
        <v>0</v>
      </c>
      <c r="E215" s="10">
        <f t="shared" si="12"/>
        <v>14171.45</v>
      </c>
      <c r="F215" s="422">
        <f>'B) D RI'!U217</f>
        <v>5918.808029883834</v>
      </c>
      <c r="G215" s="265">
        <f t="shared" si="13"/>
        <v>2.3943080985983825</v>
      </c>
      <c r="H215" s="55">
        <f t="shared" si="14"/>
        <v>7085.7250000000004</v>
      </c>
      <c r="I215" s="413">
        <f t="shared" si="15"/>
        <v>1.1971540492991912</v>
      </c>
    </row>
    <row r="216" spans="1:9" x14ac:dyDescent="0.25">
      <c r="A216" s="49">
        <f>'A) Base RI'!A218</f>
        <v>5748</v>
      </c>
      <c r="B216" s="291" t="str">
        <f>'A) Base RI'!B218</f>
        <v>Bretonnières</v>
      </c>
      <c r="C216" s="10">
        <f>'B) D RI'!Y218</f>
        <v>30657</v>
      </c>
      <c r="D216" s="422">
        <f>'B) D RI'!Z218</f>
        <v>3153.95</v>
      </c>
      <c r="E216" s="10">
        <f t="shared" si="12"/>
        <v>33810.949999999997</v>
      </c>
      <c r="F216" s="422">
        <f>'B) D RI'!U218</f>
        <v>7309.8392085479882</v>
      </c>
      <c r="G216" s="265">
        <f t="shared" si="13"/>
        <v>4.6254026983879628</v>
      </c>
      <c r="H216" s="55">
        <f t="shared" si="14"/>
        <v>16274.684999999999</v>
      </c>
      <c r="I216" s="413">
        <f t="shared" si="15"/>
        <v>2.2264080694098838</v>
      </c>
    </row>
    <row r="217" spans="1:9" x14ac:dyDescent="0.25">
      <c r="A217" s="49">
        <f>'A) Base RI'!A219</f>
        <v>5749</v>
      </c>
      <c r="B217" s="291" t="str">
        <f>'A) Base RI'!B219</f>
        <v>Chavornay</v>
      </c>
      <c r="C217" s="10">
        <f>'B) D RI'!Y219</f>
        <v>879090.05</v>
      </c>
      <c r="D217" s="422">
        <f>'B) D RI'!Z219</f>
        <v>582192.94999999995</v>
      </c>
      <c r="E217" s="10">
        <f t="shared" si="12"/>
        <v>1461283</v>
      </c>
      <c r="F217" s="422">
        <f>'B) D RI'!U219</f>
        <v>132437.33386463847</v>
      </c>
      <c r="G217" s="265">
        <f t="shared" si="13"/>
        <v>11.033769386308757</v>
      </c>
      <c r="H217" s="55">
        <f t="shared" si="14"/>
        <v>614202.91</v>
      </c>
      <c r="I217" s="413">
        <f t="shared" si="15"/>
        <v>4.6376870635871033</v>
      </c>
    </row>
    <row r="218" spans="1:9" x14ac:dyDescent="0.25">
      <c r="A218" s="49">
        <f>'A) Base RI'!A220</f>
        <v>5750</v>
      </c>
      <c r="B218" s="291" t="str">
        <f>'A) Base RI'!B220</f>
        <v>Les Clées</v>
      </c>
      <c r="C218" s="10">
        <f>'B) D RI'!Y220</f>
        <v>1837</v>
      </c>
      <c r="D218" s="422">
        <f>'B) D RI'!Z220</f>
        <v>9385.1</v>
      </c>
      <c r="E218" s="10">
        <f t="shared" si="12"/>
        <v>11222.1</v>
      </c>
      <c r="F218" s="422">
        <f>'B) D RI'!U220</f>
        <v>5045.6080220470376</v>
      </c>
      <c r="G218" s="265">
        <f t="shared" si="13"/>
        <v>2.2241323445984054</v>
      </c>
      <c r="H218" s="55">
        <f t="shared" si="14"/>
        <v>3734.03</v>
      </c>
      <c r="I218" s="413">
        <f t="shared" si="15"/>
        <v>0.74005550642934781</v>
      </c>
    </row>
    <row r="219" spans="1:9" x14ac:dyDescent="0.25">
      <c r="A219" s="49">
        <f>'A) Base RI'!A221</f>
        <v>5752</v>
      </c>
      <c r="B219" s="291" t="str">
        <f>'A) Base RI'!B221</f>
        <v>Croy</v>
      </c>
      <c r="C219" s="10">
        <f>'B) D RI'!Y221</f>
        <v>34080</v>
      </c>
      <c r="D219" s="422">
        <f>'B) D RI'!Z221</f>
        <v>25500.3</v>
      </c>
      <c r="E219" s="10">
        <f t="shared" si="12"/>
        <v>59580.3</v>
      </c>
      <c r="F219" s="422">
        <f>'B) D RI'!U221</f>
        <v>9708.3693774468666</v>
      </c>
      <c r="G219" s="265">
        <f t="shared" si="13"/>
        <v>6.1370038245978433</v>
      </c>
      <c r="H219" s="55">
        <f t="shared" si="14"/>
        <v>24690.09</v>
      </c>
      <c r="I219" s="413">
        <f t="shared" si="15"/>
        <v>2.5431757940068271</v>
      </c>
    </row>
    <row r="220" spans="1:9" x14ac:dyDescent="0.25">
      <c r="A220" s="49">
        <f>'A) Base RI'!A222</f>
        <v>5754</v>
      </c>
      <c r="B220" s="291" t="str">
        <f>'A) Base RI'!B222</f>
        <v>Juriens</v>
      </c>
      <c r="C220" s="10">
        <f>'B) D RI'!Y222</f>
        <v>2444.85</v>
      </c>
      <c r="D220" s="422">
        <f>'B) D RI'!Z222</f>
        <v>5642.65</v>
      </c>
      <c r="E220" s="10">
        <f t="shared" si="12"/>
        <v>8087.5</v>
      </c>
      <c r="F220" s="422">
        <f>'B) D RI'!U222</f>
        <v>9236.0554663405946</v>
      </c>
      <c r="G220" s="265">
        <f t="shared" si="13"/>
        <v>0.8756443732363528</v>
      </c>
      <c r="H220" s="55">
        <f t="shared" si="14"/>
        <v>2915.22</v>
      </c>
      <c r="I220" s="413">
        <f t="shared" si="15"/>
        <v>0.31563474370894345</v>
      </c>
    </row>
    <row r="221" spans="1:9" x14ac:dyDescent="0.25">
      <c r="A221" s="49">
        <f>'A) Base RI'!A223</f>
        <v>5755</v>
      </c>
      <c r="B221" s="291" t="str">
        <f>'A) Base RI'!B223</f>
        <v>Lignerolle</v>
      </c>
      <c r="C221" s="10">
        <f>'B) D RI'!Y223</f>
        <v>98807.05</v>
      </c>
      <c r="D221" s="422">
        <f>'B) D RI'!Z223</f>
        <v>25416.95</v>
      </c>
      <c r="E221" s="10">
        <f t="shared" si="12"/>
        <v>124224</v>
      </c>
      <c r="F221" s="422">
        <f>'B) D RI'!U223</f>
        <v>9814.7983020645443</v>
      </c>
      <c r="G221" s="265">
        <f t="shared" si="13"/>
        <v>12.65680619986551</v>
      </c>
      <c r="H221" s="55">
        <f t="shared" si="14"/>
        <v>57028.61</v>
      </c>
      <c r="I221" s="413">
        <f t="shared" si="15"/>
        <v>5.8104719266624176</v>
      </c>
    </row>
    <row r="222" spans="1:9" x14ac:dyDescent="0.25">
      <c r="A222" s="49">
        <f>'A) Base RI'!A224</f>
        <v>5756</v>
      </c>
      <c r="B222" s="291" t="str">
        <f>'A) Base RI'!B224</f>
        <v>Montcherand</v>
      </c>
      <c r="C222" s="10">
        <f>'B) D RI'!Y224</f>
        <v>39156</v>
      </c>
      <c r="D222" s="422">
        <f>'B) D RI'!Z224</f>
        <v>29390.1</v>
      </c>
      <c r="E222" s="10">
        <f t="shared" si="12"/>
        <v>68546.100000000006</v>
      </c>
      <c r="F222" s="422">
        <f>'B) D RI'!U224</f>
        <v>16245.150277777775</v>
      </c>
      <c r="G222" s="265">
        <f t="shared" si="13"/>
        <v>4.2194808190704309</v>
      </c>
      <c r="H222" s="55">
        <f t="shared" si="14"/>
        <v>28395.03</v>
      </c>
      <c r="I222" s="413">
        <f t="shared" si="15"/>
        <v>1.7479081150047844</v>
      </c>
    </row>
    <row r="223" spans="1:9" x14ac:dyDescent="0.25">
      <c r="A223" s="49">
        <f>'A) Base RI'!A225</f>
        <v>5757</v>
      </c>
      <c r="B223" s="291" t="str">
        <f>'A) Base RI'!B225</f>
        <v>Orbe</v>
      </c>
      <c r="C223" s="10">
        <f>'B) D RI'!Y225</f>
        <v>1012569.85</v>
      </c>
      <c r="D223" s="422">
        <f>'B) D RI'!Z225</f>
        <v>2385887.2999999998</v>
      </c>
      <c r="E223" s="10">
        <f t="shared" si="12"/>
        <v>3398457.15</v>
      </c>
      <c r="F223" s="422">
        <f>'B) D RI'!U225</f>
        <v>201366.36924156587</v>
      </c>
      <c r="G223" s="265">
        <f t="shared" si="13"/>
        <v>16.876984785493629</v>
      </c>
      <c r="H223" s="55">
        <f t="shared" si="14"/>
        <v>1222051.115</v>
      </c>
      <c r="I223" s="413">
        <f t="shared" si="15"/>
        <v>6.0687945042798397</v>
      </c>
    </row>
    <row r="224" spans="1:9" x14ac:dyDescent="0.25">
      <c r="A224" s="49">
        <f>'A) Base RI'!A226</f>
        <v>5758</v>
      </c>
      <c r="B224" s="291" t="str">
        <f>'A) Base RI'!B226</f>
        <v>La Praz</v>
      </c>
      <c r="C224" s="10">
        <f>'B) D RI'!Y226</f>
        <v>59770.9</v>
      </c>
      <c r="D224" s="422">
        <f>'B) D RI'!Z226</f>
        <v>0</v>
      </c>
      <c r="E224" s="10">
        <f t="shared" si="12"/>
        <v>59770.9</v>
      </c>
      <c r="F224" s="422">
        <f>'B) D RI'!U226</f>
        <v>4518.3622106026551</v>
      </c>
      <c r="G224" s="265">
        <f t="shared" si="13"/>
        <v>13.228443673626558</v>
      </c>
      <c r="H224" s="55">
        <f t="shared" si="14"/>
        <v>29885.45</v>
      </c>
      <c r="I224" s="413">
        <f t="shared" si="15"/>
        <v>6.6142218368132788</v>
      </c>
    </row>
    <row r="225" spans="1:9" x14ac:dyDescent="0.25">
      <c r="A225" s="49">
        <f>'A) Base RI'!A227</f>
        <v>5759</v>
      </c>
      <c r="B225" s="291" t="str">
        <f>'A) Base RI'!B227</f>
        <v>Premier</v>
      </c>
      <c r="C225" s="10">
        <f>'B) D RI'!Y227</f>
        <v>23079.8</v>
      </c>
      <c r="D225" s="422">
        <f>'B) D RI'!Z227</f>
        <v>3194.25</v>
      </c>
      <c r="E225" s="10">
        <f t="shared" si="12"/>
        <v>26274.05</v>
      </c>
      <c r="F225" s="422">
        <f>'B) D RI'!U227</f>
        <v>5274.1329854177848</v>
      </c>
      <c r="G225" s="265">
        <f t="shared" si="13"/>
        <v>4.9816813631063059</v>
      </c>
      <c r="H225" s="55">
        <f t="shared" si="14"/>
        <v>12498.174999999999</v>
      </c>
      <c r="I225" s="413">
        <f t="shared" si="15"/>
        <v>2.3697117677077251</v>
      </c>
    </row>
    <row r="226" spans="1:9" x14ac:dyDescent="0.25">
      <c r="A226" s="49">
        <f>'A) Base RI'!A228</f>
        <v>5760</v>
      </c>
      <c r="B226" s="291" t="str">
        <f>'A) Base RI'!B228</f>
        <v>Rances</v>
      </c>
      <c r="C226" s="10">
        <f>'B) D RI'!Y228</f>
        <v>22508.5</v>
      </c>
      <c r="D226" s="422">
        <f>'B) D RI'!Z228</f>
        <v>16854.2</v>
      </c>
      <c r="E226" s="10">
        <f t="shared" si="12"/>
        <v>39362.699999999997</v>
      </c>
      <c r="F226" s="422">
        <f>'B) D RI'!U228</f>
        <v>12374.249316544765</v>
      </c>
      <c r="G226" s="265">
        <f t="shared" si="13"/>
        <v>3.1810172070293441</v>
      </c>
      <c r="H226" s="55">
        <f t="shared" si="14"/>
        <v>16310.51</v>
      </c>
      <c r="I226" s="413">
        <f t="shared" si="15"/>
        <v>1.3181009678051605</v>
      </c>
    </row>
    <row r="227" spans="1:9" x14ac:dyDescent="0.25">
      <c r="A227" s="49">
        <f>'A) Base RI'!A229</f>
        <v>5761</v>
      </c>
      <c r="B227" s="291" t="str">
        <f>'A) Base RI'!B229</f>
        <v>Romainmôtier-Envy</v>
      </c>
      <c r="C227" s="10">
        <f>'B) D RI'!Y229</f>
        <v>111059.4</v>
      </c>
      <c r="D227" s="422">
        <f>'B) D RI'!Z229</f>
        <v>54355.95</v>
      </c>
      <c r="E227" s="10">
        <f t="shared" si="12"/>
        <v>165415.34999999998</v>
      </c>
      <c r="F227" s="422">
        <f>'B) D RI'!U229</f>
        <v>12292.452150942587</v>
      </c>
      <c r="G227" s="265">
        <f t="shared" si="13"/>
        <v>13.456660068212338</v>
      </c>
      <c r="H227" s="55">
        <f t="shared" si="14"/>
        <v>71836.485000000001</v>
      </c>
      <c r="I227" s="413">
        <f t="shared" si="15"/>
        <v>5.8439507526975865</v>
      </c>
    </row>
    <row r="228" spans="1:9" x14ac:dyDescent="0.25">
      <c r="A228" s="49">
        <f>'A) Base RI'!A230</f>
        <v>5762</v>
      </c>
      <c r="B228" s="291" t="str">
        <f>'A) Base RI'!B230</f>
        <v>Sergey</v>
      </c>
      <c r="C228" s="10">
        <f>'B) D RI'!Y230</f>
        <v>2032.75</v>
      </c>
      <c r="D228" s="422">
        <f>'B) D RI'!Z230</f>
        <v>8622.5</v>
      </c>
      <c r="E228" s="10">
        <f t="shared" si="12"/>
        <v>10655.25</v>
      </c>
      <c r="F228" s="422">
        <f>'B) D RI'!U230</f>
        <v>3995.7603289795202</v>
      </c>
      <c r="G228" s="265">
        <f t="shared" si="13"/>
        <v>2.666638917935614</v>
      </c>
      <c r="H228" s="55">
        <f t="shared" si="14"/>
        <v>3603.125</v>
      </c>
      <c r="I228" s="413">
        <f t="shared" si="15"/>
        <v>0.90173701707484655</v>
      </c>
    </row>
    <row r="229" spans="1:9" x14ac:dyDescent="0.25">
      <c r="A229" s="49">
        <f>'A) Base RI'!A231</f>
        <v>5763</v>
      </c>
      <c r="B229" s="291" t="str">
        <f>'A) Base RI'!B231</f>
        <v>Valeyres-sous-Rances</v>
      </c>
      <c r="C229" s="10">
        <f>'B) D RI'!Y231</f>
        <v>30888.7</v>
      </c>
      <c r="D229" s="422">
        <f>'B) D RI'!Z231</f>
        <v>45726.7</v>
      </c>
      <c r="E229" s="10">
        <f t="shared" si="12"/>
        <v>76615.399999999994</v>
      </c>
      <c r="F229" s="422">
        <f>'B) D RI'!U231</f>
        <v>21943.401480636676</v>
      </c>
      <c r="G229" s="265">
        <f t="shared" si="13"/>
        <v>3.491500625716895</v>
      </c>
      <c r="H229" s="55">
        <f t="shared" si="14"/>
        <v>29162.36</v>
      </c>
      <c r="I229" s="413">
        <f t="shared" si="15"/>
        <v>1.3289808339756937</v>
      </c>
    </row>
    <row r="230" spans="1:9" x14ac:dyDescent="0.25">
      <c r="A230" s="49">
        <f>'A) Base RI'!A232</f>
        <v>5764</v>
      </c>
      <c r="B230" s="291" t="str">
        <f>'A) Base RI'!B232</f>
        <v>Vallorbe</v>
      </c>
      <c r="C230" s="10">
        <f>'B) D RI'!Y232</f>
        <v>708484.85000000009</v>
      </c>
      <c r="D230" s="422">
        <f>'B) D RI'!Z232</f>
        <v>2136567.6</v>
      </c>
      <c r="E230" s="10">
        <f t="shared" si="12"/>
        <v>2845052.45</v>
      </c>
      <c r="F230" s="422">
        <f>'B) D RI'!U232</f>
        <v>87589.078285934462</v>
      </c>
      <c r="G230" s="265">
        <f t="shared" si="13"/>
        <v>32.481817432903327</v>
      </c>
      <c r="H230" s="55">
        <f t="shared" si="14"/>
        <v>995212.70500000007</v>
      </c>
      <c r="I230" s="413">
        <f t="shared" si="15"/>
        <v>11.362292245514094</v>
      </c>
    </row>
    <row r="231" spans="1:9" x14ac:dyDescent="0.25">
      <c r="A231" s="49">
        <f>'A) Base RI'!A233</f>
        <v>5765</v>
      </c>
      <c r="B231" s="291" t="str">
        <f>'A) Base RI'!B233</f>
        <v>Vaulion</v>
      </c>
      <c r="C231" s="10">
        <f>'B) D RI'!Y233</f>
        <v>83090.7</v>
      </c>
      <c r="D231" s="422">
        <f>'B) D RI'!Z233</f>
        <v>28462.45</v>
      </c>
      <c r="E231" s="10">
        <f t="shared" si="12"/>
        <v>111553.15</v>
      </c>
      <c r="F231" s="422">
        <f>'B) D RI'!U233</f>
        <v>11954.157309155948</v>
      </c>
      <c r="G231" s="265">
        <f t="shared" si="13"/>
        <v>9.3317451924912369</v>
      </c>
      <c r="H231" s="55">
        <f t="shared" si="14"/>
        <v>50084.084999999999</v>
      </c>
      <c r="I231" s="413">
        <f t="shared" si="15"/>
        <v>4.1896792642706409</v>
      </c>
    </row>
    <row r="232" spans="1:9" x14ac:dyDescent="0.25">
      <c r="A232" s="49">
        <f>'A) Base RI'!A234</f>
        <v>5766</v>
      </c>
      <c r="B232" s="291" t="str">
        <f>'A) Base RI'!B234</f>
        <v>Vuiteboeuf</v>
      </c>
      <c r="C232" s="10">
        <f>'B) D RI'!Y234</f>
        <v>95100.549999999988</v>
      </c>
      <c r="D232" s="422">
        <f>'B) D RI'!Z234</f>
        <v>0</v>
      </c>
      <c r="E232" s="10">
        <f t="shared" si="12"/>
        <v>95100.549999999988</v>
      </c>
      <c r="F232" s="422">
        <f>'B) D RI'!U234</f>
        <v>13945.258329251963</v>
      </c>
      <c r="G232" s="265">
        <f t="shared" si="13"/>
        <v>6.8195617287715944</v>
      </c>
      <c r="H232" s="55">
        <f t="shared" si="14"/>
        <v>47550.274999999994</v>
      </c>
      <c r="I232" s="413">
        <f t="shared" si="15"/>
        <v>3.4097808643857972</v>
      </c>
    </row>
    <row r="233" spans="1:9" x14ac:dyDescent="0.25">
      <c r="A233" s="49">
        <f>'A) Base RI'!A235</f>
        <v>5785</v>
      </c>
      <c r="B233" s="291" t="str">
        <f>'A) Base RI'!B235</f>
        <v>Corcelles-le-Jorat</v>
      </c>
      <c r="C233" s="10">
        <f>'B) D RI'!Y235</f>
        <v>91009.600000000006</v>
      </c>
      <c r="D233" s="422">
        <f>'B) D RI'!Z235</f>
        <v>0</v>
      </c>
      <c r="E233" s="10">
        <f t="shared" si="12"/>
        <v>91009.600000000006</v>
      </c>
      <c r="F233" s="422">
        <f>'B) D RI'!U235</f>
        <v>16950.059611084645</v>
      </c>
      <c r="G233" s="265">
        <f t="shared" si="13"/>
        <v>5.3692790520030647</v>
      </c>
      <c r="H233" s="55">
        <f t="shared" si="14"/>
        <v>45504.800000000003</v>
      </c>
      <c r="I233" s="413">
        <f t="shared" si="15"/>
        <v>2.6846395260015323</v>
      </c>
    </row>
    <row r="234" spans="1:9" x14ac:dyDescent="0.25">
      <c r="A234" s="49">
        <f>'A) Base RI'!A236</f>
        <v>5788</v>
      </c>
      <c r="B234" s="291" t="str">
        <f>'A) Base RI'!B236</f>
        <v>Essertes</v>
      </c>
      <c r="C234" s="10">
        <f>'B) D RI'!Y236</f>
        <v>99328.8</v>
      </c>
      <c r="D234" s="422">
        <f>'B) D RI'!Z236</f>
        <v>0</v>
      </c>
      <c r="E234" s="10">
        <f t="shared" si="12"/>
        <v>99328.8</v>
      </c>
      <c r="F234" s="422">
        <f>'B) D RI'!U236</f>
        <v>12357.652912226366</v>
      </c>
      <c r="G234" s="265">
        <f t="shared" si="13"/>
        <v>8.0378370152900533</v>
      </c>
      <c r="H234" s="55">
        <f t="shared" si="14"/>
        <v>49664.4</v>
      </c>
      <c r="I234" s="413">
        <f t="shared" si="15"/>
        <v>4.0189185076450267</v>
      </c>
    </row>
    <row r="235" spans="1:9" x14ac:dyDescent="0.25">
      <c r="A235" s="49">
        <f>'A) Base RI'!A237</f>
        <v>5790</v>
      </c>
      <c r="B235" s="291" t="str">
        <f>'A) Base RI'!B237</f>
        <v>Maracon</v>
      </c>
      <c r="C235" s="10">
        <f>'B) D RI'!Y237</f>
        <v>237519.2</v>
      </c>
      <c r="D235" s="422">
        <f>'B) D RI'!Z237</f>
        <v>9920.6</v>
      </c>
      <c r="E235" s="10">
        <f t="shared" si="12"/>
        <v>247439.80000000002</v>
      </c>
      <c r="F235" s="422">
        <f>'B) D RI'!U237</f>
        <v>14432.201593410035</v>
      </c>
      <c r="G235" s="265">
        <f t="shared" si="13"/>
        <v>17.144979468204273</v>
      </c>
      <c r="H235" s="55">
        <f t="shared" si="14"/>
        <v>121735.78</v>
      </c>
      <c r="I235" s="413">
        <f t="shared" si="15"/>
        <v>8.4350110558036011</v>
      </c>
    </row>
    <row r="236" spans="1:9" x14ac:dyDescent="0.25">
      <c r="A236" s="49">
        <f>'A) Base RI'!A238</f>
        <v>5792</v>
      </c>
      <c r="B236" s="291" t="str">
        <f>'A) Base RI'!B238</f>
        <v>Montpreveyres</v>
      </c>
      <c r="C236" s="10">
        <f>'B) D RI'!Y238</f>
        <v>121122.75</v>
      </c>
      <c r="D236" s="422">
        <f>'B) D RI'!Z238</f>
        <v>0</v>
      </c>
      <c r="E236" s="10">
        <f t="shared" si="12"/>
        <v>121122.75</v>
      </c>
      <c r="F236" s="422">
        <f>'B) D RI'!U238</f>
        <v>20198.938593400278</v>
      </c>
      <c r="G236" s="265">
        <f t="shared" si="13"/>
        <v>5.9964908274722504</v>
      </c>
      <c r="H236" s="55">
        <f t="shared" si="14"/>
        <v>60561.375</v>
      </c>
      <c r="I236" s="413">
        <f t="shared" si="15"/>
        <v>2.9982454137361252</v>
      </c>
    </row>
    <row r="237" spans="1:9" x14ac:dyDescent="0.25">
      <c r="A237" s="49">
        <f>'A) Base RI'!A239</f>
        <v>5798</v>
      </c>
      <c r="B237" s="291" t="str">
        <f>'A) Base RI'!B239</f>
        <v>Ropraz</v>
      </c>
      <c r="C237" s="10">
        <f>'B) D RI'!Y239</f>
        <v>7406.05</v>
      </c>
      <c r="D237" s="422">
        <f>'B) D RI'!Z239</f>
        <v>15436.75</v>
      </c>
      <c r="E237" s="10">
        <f t="shared" si="12"/>
        <v>22842.799999999999</v>
      </c>
      <c r="F237" s="422">
        <f>'B) D RI'!U239</f>
        <v>14359.812261053485</v>
      </c>
      <c r="G237" s="265">
        <f t="shared" si="13"/>
        <v>1.590745030974672</v>
      </c>
      <c r="H237" s="55">
        <f t="shared" si="14"/>
        <v>8334.0499999999993</v>
      </c>
      <c r="I237" s="413">
        <f t="shared" si="15"/>
        <v>0.5803731865355588</v>
      </c>
    </row>
    <row r="238" spans="1:9" x14ac:dyDescent="0.25">
      <c r="A238" s="49">
        <f>'A) Base RI'!A240</f>
        <v>5799</v>
      </c>
      <c r="B238" s="291" t="str">
        <f>'A) Base RI'!B240</f>
        <v>Servion</v>
      </c>
      <c r="C238" s="10">
        <f>'B) D RI'!Y240</f>
        <v>437602.25</v>
      </c>
      <c r="D238" s="422">
        <f>'B) D RI'!Z240</f>
        <v>11845.95</v>
      </c>
      <c r="E238" s="10">
        <f t="shared" si="12"/>
        <v>449448.2</v>
      </c>
      <c r="F238" s="422">
        <f>'B) D RI'!U240</f>
        <v>70991.881594202918</v>
      </c>
      <c r="G238" s="265">
        <f t="shared" si="13"/>
        <v>6.330980246010288</v>
      </c>
      <c r="H238" s="55">
        <f t="shared" si="14"/>
        <v>222354.91</v>
      </c>
      <c r="I238" s="413">
        <f t="shared" si="15"/>
        <v>3.1321174338074895</v>
      </c>
    </row>
    <row r="239" spans="1:9" x14ac:dyDescent="0.25">
      <c r="A239" s="49">
        <f>'A) Base RI'!A241</f>
        <v>5803</v>
      </c>
      <c r="B239" s="291" t="str">
        <f>'A) Base RI'!B241</f>
        <v>Vulliens</v>
      </c>
      <c r="C239" s="10">
        <f>'B) D RI'!Y241</f>
        <v>20442.399999999998</v>
      </c>
      <c r="D239" s="422">
        <f>'B) D RI'!Z241</f>
        <v>0</v>
      </c>
      <c r="E239" s="10">
        <f t="shared" si="12"/>
        <v>20442.399999999998</v>
      </c>
      <c r="F239" s="422">
        <f>'B) D RI'!U241</f>
        <v>17439.644358974365</v>
      </c>
      <c r="G239" s="265">
        <f t="shared" si="13"/>
        <v>1.1721798667001158</v>
      </c>
      <c r="H239" s="55">
        <f t="shared" si="14"/>
        <v>10221.199999999999</v>
      </c>
      <c r="I239" s="413">
        <f t="shared" si="15"/>
        <v>0.58608993335005788</v>
      </c>
    </row>
    <row r="240" spans="1:9" x14ac:dyDescent="0.25">
      <c r="A240" s="49">
        <f>'A) Base RI'!A242</f>
        <v>5804</v>
      </c>
      <c r="B240" s="291" t="str">
        <f>'A) Base RI'!B242</f>
        <v>Jorat-Menthue</v>
      </c>
      <c r="C240" s="10">
        <f>'B) D RI'!Y242</f>
        <v>178430.30000000002</v>
      </c>
      <c r="D240" s="422">
        <f>'B) D RI'!Z242</f>
        <v>3973</v>
      </c>
      <c r="E240" s="10">
        <f t="shared" si="12"/>
        <v>182403.30000000002</v>
      </c>
      <c r="F240" s="422">
        <f>'B) D RI'!U242</f>
        <v>44226.697072071111</v>
      </c>
      <c r="G240" s="265">
        <f t="shared" si="13"/>
        <v>4.1242804024627606</v>
      </c>
      <c r="H240" s="55">
        <f t="shared" si="14"/>
        <v>90407.05</v>
      </c>
      <c r="I240" s="413">
        <f t="shared" si="15"/>
        <v>2.0441736775566608</v>
      </c>
    </row>
    <row r="241" spans="1:9" x14ac:dyDescent="0.25">
      <c r="A241" s="49">
        <f>'A) Base RI'!A243</f>
        <v>5805</v>
      </c>
      <c r="B241" s="291" t="str">
        <f>'A) Base RI'!B243</f>
        <v>Oron</v>
      </c>
      <c r="C241" s="10">
        <f>'B) D RI'!Y243</f>
        <v>1307175.8500000001</v>
      </c>
      <c r="D241" s="422">
        <f>'B) D RI'!Z243</f>
        <v>97651.95</v>
      </c>
      <c r="E241" s="10">
        <f t="shared" si="12"/>
        <v>1404827.8</v>
      </c>
      <c r="F241" s="422">
        <f>'B) D RI'!U243</f>
        <v>157769.23671351318</v>
      </c>
      <c r="G241" s="265">
        <f t="shared" si="13"/>
        <v>8.9043201910837055</v>
      </c>
      <c r="H241" s="55">
        <f t="shared" si="14"/>
        <v>682883.51</v>
      </c>
      <c r="I241" s="413">
        <f t="shared" si="15"/>
        <v>4.3283692323365974</v>
      </c>
    </row>
    <row r="242" spans="1:9" x14ac:dyDescent="0.25">
      <c r="A242" s="49">
        <f>'A) Base RI'!A244</f>
        <v>5806</v>
      </c>
      <c r="B242" s="291" t="str">
        <f>'A) Base RI'!B244</f>
        <v>Jorat-Mézières</v>
      </c>
      <c r="C242" s="10">
        <f>'B) D RI'!Y244</f>
        <v>340579.1</v>
      </c>
      <c r="D242" s="422">
        <f>'B) D RI'!Z244</f>
        <v>32523.45</v>
      </c>
      <c r="E242" s="10">
        <f t="shared" si="12"/>
        <v>373102.55</v>
      </c>
      <c r="F242" s="422">
        <f>'B) D RI'!U244</f>
        <v>91829.883122314393</v>
      </c>
      <c r="G242" s="265">
        <f t="shared" si="13"/>
        <v>4.0629753334547933</v>
      </c>
      <c r="H242" s="55">
        <f t="shared" si="14"/>
        <v>180046.58499999999</v>
      </c>
      <c r="I242" s="413">
        <f t="shared" si="15"/>
        <v>1.9606535354094248</v>
      </c>
    </row>
    <row r="243" spans="1:9" x14ac:dyDescent="0.25">
      <c r="A243" s="49">
        <f>'A) Base RI'!A245</f>
        <v>5812</v>
      </c>
      <c r="B243" s="291" t="str">
        <f>'A) Base RI'!B245</f>
        <v>Champtauroz</v>
      </c>
      <c r="C243" s="10">
        <f>'B) D RI'!Y245</f>
        <v>62428</v>
      </c>
      <c r="D243" s="422">
        <f>'B) D RI'!Z245</f>
        <v>0</v>
      </c>
      <c r="E243" s="10">
        <f t="shared" si="12"/>
        <v>62428</v>
      </c>
      <c r="F243" s="422">
        <f>'B) D RI'!U245</f>
        <v>3710.6575152359092</v>
      </c>
      <c r="G243" s="265">
        <f t="shared" si="13"/>
        <v>16.823972501819821</v>
      </c>
      <c r="H243" s="55">
        <f t="shared" si="14"/>
        <v>31214</v>
      </c>
      <c r="I243" s="413">
        <f t="shared" si="15"/>
        <v>8.4119862509099104</v>
      </c>
    </row>
    <row r="244" spans="1:9" x14ac:dyDescent="0.25">
      <c r="A244" s="49">
        <f>'A) Base RI'!A246</f>
        <v>5813</v>
      </c>
      <c r="B244" s="291" t="str">
        <f>'A) Base RI'!B246</f>
        <v>Chevroux</v>
      </c>
      <c r="C244" s="10">
        <f>'B) D RI'!Y246</f>
        <v>40109.300000000003</v>
      </c>
      <c r="D244" s="422">
        <f>'B) D RI'!Z246</f>
        <v>0</v>
      </c>
      <c r="E244" s="10">
        <f t="shared" si="12"/>
        <v>40109.300000000003</v>
      </c>
      <c r="F244" s="422">
        <f>'B) D RI'!U246</f>
        <v>14709.945528749027</v>
      </c>
      <c r="G244" s="265">
        <f t="shared" si="13"/>
        <v>2.7266790296137149</v>
      </c>
      <c r="H244" s="55">
        <f t="shared" si="14"/>
        <v>20054.650000000001</v>
      </c>
      <c r="I244" s="413">
        <f t="shared" si="15"/>
        <v>1.3633395148068574</v>
      </c>
    </row>
    <row r="245" spans="1:9" x14ac:dyDescent="0.25">
      <c r="A245" s="49">
        <f>'A) Base RI'!A247</f>
        <v>5816</v>
      </c>
      <c r="B245" s="291" t="str">
        <f>'A) Base RI'!B247</f>
        <v>Corcelles-près-Payerne</v>
      </c>
      <c r="C245" s="10">
        <f>'B) D RI'!Y247</f>
        <v>205537.7</v>
      </c>
      <c r="D245" s="422">
        <f>'B) D RI'!Z247</f>
        <v>19660.349999999999</v>
      </c>
      <c r="E245" s="10">
        <f t="shared" si="12"/>
        <v>225198.05000000002</v>
      </c>
      <c r="F245" s="422">
        <f>'B) D RI'!U247</f>
        <v>60414.642640490056</v>
      </c>
      <c r="G245" s="265">
        <f t="shared" si="13"/>
        <v>3.7275408768051155</v>
      </c>
      <c r="H245" s="55">
        <f t="shared" si="14"/>
        <v>108666.955</v>
      </c>
      <c r="I245" s="413">
        <f t="shared" si="15"/>
        <v>1.7986857200603734</v>
      </c>
    </row>
    <row r="246" spans="1:9" x14ac:dyDescent="0.25">
      <c r="A246" s="49">
        <f>'A) Base RI'!A248</f>
        <v>5817</v>
      </c>
      <c r="B246" s="291" t="str">
        <f>'A) Base RI'!B248</f>
        <v>Grandcour</v>
      </c>
      <c r="C246" s="10">
        <f>'B) D RI'!Y248</f>
        <v>47933.649999999994</v>
      </c>
      <c r="D246" s="422">
        <f>'B) D RI'!Z248</f>
        <v>0</v>
      </c>
      <c r="E246" s="10">
        <f t="shared" si="12"/>
        <v>47933.649999999994</v>
      </c>
      <c r="F246" s="422">
        <f>'B) D RI'!U248</f>
        <v>21808.970149396955</v>
      </c>
      <c r="G246" s="265">
        <f t="shared" si="13"/>
        <v>2.1978869094525044</v>
      </c>
      <c r="H246" s="55">
        <f t="shared" si="14"/>
        <v>23966.824999999997</v>
      </c>
      <c r="I246" s="413">
        <f t="shared" si="15"/>
        <v>1.0989434547262522</v>
      </c>
    </row>
    <row r="247" spans="1:9" x14ac:dyDescent="0.25">
      <c r="A247" s="49">
        <f>'A) Base RI'!A249</f>
        <v>5819</v>
      </c>
      <c r="B247" s="291" t="str">
        <f>'A) Base RI'!B249</f>
        <v>Henniez</v>
      </c>
      <c r="C247" s="10">
        <f>'B) D RI'!Y249</f>
        <v>50036.4</v>
      </c>
      <c r="D247" s="422">
        <f>'B) D RI'!Z249</f>
        <v>23421.9</v>
      </c>
      <c r="E247" s="10">
        <f t="shared" si="12"/>
        <v>73458.3</v>
      </c>
      <c r="F247" s="422">
        <f>'B) D RI'!U249</f>
        <v>11876.79478923147</v>
      </c>
      <c r="G247" s="265">
        <f t="shared" si="13"/>
        <v>6.1850272993353101</v>
      </c>
      <c r="H247" s="55">
        <f t="shared" si="14"/>
        <v>32044.77</v>
      </c>
      <c r="I247" s="413">
        <f t="shared" si="15"/>
        <v>2.6980991562685381</v>
      </c>
    </row>
    <row r="248" spans="1:9" x14ac:dyDescent="0.25">
      <c r="A248" s="49">
        <f>'A) Base RI'!A250</f>
        <v>5821</v>
      </c>
      <c r="B248" s="291" t="str">
        <f>'A) Base RI'!B250</f>
        <v>Missy</v>
      </c>
      <c r="C248" s="10">
        <f>'B) D RI'!Y250</f>
        <v>3630</v>
      </c>
      <c r="D248" s="422">
        <f>'B) D RI'!Z250</f>
        <v>0</v>
      </c>
      <c r="E248" s="10">
        <f t="shared" si="12"/>
        <v>3630</v>
      </c>
      <c r="F248" s="422">
        <f>'B) D RI'!U250</f>
        <v>8348.6455555555567</v>
      </c>
      <c r="G248" s="265">
        <f t="shared" si="13"/>
        <v>0.43480106753177922</v>
      </c>
      <c r="H248" s="55">
        <f t="shared" si="14"/>
        <v>1815</v>
      </c>
      <c r="I248" s="413">
        <f t="shared" si="15"/>
        <v>0.21740053376588961</v>
      </c>
    </row>
    <row r="249" spans="1:9" x14ac:dyDescent="0.25">
      <c r="A249" s="49">
        <f>'A) Base RI'!A251</f>
        <v>5822</v>
      </c>
      <c r="B249" s="291" t="str">
        <f>'A) Base RI'!B251</f>
        <v>Payerne</v>
      </c>
      <c r="C249" s="10">
        <f>'B) D RI'!Y251</f>
        <v>1169158.3999999999</v>
      </c>
      <c r="D249" s="422">
        <f>'B) D RI'!Z251</f>
        <v>76138.3</v>
      </c>
      <c r="E249" s="10">
        <f t="shared" si="12"/>
        <v>1245296.7</v>
      </c>
      <c r="F249" s="422">
        <f>'B) D RI'!U251</f>
        <v>243639.04906619081</v>
      </c>
      <c r="G249" s="265">
        <f t="shared" si="13"/>
        <v>5.1112360878640724</v>
      </c>
      <c r="H249" s="55">
        <f t="shared" si="14"/>
        <v>607420.68999999994</v>
      </c>
      <c r="I249" s="413">
        <f t="shared" si="15"/>
        <v>2.4931171432826371</v>
      </c>
    </row>
    <row r="250" spans="1:9" x14ac:dyDescent="0.25">
      <c r="A250" s="49">
        <f>'A) Base RI'!A252</f>
        <v>5827</v>
      </c>
      <c r="B250" s="291" t="str">
        <f>'A) Base RI'!B252</f>
        <v>Trey</v>
      </c>
      <c r="C250" s="10">
        <f>'B) D RI'!Y252</f>
        <v>20292.7</v>
      </c>
      <c r="D250" s="422">
        <f>'B) D RI'!Z252</f>
        <v>0</v>
      </c>
      <c r="E250" s="10">
        <f t="shared" si="12"/>
        <v>20292.7</v>
      </c>
      <c r="F250" s="422">
        <f>'B) D RI'!U252</f>
        <v>6759.3804152474768</v>
      </c>
      <c r="G250" s="265">
        <f t="shared" si="13"/>
        <v>3.0021538592834234</v>
      </c>
      <c r="H250" s="55">
        <f t="shared" si="14"/>
        <v>10146.35</v>
      </c>
      <c r="I250" s="413">
        <f t="shared" si="15"/>
        <v>1.5010769296417117</v>
      </c>
    </row>
    <row r="251" spans="1:9" x14ac:dyDescent="0.25">
      <c r="A251" s="49">
        <f>'A) Base RI'!A253</f>
        <v>5828</v>
      </c>
      <c r="B251" s="291" t="str">
        <f>'A) Base RI'!B253</f>
        <v>Treytorrens (Payerne)</v>
      </c>
      <c r="C251" s="10">
        <f>'B) D RI'!Y253</f>
        <v>31960.350000000002</v>
      </c>
      <c r="D251" s="422">
        <f>'B) D RI'!Z253</f>
        <v>0</v>
      </c>
      <c r="E251" s="10">
        <f t="shared" si="12"/>
        <v>31960.350000000002</v>
      </c>
      <c r="F251" s="422">
        <f>'B) D RI'!U253</f>
        <v>2423.0145634920641</v>
      </c>
      <c r="G251" s="265">
        <f t="shared" si="13"/>
        <v>13.190325176559625</v>
      </c>
      <c r="H251" s="55">
        <f t="shared" si="14"/>
        <v>15980.175000000001</v>
      </c>
      <c r="I251" s="413">
        <f t="shared" si="15"/>
        <v>6.5951625882798126</v>
      </c>
    </row>
    <row r="252" spans="1:9" x14ac:dyDescent="0.25">
      <c r="A252" s="49">
        <f>'A) Base RI'!A254</f>
        <v>5830</v>
      </c>
      <c r="B252" s="291" t="str">
        <f>'A) Base RI'!B254</f>
        <v>Villarzel</v>
      </c>
      <c r="C252" s="10">
        <f>'B) D RI'!Y254</f>
        <v>81625.8</v>
      </c>
      <c r="D252" s="422">
        <f>'B) D RI'!Z254</f>
        <v>0</v>
      </c>
      <c r="E252" s="10">
        <f t="shared" si="12"/>
        <v>81625.8</v>
      </c>
      <c r="F252" s="422">
        <f>'B) D RI'!U254</f>
        <v>13663.209789449775</v>
      </c>
      <c r="G252" s="265">
        <f t="shared" si="13"/>
        <v>5.974130622149155</v>
      </c>
      <c r="H252" s="55">
        <f t="shared" si="14"/>
        <v>40812.9</v>
      </c>
      <c r="I252" s="413">
        <f t="shared" si="15"/>
        <v>2.9870653110745775</v>
      </c>
    </row>
    <row r="253" spans="1:9" x14ac:dyDescent="0.25">
      <c r="A253" s="49">
        <f>'A) Base RI'!A255</f>
        <v>5831</v>
      </c>
      <c r="B253" s="291" t="str">
        <f>'A) Base RI'!B255</f>
        <v>Valbroye</v>
      </c>
      <c r="C253" s="10">
        <f>'B) D RI'!Y255</f>
        <v>577602.94999999995</v>
      </c>
      <c r="D253" s="422">
        <f>'B) D RI'!Z255</f>
        <v>21168.7</v>
      </c>
      <c r="E253" s="10">
        <f t="shared" si="12"/>
        <v>598771.64999999991</v>
      </c>
      <c r="F253" s="422">
        <f>'B) D RI'!U255</f>
        <v>90456.809812842344</v>
      </c>
      <c r="G253" s="265">
        <f t="shared" si="13"/>
        <v>6.6194203757447907</v>
      </c>
      <c r="H253" s="55">
        <f t="shared" si="14"/>
        <v>295152.08499999996</v>
      </c>
      <c r="I253" s="413">
        <f t="shared" si="15"/>
        <v>3.2629061936926345</v>
      </c>
    </row>
    <row r="254" spans="1:9" x14ac:dyDescent="0.25">
      <c r="A254" s="49">
        <f>'A) Base RI'!A256</f>
        <v>5841</v>
      </c>
      <c r="B254" s="291" t="str">
        <f>'A) Base RI'!B256</f>
        <v>Château-d'Oex</v>
      </c>
      <c r="C254" s="10">
        <f>'B) D RI'!Y256</f>
        <v>683649.7</v>
      </c>
      <c r="D254" s="422">
        <f>'B) D RI'!Z256</f>
        <v>163.25</v>
      </c>
      <c r="E254" s="10">
        <f t="shared" si="12"/>
        <v>683812.95</v>
      </c>
      <c r="F254" s="422">
        <f>'B) D RI'!U256</f>
        <v>118378.66757105118</v>
      </c>
      <c r="G254" s="265">
        <f t="shared" si="13"/>
        <v>5.7764879773593814</v>
      </c>
      <c r="H254" s="55">
        <f t="shared" si="14"/>
        <v>341873.82499999995</v>
      </c>
      <c r="I254" s="413">
        <f t="shared" si="15"/>
        <v>2.8879681788511973</v>
      </c>
    </row>
    <row r="255" spans="1:9" x14ac:dyDescent="0.25">
      <c r="A255" s="49">
        <f>'A) Base RI'!A257</f>
        <v>5842</v>
      </c>
      <c r="B255" s="291" t="str">
        <f>'A) Base RI'!B257</f>
        <v>Rossinière</v>
      </c>
      <c r="C255" s="10">
        <f>'B) D RI'!Y257</f>
        <v>47779.65</v>
      </c>
      <c r="D255" s="422">
        <f>'B) D RI'!Z257</f>
        <v>0</v>
      </c>
      <c r="E255" s="10">
        <f t="shared" si="12"/>
        <v>47779.65</v>
      </c>
      <c r="F255" s="422">
        <f>'B) D RI'!U257</f>
        <v>13768.598420203307</v>
      </c>
      <c r="G255" s="265">
        <f t="shared" si="13"/>
        <v>3.4701898146648458</v>
      </c>
      <c r="H255" s="55">
        <f t="shared" si="14"/>
        <v>23889.825000000001</v>
      </c>
      <c r="I255" s="413">
        <f t="shared" si="15"/>
        <v>1.7350949073324229</v>
      </c>
    </row>
    <row r="256" spans="1:9" x14ac:dyDescent="0.25">
      <c r="A256" s="49">
        <f>'A) Base RI'!A258</f>
        <v>5843</v>
      </c>
      <c r="B256" s="291" t="str">
        <f>'A) Base RI'!B258</f>
        <v>Rougemont</v>
      </c>
      <c r="C256" s="10">
        <f>'B) D RI'!Y258</f>
        <v>1813006.5999999999</v>
      </c>
      <c r="D256" s="422">
        <f>'B) D RI'!Z258</f>
        <v>0</v>
      </c>
      <c r="E256" s="10">
        <f t="shared" si="12"/>
        <v>1813006.5999999999</v>
      </c>
      <c r="F256" s="422">
        <f>'B) D RI'!U258</f>
        <v>85900.087382527112</v>
      </c>
      <c r="G256" s="265">
        <f t="shared" si="13"/>
        <v>21.105992499476578</v>
      </c>
      <c r="H256" s="55">
        <f t="shared" si="14"/>
        <v>906503.29999999993</v>
      </c>
      <c r="I256" s="413">
        <f t="shared" si="15"/>
        <v>10.552996249738289</v>
      </c>
    </row>
    <row r="257" spans="1:9" x14ac:dyDescent="0.25">
      <c r="A257" s="49">
        <f>'A) Base RI'!A259</f>
        <v>5851</v>
      </c>
      <c r="B257" s="291" t="str">
        <f>'A) Base RI'!B259</f>
        <v>Allaman</v>
      </c>
      <c r="C257" s="10">
        <f>'B) D RI'!Y259</f>
        <v>375193.85000000003</v>
      </c>
      <c r="D257" s="422">
        <f>'B) D RI'!Z259</f>
        <v>30894.1</v>
      </c>
      <c r="E257" s="10">
        <f t="shared" si="12"/>
        <v>406087.95</v>
      </c>
      <c r="F257" s="422">
        <f>'B) D RI'!U259</f>
        <v>23250.654215447554</v>
      </c>
      <c r="G257" s="265">
        <f t="shared" si="13"/>
        <v>17.46565693322291</v>
      </c>
      <c r="H257" s="55">
        <f t="shared" si="14"/>
        <v>196865.15500000003</v>
      </c>
      <c r="I257" s="413">
        <f t="shared" si="15"/>
        <v>8.4670802453895835</v>
      </c>
    </row>
    <row r="258" spans="1:9" x14ac:dyDescent="0.25">
      <c r="A258" s="49">
        <f>'A) Base RI'!A260</f>
        <v>5852</v>
      </c>
      <c r="B258" s="291" t="str">
        <f>'A) Base RI'!B260</f>
        <v>Bursinel</v>
      </c>
      <c r="C258" s="10">
        <f>'B) D RI'!Y260</f>
        <v>460047.9</v>
      </c>
      <c r="D258" s="422">
        <f>'B) D RI'!Z260</f>
        <v>10313.4</v>
      </c>
      <c r="E258" s="10">
        <f t="shared" si="12"/>
        <v>470361.30000000005</v>
      </c>
      <c r="F258" s="422">
        <f>'B) D RI'!U260</f>
        <v>39678.838013791166</v>
      </c>
      <c r="G258" s="265">
        <f t="shared" si="13"/>
        <v>11.854210545089972</v>
      </c>
      <c r="H258" s="55">
        <f t="shared" si="14"/>
        <v>233117.97</v>
      </c>
      <c r="I258" s="413">
        <f t="shared" si="15"/>
        <v>5.8751208873348366</v>
      </c>
    </row>
    <row r="259" spans="1:9" x14ac:dyDescent="0.25">
      <c r="A259" s="49">
        <f>'A) Base RI'!A261</f>
        <v>5853</v>
      </c>
      <c r="B259" s="291" t="str">
        <f>'A) Base RI'!B261</f>
        <v>Bursins</v>
      </c>
      <c r="C259" s="10">
        <f>'B) D RI'!Y261</f>
        <v>343183.45</v>
      </c>
      <c r="D259" s="422">
        <f>'B) D RI'!Z261</f>
        <v>31372.400000000001</v>
      </c>
      <c r="E259" s="10">
        <f t="shared" si="12"/>
        <v>374555.85000000003</v>
      </c>
      <c r="F259" s="422">
        <f>'B) D RI'!U261</f>
        <v>36264.072017403523</v>
      </c>
      <c r="G259" s="265">
        <f t="shared" si="13"/>
        <v>10.328565689485908</v>
      </c>
      <c r="H259" s="55">
        <f t="shared" si="14"/>
        <v>181003.44500000001</v>
      </c>
      <c r="I259" s="413">
        <f t="shared" si="15"/>
        <v>4.9912609073006058</v>
      </c>
    </row>
    <row r="260" spans="1:9" x14ac:dyDescent="0.25">
      <c r="A260" s="49">
        <f>'A) Base RI'!A262</f>
        <v>5854</v>
      </c>
      <c r="B260" s="291" t="str">
        <f>'A) Base RI'!B262</f>
        <v>Burtigny</v>
      </c>
      <c r="C260" s="10">
        <f>'B) D RI'!Y262</f>
        <v>193037.4</v>
      </c>
      <c r="D260" s="422">
        <f>'B) D RI'!Z262</f>
        <v>4043.85</v>
      </c>
      <c r="E260" s="10">
        <f t="shared" si="12"/>
        <v>197081.25</v>
      </c>
      <c r="F260" s="422">
        <f>'B) D RI'!U262</f>
        <v>11037.411333333333</v>
      </c>
      <c r="G260" s="265">
        <f t="shared" si="13"/>
        <v>17.855749328178824</v>
      </c>
      <c r="H260" s="55">
        <f t="shared" si="14"/>
        <v>97731.854999999996</v>
      </c>
      <c r="I260" s="413">
        <f t="shared" si="15"/>
        <v>8.8545993302656658</v>
      </c>
    </row>
    <row r="261" spans="1:9" x14ac:dyDescent="0.25">
      <c r="A261" s="49">
        <f>'A) Base RI'!A263</f>
        <v>5855</v>
      </c>
      <c r="B261" s="291" t="str">
        <f>'A) Base RI'!B263</f>
        <v>Dully</v>
      </c>
      <c r="C261" s="10">
        <f>'B) D RI'!Y263</f>
        <v>578093.44999999995</v>
      </c>
      <c r="D261" s="422">
        <f>'B) D RI'!Z263</f>
        <v>1577</v>
      </c>
      <c r="E261" s="10">
        <f t="shared" ref="E261:E312" si="16">C261+D261</f>
        <v>579670.44999999995</v>
      </c>
      <c r="F261" s="422">
        <f>'B) D RI'!U263</f>
        <v>79587.82351399264</v>
      </c>
      <c r="G261" s="265">
        <f t="shared" ref="G261:G312" si="17">E261/F261</f>
        <v>7.2834062348505597</v>
      </c>
      <c r="H261" s="55">
        <f t="shared" ref="H261:H312" si="18">(C261*$C$4)+(D261*$D$4)</f>
        <v>289519.82499999995</v>
      </c>
      <c r="I261" s="413">
        <f t="shared" ref="I261:I312" si="19">H261/F261</f>
        <v>3.637740199656275</v>
      </c>
    </row>
    <row r="262" spans="1:9" x14ac:dyDescent="0.25">
      <c r="A262" s="49">
        <f>'A) Base RI'!A264</f>
        <v>5856</v>
      </c>
      <c r="B262" s="291" t="str">
        <f>'A) Base RI'!B264</f>
        <v>Essertines-sur-Rolle</v>
      </c>
      <c r="C262" s="10">
        <f>'B) D RI'!Y264</f>
        <v>124813.79999999999</v>
      </c>
      <c r="D262" s="422">
        <f>'B) D RI'!Z264</f>
        <v>5455.65</v>
      </c>
      <c r="E262" s="10">
        <f t="shared" si="16"/>
        <v>130269.44999999998</v>
      </c>
      <c r="F262" s="422">
        <f>'B) D RI'!U264</f>
        <v>36512.686266191689</v>
      </c>
      <c r="G262" s="265">
        <f t="shared" si="17"/>
        <v>3.5677859758190622</v>
      </c>
      <c r="H262" s="55">
        <f t="shared" si="18"/>
        <v>64043.594999999994</v>
      </c>
      <c r="I262" s="413">
        <f t="shared" si="19"/>
        <v>1.7540094019130028</v>
      </c>
    </row>
    <row r="263" spans="1:9" x14ac:dyDescent="0.25">
      <c r="A263" s="49">
        <f>'A) Base RI'!A265</f>
        <v>5857</v>
      </c>
      <c r="B263" s="291" t="str">
        <f>'A) Base RI'!B265</f>
        <v>Gilly</v>
      </c>
      <c r="C263" s="10">
        <f>'B) D RI'!Y265</f>
        <v>426783.94999999995</v>
      </c>
      <c r="D263" s="422">
        <f>'B) D RI'!Z265</f>
        <v>68107.399999999994</v>
      </c>
      <c r="E263" s="10">
        <f t="shared" si="16"/>
        <v>494891.35</v>
      </c>
      <c r="F263" s="422">
        <f>'B) D RI'!U265</f>
        <v>85445.15246923732</v>
      </c>
      <c r="G263" s="265">
        <f t="shared" si="17"/>
        <v>5.7919183909019871</v>
      </c>
      <c r="H263" s="55">
        <f t="shared" si="18"/>
        <v>233824.19499999998</v>
      </c>
      <c r="I263" s="413">
        <f t="shared" si="19"/>
        <v>2.7365413747044727</v>
      </c>
    </row>
    <row r="264" spans="1:9" x14ac:dyDescent="0.25">
      <c r="A264" s="49">
        <f>'A) Base RI'!A266</f>
        <v>5858</v>
      </c>
      <c r="B264" s="291" t="str">
        <f>'A) Base RI'!B266</f>
        <v>Luins</v>
      </c>
      <c r="C264" s="10">
        <f>'B) D RI'!Y266</f>
        <v>48139.25</v>
      </c>
      <c r="D264" s="422">
        <f>'B) D RI'!Z266</f>
        <v>2969.1</v>
      </c>
      <c r="E264" s="10">
        <f t="shared" si="16"/>
        <v>51108.35</v>
      </c>
      <c r="F264" s="422">
        <f>'B) D RI'!U266</f>
        <v>46686.611465586961</v>
      </c>
      <c r="G264" s="265">
        <f t="shared" si="17"/>
        <v>1.0947110616000122</v>
      </c>
      <c r="H264" s="55">
        <f t="shared" si="18"/>
        <v>24960.355</v>
      </c>
      <c r="I264" s="413">
        <f t="shared" si="19"/>
        <v>0.53463625258814207</v>
      </c>
    </row>
    <row r="265" spans="1:9" x14ac:dyDescent="0.25">
      <c r="A265" s="49">
        <f>'A) Base RI'!A267</f>
        <v>5859</v>
      </c>
      <c r="B265" s="291" t="str">
        <f>'A) Base RI'!B267</f>
        <v>Mont-sur-Rolle</v>
      </c>
      <c r="C265" s="10">
        <f>'B) D RI'!Y267</f>
        <v>1302566.6499999999</v>
      </c>
      <c r="D265" s="422">
        <f>'B) D RI'!Z267</f>
        <v>89553.8</v>
      </c>
      <c r="E265" s="10">
        <f t="shared" si="16"/>
        <v>1392120.45</v>
      </c>
      <c r="F265" s="422">
        <f>'B) D RI'!U267</f>
        <v>136353.72580116385</v>
      </c>
      <c r="G265" s="265">
        <f t="shared" si="17"/>
        <v>10.20962530961598</v>
      </c>
      <c r="H265" s="55">
        <f t="shared" si="18"/>
        <v>678149.46499999997</v>
      </c>
      <c r="I265" s="413">
        <f t="shared" si="19"/>
        <v>4.9734575349184302</v>
      </c>
    </row>
    <row r="266" spans="1:9" x14ac:dyDescent="0.25">
      <c r="A266" s="49">
        <f>'A) Base RI'!A268</f>
        <v>5860</v>
      </c>
      <c r="B266" s="291" t="str">
        <f>'A) Base RI'!B268</f>
        <v>Perroy</v>
      </c>
      <c r="C266" s="10">
        <f>'B) D RI'!Y268</f>
        <v>466294.8</v>
      </c>
      <c r="D266" s="422">
        <f>'B) D RI'!Z268</f>
        <v>29086.45</v>
      </c>
      <c r="E266" s="10">
        <f t="shared" si="16"/>
        <v>495381.25</v>
      </c>
      <c r="F266" s="422">
        <f>'B) D RI'!U268</f>
        <v>102639.35399012771</v>
      </c>
      <c r="G266" s="265">
        <f t="shared" si="17"/>
        <v>4.8264260319452896</v>
      </c>
      <c r="H266" s="55">
        <f t="shared" si="18"/>
        <v>241873.33499999999</v>
      </c>
      <c r="I266" s="413">
        <f t="shared" si="19"/>
        <v>2.3565360224623433</v>
      </c>
    </row>
    <row r="267" spans="1:9" x14ac:dyDescent="0.25">
      <c r="A267" s="49">
        <f>'A) Base RI'!A269</f>
        <v>5861</v>
      </c>
      <c r="B267" s="291" t="str">
        <f>'A) Base RI'!B269</f>
        <v>Rolle</v>
      </c>
      <c r="C267" s="10">
        <f>'B) D RI'!Y269</f>
        <v>2618981.1999999997</v>
      </c>
      <c r="D267" s="422">
        <f>'B) D RI'!Z269</f>
        <v>598198.19999999995</v>
      </c>
      <c r="E267" s="10">
        <f t="shared" si="16"/>
        <v>3217179.3999999994</v>
      </c>
      <c r="F267" s="422">
        <f>'B) D RI'!U269</f>
        <v>542281.32528677804</v>
      </c>
      <c r="G267" s="265">
        <f t="shared" si="17"/>
        <v>5.9326759930348665</v>
      </c>
      <c r="H267" s="55">
        <f t="shared" si="18"/>
        <v>1488950.0599999998</v>
      </c>
      <c r="I267" s="413">
        <f t="shared" si="19"/>
        <v>2.7457151676993283</v>
      </c>
    </row>
    <row r="268" spans="1:9" x14ac:dyDescent="0.25">
      <c r="A268" s="49">
        <f>'A) Base RI'!A270</f>
        <v>5862</v>
      </c>
      <c r="B268" s="291" t="str">
        <f>'A) Base RI'!B270</f>
        <v>Tartegnin</v>
      </c>
      <c r="C268" s="10">
        <f>'B) D RI'!Y270</f>
        <v>3733.3</v>
      </c>
      <c r="D268" s="422">
        <f>'B) D RI'!Z270</f>
        <v>4147.8</v>
      </c>
      <c r="E268" s="10">
        <f t="shared" si="16"/>
        <v>7881.1</v>
      </c>
      <c r="F268" s="422">
        <f>'B) D RI'!U270</f>
        <v>10952.855675530331</v>
      </c>
      <c r="G268" s="265">
        <f t="shared" si="17"/>
        <v>0.71954750737810691</v>
      </c>
      <c r="H268" s="55">
        <f t="shared" si="18"/>
        <v>3110.99</v>
      </c>
      <c r="I268" s="413">
        <f t="shared" si="19"/>
        <v>0.28403460176602457</v>
      </c>
    </row>
    <row r="269" spans="1:9" x14ac:dyDescent="0.25">
      <c r="A269" s="49">
        <f>'A) Base RI'!A271</f>
        <v>5863</v>
      </c>
      <c r="B269" s="291" t="str">
        <f>'A) Base RI'!B271</f>
        <v>Vinzel</v>
      </c>
      <c r="C269" s="10">
        <f>'B) D RI'!Y271</f>
        <v>88043.7</v>
      </c>
      <c r="D269" s="422">
        <f>'B) D RI'!Z271</f>
        <v>16833.150000000001</v>
      </c>
      <c r="E269" s="10">
        <f t="shared" si="16"/>
        <v>104876.85</v>
      </c>
      <c r="F269" s="422">
        <f>'B) D RI'!U271</f>
        <v>17853.344314731814</v>
      </c>
      <c r="G269" s="265">
        <f t="shared" si="17"/>
        <v>5.8743531828633433</v>
      </c>
      <c r="H269" s="55">
        <f t="shared" si="18"/>
        <v>49071.794999999998</v>
      </c>
      <c r="I269" s="413">
        <f t="shared" si="19"/>
        <v>2.7486051988314624</v>
      </c>
    </row>
    <row r="270" spans="1:9" x14ac:dyDescent="0.25">
      <c r="A270" s="49">
        <f>'A) Base RI'!A272</f>
        <v>5871</v>
      </c>
      <c r="B270" s="291" t="str">
        <f>'A) Base RI'!B272</f>
        <v>L'Abbaye</v>
      </c>
      <c r="C270" s="10">
        <f>'B) D RI'!Y272</f>
        <v>266984.44999999995</v>
      </c>
      <c r="D270" s="422">
        <f>'B) D RI'!Z272</f>
        <v>654987.30000000005</v>
      </c>
      <c r="E270" s="10">
        <f t="shared" si="16"/>
        <v>921971.75</v>
      </c>
      <c r="F270" s="422">
        <f>'B) D RI'!U272</f>
        <v>46407.687824597124</v>
      </c>
      <c r="G270" s="265">
        <f t="shared" si="17"/>
        <v>19.866789172619242</v>
      </c>
      <c r="H270" s="55">
        <f t="shared" si="18"/>
        <v>329988.41499999998</v>
      </c>
      <c r="I270" s="413">
        <f t="shared" si="19"/>
        <v>7.1106411559918019</v>
      </c>
    </row>
    <row r="271" spans="1:9" x14ac:dyDescent="0.25">
      <c r="A271" s="49">
        <f>'A) Base RI'!A273</f>
        <v>5872</v>
      </c>
      <c r="B271" s="291" t="str">
        <f>'A) Base RI'!B273</f>
        <v>Le Chenit</v>
      </c>
      <c r="C271" s="10">
        <f>'B) D RI'!Y273</f>
        <v>908846.15</v>
      </c>
      <c r="D271" s="422">
        <f>'B) D RI'!Z273</f>
        <v>7378758.0999999996</v>
      </c>
      <c r="E271" s="10">
        <f t="shared" si="16"/>
        <v>8287604.25</v>
      </c>
      <c r="F271" s="422">
        <f>'B) D RI'!U273</f>
        <v>253970.36617173007</v>
      </c>
      <c r="G271" s="265">
        <f t="shared" si="17"/>
        <v>32.632170339101982</v>
      </c>
      <c r="H271" s="55">
        <f t="shared" si="18"/>
        <v>2668050.5049999999</v>
      </c>
      <c r="I271" s="413">
        <f t="shared" si="19"/>
        <v>10.505361492434568</v>
      </c>
    </row>
    <row r="272" spans="1:9" x14ac:dyDescent="0.25">
      <c r="A272" s="49">
        <f>'A) Base RI'!A274</f>
        <v>5873</v>
      </c>
      <c r="B272" s="291" t="str">
        <f>'A) Base RI'!B274</f>
        <v>Le Lieu</v>
      </c>
      <c r="C272" s="10">
        <f>'B) D RI'!Y274</f>
        <v>81347.55</v>
      </c>
      <c r="D272" s="422">
        <f>'B) D RI'!Z274</f>
        <v>811975.45</v>
      </c>
      <c r="E272" s="10">
        <f t="shared" si="16"/>
        <v>893323</v>
      </c>
      <c r="F272" s="422">
        <f>'B) D RI'!U274</f>
        <v>28515.54687424951</v>
      </c>
      <c r="G272" s="265">
        <f t="shared" si="17"/>
        <v>31.327577336652816</v>
      </c>
      <c r="H272" s="55">
        <f t="shared" si="18"/>
        <v>284266.40999999997</v>
      </c>
      <c r="I272" s="413">
        <f t="shared" si="19"/>
        <v>9.9688219641581561</v>
      </c>
    </row>
    <row r="273" spans="1:9" x14ac:dyDescent="0.25">
      <c r="A273" s="49">
        <f>'A) Base RI'!A275</f>
        <v>5881</v>
      </c>
      <c r="B273" s="291" t="str">
        <f>'A) Base RI'!B275</f>
        <v>Blonay</v>
      </c>
      <c r="C273" s="10">
        <f>'B) D RI'!Y275</f>
        <v>2591224.6</v>
      </c>
      <c r="D273" s="422">
        <f>'B) D RI'!Z275</f>
        <v>152382.95000000001</v>
      </c>
      <c r="E273" s="10">
        <f t="shared" si="16"/>
        <v>2743607.5500000003</v>
      </c>
      <c r="F273" s="422">
        <f>'B) D RI'!U275</f>
        <v>355094.49330320884</v>
      </c>
      <c r="G273" s="265">
        <f t="shared" si="17"/>
        <v>7.7264153675773359</v>
      </c>
      <c r="H273" s="55">
        <f t="shared" si="18"/>
        <v>1341327.1850000001</v>
      </c>
      <c r="I273" s="413">
        <f t="shared" si="19"/>
        <v>3.7773809797007041</v>
      </c>
    </row>
    <row r="274" spans="1:9" x14ac:dyDescent="0.25">
      <c r="A274" s="49">
        <f>'A) Base RI'!A276</f>
        <v>5882</v>
      </c>
      <c r="B274" s="291" t="str">
        <f>'A) Base RI'!B276</f>
        <v>Chardonne</v>
      </c>
      <c r="C274" s="10">
        <f>'B) D RI'!Y276</f>
        <v>2330703.0499999998</v>
      </c>
      <c r="D274" s="422">
        <f>'B) D RI'!Z276</f>
        <v>12885.05</v>
      </c>
      <c r="E274" s="10">
        <f t="shared" si="16"/>
        <v>2343588.0999999996</v>
      </c>
      <c r="F274" s="422">
        <f>'B) D RI'!U276</f>
        <v>184065.71182844636</v>
      </c>
      <c r="G274" s="265">
        <f t="shared" si="17"/>
        <v>12.732344751880131</v>
      </c>
      <c r="H274" s="55">
        <f t="shared" si="18"/>
        <v>1169217.0399999998</v>
      </c>
      <c r="I274" s="413">
        <f t="shared" si="19"/>
        <v>6.3521718867973522</v>
      </c>
    </row>
    <row r="275" spans="1:9" x14ac:dyDescent="0.25">
      <c r="A275" s="49">
        <f>'A) Base RI'!A277</f>
        <v>5883</v>
      </c>
      <c r="B275" s="291" t="str">
        <f>'A) Base RI'!B277</f>
        <v>Corseaux</v>
      </c>
      <c r="C275" s="10">
        <f>'B) D RI'!Y277</f>
        <v>680397.2</v>
      </c>
      <c r="D275" s="422">
        <f>'B) D RI'!Z277</f>
        <v>2957.75</v>
      </c>
      <c r="E275" s="10">
        <f t="shared" si="16"/>
        <v>683354.95</v>
      </c>
      <c r="F275" s="422">
        <f>'B) D RI'!U277</f>
        <v>164452.64554996623</v>
      </c>
      <c r="G275" s="265">
        <f t="shared" si="17"/>
        <v>4.1553296252225618</v>
      </c>
      <c r="H275" s="55">
        <f t="shared" si="18"/>
        <v>341085.92499999999</v>
      </c>
      <c r="I275" s="413">
        <f t="shared" si="19"/>
        <v>2.0740677284900633</v>
      </c>
    </row>
    <row r="276" spans="1:9" x14ac:dyDescent="0.25">
      <c r="A276" s="49">
        <f>'A) Base RI'!A278</f>
        <v>5884</v>
      </c>
      <c r="B276" s="291" t="str">
        <f>'A) Base RI'!B278</f>
        <v>Corsier-sur-Vevey</v>
      </c>
      <c r="C276" s="10">
        <f>'B) D RI'!Y278</f>
        <v>474441.1</v>
      </c>
      <c r="D276" s="422">
        <f>'B) D RI'!Z278</f>
        <v>468496.5</v>
      </c>
      <c r="E276" s="10">
        <f t="shared" si="16"/>
        <v>942937.59999999998</v>
      </c>
      <c r="F276" s="422">
        <f>'B) D RI'!U278</f>
        <v>125116.33219250187</v>
      </c>
      <c r="G276" s="265">
        <f t="shared" si="17"/>
        <v>7.5364869116304671</v>
      </c>
      <c r="H276" s="55">
        <f t="shared" si="18"/>
        <v>377769.5</v>
      </c>
      <c r="I276" s="413">
        <f t="shared" si="19"/>
        <v>3.019346022857913</v>
      </c>
    </row>
    <row r="277" spans="1:9" x14ac:dyDescent="0.25">
      <c r="A277" s="49">
        <f>'A) Base RI'!A279</f>
        <v>5885</v>
      </c>
      <c r="B277" s="291" t="str">
        <f>'A) Base RI'!B279</f>
        <v>Jongny</v>
      </c>
      <c r="C277" s="10">
        <f>'B) D RI'!Y279</f>
        <v>586112.9</v>
      </c>
      <c r="D277" s="422">
        <f>'B) D RI'!Z279</f>
        <v>1555.2</v>
      </c>
      <c r="E277" s="10">
        <f t="shared" si="16"/>
        <v>587668.1</v>
      </c>
      <c r="F277" s="422">
        <f>'B) D RI'!U279</f>
        <v>78645.92697183101</v>
      </c>
      <c r="G277" s="265">
        <f t="shared" si="17"/>
        <v>7.4723272091444466</v>
      </c>
      <c r="H277" s="55">
        <f t="shared" si="18"/>
        <v>293523.01</v>
      </c>
      <c r="I277" s="413">
        <f t="shared" si="19"/>
        <v>3.7322086635857512</v>
      </c>
    </row>
    <row r="278" spans="1:9" x14ac:dyDescent="0.25">
      <c r="A278" s="49">
        <f>'A) Base RI'!A280</f>
        <v>5886</v>
      </c>
      <c r="B278" s="291" t="str">
        <f>'A) Base RI'!B280</f>
        <v>Montreux</v>
      </c>
      <c r="C278" s="10">
        <f>'B) D RI'!Y280</f>
        <v>15761406.199999999</v>
      </c>
      <c r="D278" s="422">
        <f>'B) D RI'!Z280</f>
        <v>768045.85</v>
      </c>
      <c r="E278" s="10">
        <f t="shared" si="16"/>
        <v>16529452.049999999</v>
      </c>
      <c r="F278" s="422">
        <f>'B) D RI'!U280</f>
        <v>1133766.4796882921</v>
      </c>
      <c r="G278" s="265">
        <f t="shared" si="17"/>
        <v>14.579238622881549</v>
      </c>
      <c r="H278" s="55">
        <f t="shared" si="18"/>
        <v>8111116.8549999995</v>
      </c>
      <c r="I278" s="413">
        <f t="shared" si="19"/>
        <v>7.1541335895113072</v>
      </c>
    </row>
    <row r="279" spans="1:9" x14ac:dyDescent="0.25">
      <c r="A279" s="49">
        <f>'A) Base RI'!A281</f>
        <v>5888</v>
      </c>
      <c r="B279" s="291" t="str">
        <f>'A) Base RI'!B281</f>
        <v>Saint-Légier-La Chiésaz</v>
      </c>
      <c r="C279" s="10">
        <f>'B) D RI'!Y281</f>
        <v>1771776.65</v>
      </c>
      <c r="D279" s="422">
        <f>'B) D RI'!Z281</f>
        <v>157043.5</v>
      </c>
      <c r="E279" s="10">
        <f t="shared" si="16"/>
        <v>1928820.15</v>
      </c>
      <c r="F279" s="422">
        <f>'B) D RI'!U281</f>
        <v>337320.4595902646</v>
      </c>
      <c r="G279" s="265">
        <f t="shared" si="17"/>
        <v>5.7180645145061568</v>
      </c>
      <c r="H279" s="55">
        <f t="shared" si="18"/>
        <v>933001.375</v>
      </c>
      <c r="I279" s="413">
        <f t="shared" si="19"/>
        <v>2.7659199093150035</v>
      </c>
    </row>
    <row r="280" spans="1:9" x14ac:dyDescent="0.25">
      <c r="A280" s="49">
        <f>'A) Base RI'!A282</f>
        <v>5889</v>
      </c>
      <c r="B280" s="291" t="str">
        <f>'A) Base RI'!B282</f>
        <v>La Tour-de-Peilz</v>
      </c>
      <c r="C280" s="10">
        <f>'B) D RI'!Y282</f>
        <v>3803098.1</v>
      </c>
      <c r="D280" s="422">
        <f>'B) D RI'!Z282</f>
        <v>177282.6</v>
      </c>
      <c r="E280" s="10">
        <f t="shared" si="16"/>
        <v>3980380.7</v>
      </c>
      <c r="F280" s="422">
        <f>'B) D RI'!U282</f>
        <v>691108.44187203015</v>
      </c>
      <c r="G280" s="265">
        <f t="shared" si="17"/>
        <v>5.7594155400825384</v>
      </c>
      <c r="H280" s="55">
        <f t="shared" si="18"/>
        <v>1954733.83</v>
      </c>
      <c r="I280" s="413">
        <f t="shared" si="19"/>
        <v>2.8284039255911022</v>
      </c>
    </row>
    <row r="281" spans="1:9" x14ac:dyDescent="0.25">
      <c r="A281" s="49">
        <f>'A) Base RI'!A283</f>
        <v>5890</v>
      </c>
      <c r="B281" s="291" t="str">
        <f>'A) Base RI'!B283</f>
        <v>Vevey</v>
      </c>
      <c r="C281" s="10">
        <f>'B) D RI'!Y283</f>
        <v>2898187.9</v>
      </c>
      <c r="D281" s="422">
        <f>'B) D RI'!Z283</f>
        <v>907414.25</v>
      </c>
      <c r="E281" s="10">
        <f t="shared" si="16"/>
        <v>3805602.15</v>
      </c>
      <c r="F281" s="422">
        <f>'B) D RI'!U283</f>
        <v>964973.50807811751</v>
      </c>
      <c r="G281" s="265">
        <f t="shared" si="17"/>
        <v>3.9437374374964964</v>
      </c>
      <c r="H281" s="55">
        <f t="shared" si="18"/>
        <v>1721318.2249999999</v>
      </c>
      <c r="I281" s="413">
        <f t="shared" si="19"/>
        <v>1.7837984261643107</v>
      </c>
    </row>
    <row r="282" spans="1:9" x14ac:dyDescent="0.25">
      <c r="A282" s="49">
        <f>'A) Base RI'!A284</f>
        <v>5891</v>
      </c>
      <c r="B282" s="291" t="str">
        <f>'A) Base RI'!B284</f>
        <v>Veytaux</v>
      </c>
      <c r="C282" s="10">
        <f>'B) D RI'!Y284</f>
        <v>221299.8</v>
      </c>
      <c r="D282" s="422">
        <f>'B) D RI'!Z284</f>
        <v>0</v>
      </c>
      <c r="E282" s="10">
        <f t="shared" si="16"/>
        <v>221299.8</v>
      </c>
      <c r="F282" s="422">
        <f>'B) D RI'!U284</f>
        <v>37035.518505817468</v>
      </c>
      <c r="G282" s="265">
        <f t="shared" si="17"/>
        <v>5.975339590972343</v>
      </c>
      <c r="H282" s="55">
        <f t="shared" si="18"/>
        <v>110649.9</v>
      </c>
      <c r="I282" s="413">
        <f t="shared" si="19"/>
        <v>2.9876697954861715</v>
      </c>
    </row>
    <row r="283" spans="1:9" x14ac:dyDescent="0.25">
      <c r="A283" s="49">
        <f>'A) Base RI'!A285</f>
        <v>5902</v>
      </c>
      <c r="B283" s="291" t="str">
        <f>'A) Base RI'!B285</f>
        <v>Belmont-sur-Yverdon</v>
      </c>
      <c r="C283" s="10">
        <f>'B) D RI'!Y285</f>
        <v>0</v>
      </c>
      <c r="D283" s="422">
        <f>'B) D RI'!Z285</f>
        <v>0</v>
      </c>
      <c r="E283" s="10">
        <f t="shared" si="16"/>
        <v>0</v>
      </c>
      <c r="F283" s="422">
        <f>'B) D RI'!U285</f>
        <v>10774.45016912473</v>
      </c>
      <c r="G283" s="265">
        <f t="shared" si="17"/>
        <v>0</v>
      </c>
      <c r="H283" s="55">
        <f t="shared" si="18"/>
        <v>0</v>
      </c>
      <c r="I283" s="413">
        <f t="shared" si="19"/>
        <v>0</v>
      </c>
    </row>
    <row r="284" spans="1:9" x14ac:dyDescent="0.25">
      <c r="A284" s="49">
        <f>'A) Base RI'!A286</f>
        <v>5903</v>
      </c>
      <c r="B284" s="291" t="str">
        <f>'A) Base RI'!B286</f>
        <v>Bioley-Magnoux</v>
      </c>
      <c r="C284" s="10">
        <f>'B) D RI'!Y286</f>
        <v>1417</v>
      </c>
      <c r="D284" s="422">
        <f>'B) D RI'!Z286</f>
        <v>22624.95</v>
      </c>
      <c r="E284" s="10">
        <f t="shared" si="16"/>
        <v>24041.95</v>
      </c>
      <c r="F284" s="422">
        <f>'B) D RI'!U286</f>
        <v>6472.6316948302874</v>
      </c>
      <c r="G284" s="265">
        <f t="shared" si="17"/>
        <v>3.7144010556328095</v>
      </c>
      <c r="H284" s="55">
        <f t="shared" si="18"/>
        <v>7495.9849999999997</v>
      </c>
      <c r="I284" s="413">
        <f t="shared" si="19"/>
        <v>1.1581046710856526</v>
      </c>
    </row>
    <row r="285" spans="1:9" x14ac:dyDescent="0.25">
      <c r="A285" s="49">
        <f>'A) Base RI'!A287</f>
        <v>5904</v>
      </c>
      <c r="B285" s="291" t="str">
        <f>'A) Base RI'!B287</f>
        <v>Chamblon</v>
      </c>
      <c r="C285" s="10">
        <f>'B) D RI'!Y287</f>
        <v>30730</v>
      </c>
      <c r="D285" s="422">
        <f>'B) D RI'!Z287</f>
        <v>36905.599999999999</v>
      </c>
      <c r="E285" s="10">
        <f t="shared" si="16"/>
        <v>67635.600000000006</v>
      </c>
      <c r="F285" s="422">
        <f>'B) D RI'!U287</f>
        <v>21968.958276290676</v>
      </c>
      <c r="G285" s="265">
        <f t="shared" si="17"/>
        <v>3.0786894466904995</v>
      </c>
      <c r="H285" s="55">
        <f t="shared" si="18"/>
        <v>26436.68</v>
      </c>
      <c r="I285" s="413">
        <f t="shared" si="19"/>
        <v>1.2033652059201632</v>
      </c>
    </row>
    <row r="286" spans="1:9" x14ac:dyDescent="0.25">
      <c r="A286" s="49">
        <f>'A) Base RI'!A288</f>
        <v>5905</v>
      </c>
      <c r="B286" s="291" t="str">
        <f>'A) Base RI'!B288</f>
        <v>Champvent</v>
      </c>
      <c r="C286" s="10">
        <f>'B) D RI'!Y288</f>
        <v>287344.40000000002</v>
      </c>
      <c r="D286" s="422">
        <f>'B) D RI'!Z288</f>
        <v>109768.55</v>
      </c>
      <c r="E286" s="10">
        <f t="shared" si="16"/>
        <v>397112.95</v>
      </c>
      <c r="F286" s="422">
        <f>'B) D RI'!U288</f>
        <v>23321.773448973479</v>
      </c>
      <c r="G286" s="265">
        <f t="shared" si="17"/>
        <v>17.027562285040514</v>
      </c>
      <c r="H286" s="55">
        <f t="shared" si="18"/>
        <v>176602.76500000001</v>
      </c>
      <c r="I286" s="413">
        <f t="shared" si="19"/>
        <v>7.5724414949144139</v>
      </c>
    </row>
    <row r="287" spans="1:9" x14ac:dyDescent="0.25">
      <c r="A287" s="49">
        <f>'A) Base RI'!A289</f>
        <v>5907</v>
      </c>
      <c r="B287" s="291" t="str">
        <f>'A) Base RI'!B289</f>
        <v>Chavannes-le-Chêne</v>
      </c>
      <c r="C287" s="10">
        <f>'B) D RI'!Y289</f>
        <v>5396.25</v>
      </c>
      <c r="D287" s="422">
        <f>'B) D RI'!Z289</f>
        <v>9367.6</v>
      </c>
      <c r="E287" s="10">
        <f t="shared" si="16"/>
        <v>14763.85</v>
      </c>
      <c r="F287" s="422">
        <f>'B) D RI'!U289</f>
        <v>9479.6278585348446</v>
      </c>
      <c r="G287" s="265">
        <f t="shared" si="17"/>
        <v>1.5574292810141892</v>
      </c>
      <c r="H287" s="55">
        <f t="shared" si="18"/>
        <v>5508.4050000000007</v>
      </c>
      <c r="I287" s="413">
        <f t="shared" si="19"/>
        <v>0.581078190220367</v>
      </c>
    </row>
    <row r="288" spans="1:9" x14ac:dyDescent="0.25">
      <c r="A288" s="49">
        <f>'A) Base RI'!A290</f>
        <v>5908</v>
      </c>
      <c r="B288" s="291" t="str">
        <f>'A) Base RI'!B290</f>
        <v>Chêne-Pâquier</v>
      </c>
      <c r="C288" s="10">
        <f>'B) D RI'!Y290</f>
        <v>4672.05</v>
      </c>
      <c r="D288" s="422">
        <f>'B) D RI'!Z290</f>
        <v>0</v>
      </c>
      <c r="E288" s="10">
        <f t="shared" si="16"/>
        <v>4672.05</v>
      </c>
      <c r="F288" s="422">
        <f>'B) D RI'!U290</f>
        <v>3375.521749976027</v>
      </c>
      <c r="G288" s="265">
        <f t="shared" si="17"/>
        <v>1.3840971399556767</v>
      </c>
      <c r="H288" s="55">
        <f t="shared" si="18"/>
        <v>2336.0250000000001</v>
      </c>
      <c r="I288" s="413">
        <f t="shared" si="19"/>
        <v>0.69204856997783837</v>
      </c>
    </row>
    <row r="289" spans="1:9" x14ac:dyDescent="0.25">
      <c r="A289" s="49">
        <f>'A) Base RI'!A291</f>
        <v>5909</v>
      </c>
      <c r="B289" s="291" t="str">
        <f>'A) Base RI'!B291</f>
        <v>Cheseaux-Noréaz</v>
      </c>
      <c r="C289" s="10">
        <f>'B) D RI'!Y291</f>
        <v>218693.15</v>
      </c>
      <c r="D289" s="422">
        <f>'B) D RI'!Z291</f>
        <v>7425.25</v>
      </c>
      <c r="E289" s="10">
        <f t="shared" si="16"/>
        <v>226118.39999999999</v>
      </c>
      <c r="F289" s="422">
        <f>'B) D RI'!U291</f>
        <v>32341.35221867514</v>
      </c>
      <c r="G289" s="265">
        <f t="shared" si="17"/>
        <v>6.9916186086192935</v>
      </c>
      <c r="H289" s="55">
        <f t="shared" si="18"/>
        <v>111574.15</v>
      </c>
      <c r="I289" s="413">
        <f t="shared" si="19"/>
        <v>3.4498913108392788</v>
      </c>
    </row>
    <row r="290" spans="1:9" x14ac:dyDescent="0.25">
      <c r="A290" s="49">
        <f>'A) Base RI'!A292</f>
        <v>5910</v>
      </c>
      <c r="B290" s="291" t="str">
        <f>'A) Base RI'!B292</f>
        <v>Cronay</v>
      </c>
      <c r="C290" s="10">
        <f>'B) D RI'!Y292</f>
        <v>153655.95000000001</v>
      </c>
      <c r="D290" s="422">
        <f>'B) D RI'!Z292</f>
        <v>0</v>
      </c>
      <c r="E290" s="10">
        <f t="shared" si="16"/>
        <v>153655.95000000001</v>
      </c>
      <c r="F290" s="422">
        <f>'B) D RI'!U292</f>
        <v>10197.986044276999</v>
      </c>
      <c r="G290" s="265">
        <f t="shared" si="17"/>
        <v>15.067283808083861</v>
      </c>
      <c r="H290" s="55">
        <f t="shared" si="18"/>
        <v>76827.975000000006</v>
      </c>
      <c r="I290" s="413">
        <f t="shared" si="19"/>
        <v>7.5336419040419305</v>
      </c>
    </row>
    <row r="291" spans="1:9" x14ac:dyDescent="0.25">
      <c r="A291" s="49">
        <f>'A) Base RI'!A293</f>
        <v>5911</v>
      </c>
      <c r="B291" s="291" t="str">
        <f>'A) Base RI'!B293</f>
        <v>Cuarny</v>
      </c>
      <c r="C291" s="10">
        <f>'B) D RI'!Y293</f>
        <v>-16178.65</v>
      </c>
      <c r="D291" s="422">
        <f>'B) D RI'!Z293</f>
        <v>1459.15</v>
      </c>
      <c r="E291" s="10">
        <f t="shared" si="16"/>
        <v>-14719.5</v>
      </c>
      <c r="F291" s="422">
        <f>'B) D RI'!U293</f>
        <v>7835.2176584022027</v>
      </c>
      <c r="G291" s="265">
        <f t="shared" si="17"/>
        <v>-1.8786331971537948</v>
      </c>
      <c r="H291" s="55">
        <f t="shared" si="18"/>
        <v>-7651.58</v>
      </c>
      <c r="I291" s="413">
        <f t="shared" si="19"/>
        <v>-0.9765625326049141</v>
      </c>
    </row>
    <row r="292" spans="1:9" x14ac:dyDescent="0.25">
      <c r="A292" s="49">
        <f>'A) Base RI'!A294</f>
        <v>5912</v>
      </c>
      <c r="B292" s="291" t="str">
        <f>'A) Base RI'!B294</f>
        <v>Démoret</v>
      </c>
      <c r="C292" s="10">
        <f>'B) D RI'!Y294</f>
        <v>0</v>
      </c>
      <c r="D292" s="422">
        <f>'B) D RI'!Z294</f>
        <v>0</v>
      </c>
      <c r="E292" s="10">
        <f t="shared" si="16"/>
        <v>0</v>
      </c>
      <c r="F292" s="422">
        <f>'B) D RI'!U294</f>
        <v>3963.3385142217253</v>
      </c>
      <c r="G292" s="265">
        <f t="shared" si="17"/>
        <v>0</v>
      </c>
      <c r="H292" s="55">
        <f t="shared" si="18"/>
        <v>0</v>
      </c>
      <c r="I292" s="413">
        <f t="shared" si="19"/>
        <v>0</v>
      </c>
    </row>
    <row r="293" spans="1:9" x14ac:dyDescent="0.25">
      <c r="A293" s="49">
        <f>'A) Base RI'!A295</f>
        <v>5913</v>
      </c>
      <c r="B293" s="291" t="str">
        <f>'A) Base RI'!B295</f>
        <v>Donneloye</v>
      </c>
      <c r="C293" s="10">
        <f>'B) D RI'!Y295</f>
        <v>151349.04999999999</v>
      </c>
      <c r="D293" s="422">
        <f>'B) D RI'!Z295</f>
        <v>24516.1</v>
      </c>
      <c r="E293" s="10">
        <f t="shared" si="16"/>
        <v>175865.15</v>
      </c>
      <c r="F293" s="422">
        <f>'B) D RI'!U295</f>
        <v>21560.051293940251</v>
      </c>
      <c r="G293" s="265">
        <f t="shared" si="17"/>
        <v>8.1569912613997033</v>
      </c>
      <c r="H293" s="55">
        <f t="shared" si="18"/>
        <v>83029.354999999996</v>
      </c>
      <c r="I293" s="413">
        <f t="shared" si="19"/>
        <v>3.8510740938420929</v>
      </c>
    </row>
    <row r="294" spans="1:9" x14ac:dyDescent="0.25">
      <c r="A294" s="49">
        <f>'A) Base RI'!A296</f>
        <v>5914</v>
      </c>
      <c r="B294" s="291" t="str">
        <f>'A) Base RI'!B296</f>
        <v>Ependes</v>
      </c>
      <c r="C294" s="10">
        <f>'B) D RI'!Y296</f>
        <v>22137.65</v>
      </c>
      <c r="D294" s="422">
        <f>'B) D RI'!Z296</f>
        <v>561.9</v>
      </c>
      <c r="E294" s="10">
        <f t="shared" si="16"/>
        <v>22699.550000000003</v>
      </c>
      <c r="F294" s="422">
        <f>'B) D RI'!U296</f>
        <v>10120.059426352072</v>
      </c>
      <c r="G294" s="265">
        <f t="shared" si="17"/>
        <v>2.2430253661249888</v>
      </c>
      <c r="H294" s="55">
        <f t="shared" si="18"/>
        <v>11237.395</v>
      </c>
      <c r="I294" s="413">
        <f t="shared" si="19"/>
        <v>1.1104080051880376</v>
      </c>
    </row>
    <row r="295" spans="1:9" x14ac:dyDescent="0.25">
      <c r="A295" s="49">
        <f>'A) Base RI'!A297</f>
        <v>5919</v>
      </c>
      <c r="B295" s="291" t="str">
        <f>'A) Base RI'!B297</f>
        <v>Mathod</v>
      </c>
      <c r="C295" s="10">
        <f>'B) D RI'!Y297</f>
        <v>58342.35</v>
      </c>
      <c r="D295" s="422">
        <f>'B) D RI'!Z297</f>
        <v>4963.05</v>
      </c>
      <c r="E295" s="10">
        <f t="shared" si="16"/>
        <v>63305.4</v>
      </c>
      <c r="F295" s="422">
        <f>'B) D RI'!U297</f>
        <v>17424.35283843397</v>
      </c>
      <c r="G295" s="265">
        <f t="shared" si="17"/>
        <v>3.6331564556224651</v>
      </c>
      <c r="H295" s="55">
        <f t="shared" si="18"/>
        <v>30660.09</v>
      </c>
      <c r="I295" s="413">
        <f t="shared" si="19"/>
        <v>1.7596114061907164</v>
      </c>
    </row>
    <row r="296" spans="1:9" x14ac:dyDescent="0.25">
      <c r="A296" s="49">
        <f>'A) Base RI'!A298</f>
        <v>5921</v>
      </c>
      <c r="B296" s="291" t="str">
        <f>'A) Base RI'!B298</f>
        <v>Molondin</v>
      </c>
      <c r="C296" s="10">
        <f>'B) D RI'!Y298</f>
        <v>43210.3</v>
      </c>
      <c r="D296" s="422">
        <f>'B) D RI'!Z298</f>
        <v>0</v>
      </c>
      <c r="E296" s="10">
        <f t="shared" si="16"/>
        <v>43210.3</v>
      </c>
      <c r="F296" s="422">
        <f>'B) D RI'!U298</f>
        <v>5647.9358760030909</v>
      </c>
      <c r="G296" s="265">
        <f t="shared" si="17"/>
        <v>7.6506357275746728</v>
      </c>
      <c r="H296" s="55">
        <f t="shared" si="18"/>
        <v>21605.15</v>
      </c>
      <c r="I296" s="413">
        <f t="shared" si="19"/>
        <v>3.8253178637873364</v>
      </c>
    </row>
    <row r="297" spans="1:9" x14ac:dyDescent="0.25">
      <c r="A297" s="49">
        <f>'A) Base RI'!A299</f>
        <v>5922</v>
      </c>
      <c r="B297" s="291" t="str">
        <f>'A) Base RI'!B299</f>
        <v>Montagny-près-Yverdon</v>
      </c>
      <c r="C297" s="10">
        <f>'B) D RI'!Y299</f>
        <v>208490.5</v>
      </c>
      <c r="D297" s="422">
        <f>'B) D RI'!Z299</f>
        <v>195665</v>
      </c>
      <c r="E297" s="10">
        <f t="shared" si="16"/>
        <v>404155.5</v>
      </c>
      <c r="F297" s="422">
        <f>'B) D RI'!U299</f>
        <v>35984.463355398897</v>
      </c>
      <c r="G297" s="265">
        <f t="shared" si="17"/>
        <v>11.231388836020056</v>
      </c>
      <c r="H297" s="55">
        <f t="shared" si="18"/>
        <v>162944.75</v>
      </c>
      <c r="I297" s="413">
        <f t="shared" si="19"/>
        <v>4.5281973053393534</v>
      </c>
    </row>
    <row r="298" spans="1:9" x14ac:dyDescent="0.25">
      <c r="A298" s="49">
        <f>'A) Base RI'!A300</f>
        <v>5923</v>
      </c>
      <c r="B298" s="291" t="str">
        <f>'A) Base RI'!B300</f>
        <v>Oppens</v>
      </c>
      <c r="C298" s="10">
        <f>'B) D RI'!Y300</f>
        <v>16786.8</v>
      </c>
      <c r="D298" s="422">
        <f>'B) D RI'!Z300</f>
        <v>19625.8</v>
      </c>
      <c r="E298" s="10">
        <f t="shared" si="16"/>
        <v>36412.6</v>
      </c>
      <c r="F298" s="422">
        <f>'B) D RI'!U300</f>
        <v>5389.7298551743424</v>
      </c>
      <c r="G298" s="265">
        <f t="shared" si="17"/>
        <v>6.7559230199715001</v>
      </c>
      <c r="H298" s="55">
        <f t="shared" si="18"/>
        <v>14281.14</v>
      </c>
      <c r="I298" s="413">
        <f t="shared" si="19"/>
        <v>2.6496949538740928</v>
      </c>
    </row>
    <row r="299" spans="1:9" x14ac:dyDescent="0.25">
      <c r="A299" s="49">
        <f>'A) Base RI'!A301</f>
        <v>5924</v>
      </c>
      <c r="B299" s="291" t="str">
        <f>'A) Base RI'!B301</f>
        <v>Orges</v>
      </c>
      <c r="C299" s="10">
        <f>'B) D RI'!Y301</f>
        <v>89233.450000000012</v>
      </c>
      <c r="D299" s="422">
        <f>'B) D RI'!Z301</f>
        <v>10554.8</v>
      </c>
      <c r="E299" s="10">
        <f t="shared" si="16"/>
        <v>99788.250000000015</v>
      </c>
      <c r="F299" s="422">
        <f>'B) D RI'!U301</f>
        <v>11865.812404035813</v>
      </c>
      <c r="G299" s="265">
        <f t="shared" si="17"/>
        <v>8.4097275940465686</v>
      </c>
      <c r="H299" s="55">
        <f t="shared" si="18"/>
        <v>47783.165000000008</v>
      </c>
      <c r="I299" s="413">
        <f t="shared" si="19"/>
        <v>4.0269611024482357</v>
      </c>
    </row>
    <row r="300" spans="1:9" x14ac:dyDescent="0.25">
      <c r="A300" s="49">
        <f>'A) Base RI'!A302</f>
        <v>5925</v>
      </c>
      <c r="B300" s="291" t="str">
        <f>'A) Base RI'!B302</f>
        <v>Orzens</v>
      </c>
      <c r="C300" s="10">
        <f>'B) D RI'!Y302</f>
        <v>185278.1</v>
      </c>
      <c r="D300" s="422">
        <f>'B) D RI'!Z302</f>
        <v>9065.0499999999993</v>
      </c>
      <c r="E300" s="10">
        <f t="shared" si="16"/>
        <v>194343.15</v>
      </c>
      <c r="F300" s="422">
        <f>'B) D RI'!U302</f>
        <v>5342.7421425482316</v>
      </c>
      <c r="G300" s="265">
        <f t="shared" si="17"/>
        <v>36.375169307217895</v>
      </c>
      <c r="H300" s="55">
        <f t="shared" si="18"/>
        <v>95358.565000000002</v>
      </c>
      <c r="I300" s="413">
        <f t="shared" si="19"/>
        <v>17.848243927137862</v>
      </c>
    </row>
    <row r="301" spans="1:9" x14ac:dyDescent="0.25">
      <c r="A301" s="49">
        <f>'A) Base RI'!A303</f>
        <v>5926</v>
      </c>
      <c r="B301" s="291" t="str">
        <f>'A) Base RI'!B303</f>
        <v>Pomy</v>
      </c>
      <c r="C301" s="10">
        <f>'B) D RI'!Y303</f>
        <v>92997.5</v>
      </c>
      <c r="D301" s="422">
        <f>'B) D RI'!Z303</f>
        <v>2452.3000000000002</v>
      </c>
      <c r="E301" s="10">
        <f t="shared" si="16"/>
        <v>95449.8</v>
      </c>
      <c r="F301" s="422">
        <f>'B) D RI'!U303</f>
        <v>27482.214843455455</v>
      </c>
      <c r="G301" s="265">
        <f t="shared" si="17"/>
        <v>3.4731480174979485</v>
      </c>
      <c r="H301" s="55">
        <f t="shared" si="18"/>
        <v>47234.44</v>
      </c>
      <c r="I301" s="413">
        <f t="shared" si="19"/>
        <v>1.7187275577699042</v>
      </c>
    </row>
    <row r="302" spans="1:9" x14ac:dyDescent="0.25">
      <c r="A302" s="49">
        <f>'A) Base RI'!A304</f>
        <v>5928</v>
      </c>
      <c r="B302" s="291" t="str">
        <f>'A) Base RI'!B304</f>
        <v>Rovray</v>
      </c>
      <c r="C302" s="10">
        <f>'B) D RI'!Y304</f>
        <v>55158.9</v>
      </c>
      <c r="D302" s="422">
        <f>'B) D RI'!Z304</f>
        <v>3733</v>
      </c>
      <c r="E302" s="10">
        <f t="shared" si="16"/>
        <v>58891.9</v>
      </c>
      <c r="F302" s="422">
        <f>'B) D RI'!U304</f>
        <v>6003.0944827326612</v>
      </c>
      <c r="G302" s="265">
        <f t="shared" si="17"/>
        <v>9.8102570548234809</v>
      </c>
      <c r="H302" s="55">
        <f t="shared" si="18"/>
        <v>28699.350000000002</v>
      </c>
      <c r="I302" s="413">
        <f t="shared" si="19"/>
        <v>4.780759337130374</v>
      </c>
    </row>
    <row r="303" spans="1:9" x14ac:dyDescent="0.25">
      <c r="A303" s="49">
        <f>'A) Base RI'!A305</f>
        <v>5929</v>
      </c>
      <c r="B303" s="291" t="str">
        <f>'A) Base RI'!B305</f>
        <v>Suchy</v>
      </c>
      <c r="C303" s="10">
        <f>'B) D RI'!Y305</f>
        <v>207556.65000000002</v>
      </c>
      <c r="D303" s="422">
        <f>'B) D RI'!Z305</f>
        <v>7224.65</v>
      </c>
      <c r="E303" s="10">
        <f t="shared" si="16"/>
        <v>214781.30000000002</v>
      </c>
      <c r="F303" s="422">
        <f>'B) D RI'!U305</f>
        <v>17215.501466609803</v>
      </c>
      <c r="G303" s="265">
        <f t="shared" si="17"/>
        <v>12.476040876100965</v>
      </c>
      <c r="H303" s="55">
        <f t="shared" si="18"/>
        <v>105945.72000000002</v>
      </c>
      <c r="I303" s="413">
        <f t="shared" si="19"/>
        <v>6.1540885233861031</v>
      </c>
    </row>
    <row r="304" spans="1:9" x14ac:dyDescent="0.25">
      <c r="A304" s="49">
        <f>'A) Base RI'!A306</f>
        <v>5930</v>
      </c>
      <c r="B304" s="291" t="str">
        <f>'A) Base RI'!B306</f>
        <v>Suscévaz</v>
      </c>
      <c r="C304" s="10">
        <f>'B) D RI'!Y306</f>
        <v>2701.4</v>
      </c>
      <c r="D304" s="422">
        <f>'B) D RI'!Z306</f>
        <v>0</v>
      </c>
      <c r="E304" s="10">
        <f t="shared" si="16"/>
        <v>2701.4</v>
      </c>
      <c r="F304" s="422">
        <f>'B) D RI'!U306</f>
        <v>5858.9969932954782</v>
      </c>
      <c r="G304" s="265">
        <f t="shared" si="17"/>
        <v>0.46106867832348181</v>
      </c>
      <c r="H304" s="55">
        <f t="shared" si="18"/>
        <v>1350.7</v>
      </c>
      <c r="I304" s="413">
        <f t="shared" si="19"/>
        <v>0.2305343391617409</v>
      </c>
    </row>
    <row r="305" spans="1:9" x14ac:dyDescent="0.25">
      <c r="A305" s="49">
        <f>'A) Base RI'!A307</f>
        <v>5931</v>
      </c>
      <c r="B305" s="291" t="str">
        <f>'A) Base RI'!B307</f>
        <v>Treycovagnes</v>
      </c>
      <c r="C305" s="10">
        <f>'B) D RI'!Y307</f>
        <v>42338.3</v>
      </c>
      <c r="D305" s="422">
        <f>'B) D RI'!Z307</f>
        <v>5790.35</v>
      </c>
      <c r="E305" s="10">
        <f t="shared" si="16"/>
        <v>48128.65</v>
      </c>
      <c r="F305" s="422">
        <f>'B) D RI'!U307</f>
        <v>12172.811234031555</v>
      </c>
      <c r="G305" s="265">
        <f t="shared" si="17"/>
        <v>3.9537826615964136</v>
      </c>
      <c r="H305" s="55">
        <f t="shared" si="18"/>
        <v>22906.255000000001</v>
      </c>
      <c r="I305" s="413">
        <f t="shared" si="19"/>
        <v>1.8817555418883793</v>
      </c>
    </row>
    <row r="306" spans="1:9" x14ac:dyDescent="0.25">
      <c r="A306" s="49">
        <f>'A) Base RI'!A308</f>
        <v>5932</v>
      </c>
      <c r="B306" s="291" t="str">
        <f>'A) Base RI'!B308</f>
        <v>Ursins</v>
      </c>
      <c r="C306" s="10">
        <f>'B) D RI'!Y308</f>
        <v>46523.75</v>
      </c>
      <c r="D306" s="422">
        <f>'B) D RI'!Z308</f>
        <v>0</v>
      </c>
      <c r="E306" s="10">
        <f t="shared" si="16"/>
        <v>46523.75</v>
      </c>
      <c r="F306" s="422">
        <f>'B) D RI'!U308</f>
        <v>8276.7755150217381</v>
      </c>
      <c r="G306" s="265">
        <f t="shared" si="17"/>
        <v>5.6209993753681999</v>
      </c>
      <c r="H306" s="55">
        <f t="shared" si="18"/>
        <v>23261.875</v>
      </c>
      <c r="I306" s="413">
        <f t="shared" si="19"/>
        <v>2.8104996876841</v>
      </c>
    </row>
    <row r="307" spans="1:9" x14ac:dyDescent="0.25">
      <c r="A307" s="49">
        <f>'A) Base RI'!A309</f>
        <v>5933</v>
      </c>
      <c r="B307" s="291" t="str">
        <f>'A) Base RI'!B309</f>
        <v>Valeyres-sous-Montagny</v>
      </c>
      <c r="C307" s="10">
        <f>'B) D RI'!Y309</f>
        <v>126075.29999999999</v>
      </c>
      <c r="D307" s="422">
        <f>'B) D RI'!Z309</f>
        <v>18184.05</v>
      </c>
      <c r="E307" s="10">
        <f t="shared" si="16"/>
        <v>144259.34999999998</v>
      </c>
      <c r="F307" s="422">
        <f>'B) D RI'!U309</f>
        <v>22088.929559782136</v>
      </c>
      <c r="G307" s="265">
        <f t="shared" si="17"/>
        <v>6.5308438604764518</v>
      </c>
      <c r="H307" s="55">
        <f t="shared" si="18"/>
        <v>68492.864999999991</v>
      </c>
      <c r="I307" s="413">
        <f t="shared" si="19"/>
        <v>3.1007779174916044</v>
      </c>
    </row>
    <row r="308" spans="1:9" x14ac:dyDescent="0.25">
      <c r="A308" s="49">
        <f>'A) Base RI'!A310</f>
        <v>5934</v>
      </c>
      <c r="B308" s="291" t="str">
        <f>'A) Base RI'!B310</f>
        <v>Valeyres-sous-Ursins</v>
      </c>
      <c r="C308" s="10">
        <f>'B) D RI'!Y310</f>
        <v>37518.350000000006</v>
      </c>
      <c r="D308" s="422">
        <f>'B) D RI'!Z310</f>
        <v>0</v>
      </c>
      <c r="E308" s="10">
        <f t="shared" si="16"/>
        <v>37518.350000000006</v>
      </c>
      <c r="F308" s="422">
        <f>'B) D RI'!U310</f>
        <v>7547.3165822784813</v>
      </c>
      <c r="G308" s="265">
        <f t="shared" si="17"/>
        <v>4.9710847015607076</v>
      </c>
      <c r="H308" s="55">
        <f t="shared" si="18"/>
        <v>18759.175000000003</v>
      </c>
      <c r="I308" s="413">
        <f t="shared" si="19"/>
        <v>2.4855423507803538</v>
      </c>
    </row>
    <row r="309" spans="1:9" x14ac:dyDescent="0.25">
      <c r="A309" s="49">
        <f>'A) Base RI'!A311</f>
        <v>5935</v>
      </c>
      <c r="B309" s="291" t="str">
        <f>'A) Base RI'!B311</f>
        <v>Villars-Epeney</v>
      </c>
      <c r="C309" s="10">
        <f>'B) D RI'!Y311</f>
        <v>1100</v>
      </c>
      <c r="D309" s="422">
        <f>'B) D RI'!Z311</f>
        <v>0</v>
      </c>
      <c r="E309" s="10">
        <f t="shared" si="16"/>
        <v>1100</v>
      </c>
      <c r="F309" s="422">
        <f>'B) D RI'!U311</f>
        <v>4852.8368333333328</v>
      </c>
      <c r="G309" s="265">
        <f t="shared" si="17"/>
        <v>0.22667154033374501</v>
      </c>
      <c r="H309" s="55">
        <f t="shared" si="18"/>
        <v>550</v>
      </c>
      <c r="I309" s="413">
        <f t="shared" si="19"/>
        <v>0.1133357701668725</v>
      </c>
    </row>
    <row r="310" spans="1:9" x14ac:dyDescent="0.25">
      <c r="A310" s="49">
        <f>'A) Base RI'!A312</f>
        <v>5937</v>
      </c>
      <c r="B310" s="291" t="str">
        <f>'A) Base RI'!B312</f>
        <v>Vugelles-La Mothe</v>
      </c>
      <c r="C310" s="10">
        <f>'B) D RI'!Y312</f>
        <v>33137</v>
      </c>
      <c r="D310" s="422">
        <f>'B) D RI'!Z312</f>
        <v>2191.85</v>
      </c>
      <c r="E310" s="10">
        <f t="shared" si="16"/>
        <v>35328.85</v>
      </c>
      <c r="F310" s="422">
        <f>'B) D RI'!U312</f>
        <v>3013.5893429156713</v>
      </c>
      <c r="G310" s="265">
        <f t="shared" si="17"/>
        <v>11.723179896109885</v>
      </c>
      <c r="H310" s="55">
        <f t="shared" si="18"/>
        <v>17226.055</v>
      </c>
      <c r="I310" s="413">
        <f t="shared" si="19"/>
        <v>5.7161255366445038</v>
      </c>
    </row>
    <row r="311" spans="1:9" x14ac:dyDescent="0.25">
      <c r="A311" s="49">
        <f>'A) Base RI'!A313</f>
        <v>5938</v>
      </c>
      <c r="B311" s="291" t="str">
        <f>'A) Base RI'!B313</f>
        <v>Yverdon-les-Bains</v>
      </c>
      <c r="C311" s="10">
        <f>'B) D RI'!Y313</f>
        <v>3851037.3499999996</v>
      </c>
      <c r="D311" s="422">
        <f>'B) D RI'!Z313</f>
        <v>4210979.75</v>
      </c>
      <c r="E311" s="10">
        <f t="shared" si="16"/>
        <v>8062017.0999999996</v>
      </c>
      <c r="F311" s="422">
        <f>'B) D RI'!U313</f>
        <v>781659.36856013921</v>
      </c>
      <c r="G311" s="265">
        <f t="shared" si="17"/>
        <v>10.313977448835152</v>
      </c>
      <c r="H311" s="55">
        <f t="shared" si="18"/>
        <v>3188812.5999999996</v>
      </c>
      <c r="I311" s="413">
        <f t="shared" si="19"/>
        <v>4.079542481367521</v>
      </c>
    </row>
    <row r="312" spans="1:9" x14ac:dyDescent="0.25">
      <c r="A312" s="49">
        <f>'A) Base RI'!A314</f>
        <v>5939</v>
      </c>
      <c r="B312" s="291" t="str">
        <f>'A) Base RI'!B314</f>
        <v>Yvonand</v>
      </c>
      <c r="C312" s="423">
        <f>'B) D RI'!Y314</f>
        <v>1224553.45</v>
      </c>
      <c r="D312" s="422">
        <f>'B) D RI'!Z314</f>
        <v>140392.6</v>
      </c>
      <c r="E312" s="10">
        <f t="shared" si="16"/>
        <v>1364946.05</v>
      </c>
      <c r="F312" s="422">
        <f>'B) D RI'!U314</f>
        <v>95019.586686348848</v>
      </c>
      <c r="G312" s="265">
        <f t="shared" si="17"/>
        <v>14.364891467119982</v>
      </c>
      <c r="H312" s="55">
        <f t="shared" si="18"/>
        <v>654394.505</v>
      </c>
      <c r="I312" s="413">
        <f t="shared" si="19"/>
        <v>6.8869432905459558</v>
      </c>
    </row>
    <row r="313" spans="1:9" x14ac:dyDescent="0.25">
      <c r="A313" s="372"/>
      <c r="B313" s="432">
        <f>COUNTA(B5:B312)</f>
        <v>308</v>
      </c>
      <c r="C313" s="119">
        <f>SUM(C5:C312)</f>
        <v>227243346.37000009</v>
      </c>
      <c r="D313" s="11">
        <f>SUM(D5:D312)</f>
        <v>71803023.849999994</v>
      </c>
      <c r="E313" s="11">
        <f>SUM(E5:E312)</f>
        <v>299046370.21999997</v>
      </c>
      <c r="F313" s="11">
        <f>SUM(F5:F312)</f>
        <v>37080520.101833388</v>
      </c>
      <c r="G313" s="59">
        <f t="shared" ref="G313" si="20">E313/F313</f>
        <v>8.0647835952337168</v>
      </c>
      <c r="H313" s="267">
        <f>(C313*$C$4)+(D313*$D$4)</f>
        <v>135162580.34000003</v>
      </c>
      <c r="I313" s="414">
        <f t="shared" ref="I313" si="21">H313/F313</f>
        <v>3.6451101540325248</v>
      </c>
    </row>
    <row r="315" spans="1:9" x14ac:dyDescent="0.25">
      <c r="G315" s="13"/>
    </row>
    <row r="316" spans="1:9" x14ac:dyDescent="0.25">
      <c r="G316" s="13"/>
    </row>
    <row r="317" spans="1:9" x14ac:dyDescent="0.25">
      <c r="G317" s="13"/>
    </row>
    <row r="318" spans="1:9" x14ac:dyDescent="0.25">
      <c r="G318" s="13"/>
    </row>
    <row r="319" spans="1:9" x14ac:dyDescent="0.25">
      <c r="G319" s="13"/>
    </row>
    <row r="320" spans="1:9" x14ac:dyDescent="0.25">
      <c r="G320" s="13"/>
    </row>
    <row r="321" spans="7:7" x14ac:dyDescent="0.25">
      <c r="G321" s="13"/>
    </row>
    <row r="322" spans="7:7" x14ac:dyDescent="0.25">
      <c r="G322" s="13"/>
    </row>
    <row r="323" spans="7:7" x14ac:dyDescent="0.25">
      <c r="G323" s="13"/>
    </row>
    <row r="324" spans="7:7" x14ac:dyDescent="0.25">
      <c r="G324" s="13"/>
    </row>
    <row r="325" spans="7:7" x14ac:dyDescent="0.25">
      <c r="G325" s="13"/>
    </row>
    <row r="326" spans="7:7" x14ac:dyDescent="0.25">
      <c r="G326" s="13"/>
    </row>
    <row r="327" spans="7:7" x14ac:dyDescent="0.25">
      <c r="G327" s="13"/>
    </row>
    <row r="328" spans="7:7" x14ac:dyDescent="0.25">
      <c r="G328" s="13"/>
    </row>
    <row r="329" spans="7:7" x14ac:dyDescent="0.25">
      <c r="G329" s="13"/>
    </row>
    <row r="330" spans="7:7" x14ac:dyDescent="0.25">
      <c r="G330" s="13"/>
    </row>
    <row r="331" spans="7:7" x14ac:dyDescent="0.25">
      <c r="G331" s="13"/>
    </row>
  </sheetData>
  <mergeCells count="7">
    <mergeCell ref="A3:A4"/>
    <mergeCell ref="B3:B4"/>
    <mergeCell ref="I3:I4"/>
    <mergeCell ref="H3:H4"/>
    <mergeCell ref="G3:G4"/>
    <mergeCell ref="F3:F4"/>
    <mergeCell ref="E3:E4"/>
  </mergeCells>
  <phoneticPr fontId="24" type="noConversion"/>
  <printOptions horizontalCentered="1" verticalCentered="1"/>
  <pageMargins left="0" right="0" top="0" bottom="0" header="0.51181102362204722" footer="0.51181102362204722"/>
  <pageSetup paperSize="8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7">
    <tabColor rgb="FF00B050"/>
  </sheetPr>
  <dimension ref="A1:V319"/>
  <sheetViews>
    <sheetView workbookViewId="0"/>
  </sheetViews>
  <sheetFormatPr baseColWidth="10" defaultColWidth="11" defaultRowHeight="15" x14ac:dyDescent="0.25"/>
  <cols>
    <col min="1" max="1" width="7.25" style="13" customWidth="1"/>
    <col min="2" max="2" width="18" style="13" customWidth="1"/>
    <col min="3" max="3" width="10.875" style="13" bestFit="1" customWidth="1"/>
    <col min="4" max="4" width="8.375" style="13" customWidth="1"/>
    <col min="5" max="5" width="7.625" style="13" bestFit="1" customWidth="1"/>
    <col min="6" max="6" width="8.75" style="58" bestFit="1" customWidth="1"/>
    <col min="7" max="7" width="5.75" style="13" bestFit="1" customWidth="1"/>
    <col min="8" max="8" width="5.75" style="13" customWidth="1"/>
    <col min="9" max="10" width="5.75" style="13" bestFit="1" customWidth="1"/>
    <col min="11" max="11" width="6.5" style="13" bestFit="1" customWidth="1"/>
    <col min="12" max="12" width="7.625" style="13" bestFit="1" customWidth="1"/>
    <col min="13" max="13" width="10.75" style="12" bestFit="1" customWidth="1"/>
    <col min="14" max="17" width="11" style="371"/>
    <col min="18" max="18" width="11.25" style="371" bestFit="1" customWidth="1"/>
    <col min="19" max="21" width="11" style="13"/>
    <col min="22" max="22" width="11.25" style="13" bestFit="1" customWidth="1"/>
    <col min="23" max="16384" width="11" style="13"/>
  </cols>
  <sheetData>
    <row r="1" spans="1:22" ht="21" x14ac:dyDescent="0.25">
      <c r="A1" s="51" t="s">
        <v>219</v>
      </c>
      <c r="B1" s="42"/>
      <c r="C1" s="56"/>
      <c r="D1" s="43"/>
      <c r="E1" s="43"/>
      <c r="F1" s="57"/>
    </row>
    <row r="2" spans="1:22" x14ac:dyDescent="0.25">
      <c r="G2" s="66">
        <f>$E$313*G4</f>
        <v>46.000585670340442</v>
      </c>
      <c r="H2" s="66">
        <f>$E$313*H4</f>
        <v>55.200702804408529</v>
      </c>
      <c r="I2" s="66">
        <f>$E$313*I4</f>
        <v>69.000878505510656</v>
      </c>
      <c r="J2" s="66">
        <f>$E$313*J4</f>
        <v>92.001171340680884</v>
      </c>
      <c r="K2" s="66">
        <f>$E$313*K4</f>
        <v>138.00175701102131</v>
      </c>
    </row>
    <row r="3" spans="1:22" ht="60" customHeight="1" x14ac:dyDescent="0.25">
      <c r="A3" s="492" t="s">
        <v>46</v>
      </c>
      <c r="B3" s="492" t="s">
        <v>95</v>
      </c>
      <c r="C3" s="500" t="s">
        <v>304</v>
      </c>
      <c r="D3" s="501"/>
      <c r="E3" s="502"/>
      <c r="F3" s="499" t="s">
        <v>290</v>
      </c>
      <c r="G3" s="63">
        <f>Paramètres!B16</f>
        <v>0.2</v>
      </c>
      <c r="H3" s="63">
        <f>Paramètres!C16</f>
        <v>0.3</v>
      </c>
      <c r="I3" s="63">
        <f>Paramètres!D16</f>
        <v>0.4</v>
      </c>
      <c r="J3" s="63">
        <f>Paramètres!E16</f>
        <v>0.5</v>
      </c>
      <c r="K3" s="63">
        <f>Paramètres!F16</f>
        <v>0.6</v>
      </c>
      <c r="L3" s="499" t="s">
        <v>293</v>
      </c>
      <c r="M3" s="499" t="s">
        <v>305</v>
      </c>
    </row>
    <row r="4" spans="1:22" ht="45" x14ac:dyDescent="0.25">
      <c r="A4" s="493"/>
      <c r="B4" s="493"/>
      <c r="C4" s="64" t="s">
        <v>369</v>
      </c>
      <c r="D4" s="64" t="s">
        <v>67</v>
      </c>
      <c r="E4" s="64" t="s">
        <v>68</v>
      </c>
      <c r="F4" s="499"/>
      <c r="G4" s="65">
        <f>Paramètres!B17</f>
        <v>1</v>
      </c>
      <c r="H4" s="65">
        <f>Paramètres!C17</f>
        <v>1.2</v>
      </c>
      <c r="I4" s="65">
        <f>Paramètres!D17</f>
        <v>1.5</v>
      </c>
      <c r="J4" s="65">
        <f>Paramètres!E17</f>
        <v>2</v>
      </c>
      <c r="K4" s="65">
        <f>Paramètres!F17</f>
        <v>3</v>
      </c>
      <c r="L4" s="503"/>
      <c r="M4" s="499"/>
    </row>
    <row r="5" spans="1:22" x14ac:dyDescent="0.25">
      <c r="A5" s="104">
        <f>'A) Base RI'!A7</f>
        <v>5401</v>
      </c>
      <c r="B5" s="296" t="str">
        <f>'A) Base RI'!B7</f>
        <v>Aigle</v>
      </c>
      <c r="C5" s="293">
        <f>'B) D RI'!U7</f>
        <v>273757.05287947325</v>
      </c>
      <c r="D5" s="32">
        <f>'B) D RI'!AA7</f>
        <v>10217</v>
      </c>
      <c r="E5" s="201">
        <f>C5/D5</f>
        <v>26.794269636828155</v>
      </c>
      <c r="F5" s="366">
        <f t="shared" ref="F5:F36" si="0">E5/$E$313</f>
        <v>0.58247670646732996</v>
      </c>
      <c r="G5" s="376">
        <f>IF(E5-$G$2&lt;0,0,E5-$G$2)</f>
        <v>0</v>
      </c>
      <c r="H5" s="368">
        <f>IF(E5-$H$2&lt;0,0,E5-$H$2)</f>
        <v>0</v>
      </c>
      <c r="I5" s="376">
        <f>IF(E5-$I$2&lt;0,0,E5-$I$2)</f>
        <v>0</v>
      </c>
      <c r="J5" s="368">
        <f>IF(E5-$J$2&lt;0,0,E5-$J$2)</f>
        <v>0</v>
      </c>
      <c r="K5" s="367">
        <f>IF(E5-$K$2&lt;0,0,E5-$K$2)</f>
        <v>0</v>
      </c>
      <c r="L5" s="375">
        <f>(G5-H5)*$G$3+(H5-I5)*$H$3+(I5-J5)*$I$3+(J5-K5)*$J$3+(K5*$K$3)</f>
        <v>0</v>
      </c>
      <c r="M5" s="113">
        <f>L5*D5*'B) D RI'!S7</f>
        <v>0</v>
      </c>
    </row>
    <row r="6" spans="1:22" x14ac:dyDescent="0.25">
      <c r="A6" s="295">
        <f>'A) Base RI'!A8</f>
        <v>5402</v>
      </c>
      <c r="B6" s="32" t="str">
        <f>'A) Base RI'!B8</f>
        <v>Bex</v>
      </c>
      <c r="C6" s="293">
        <f>'B) D RI'!U8</f>
        <v>185201.4300069781</v>
      </c>
      <c r="D6" s="32">
        <f>'B) D RI'!AA8</f>
        <v>7869</v>
      </c>
      <c r="E6" s="201">
        <f t="shared" ref="E6:E68" si="1">C6/D6</f>
        <v>23.535573771378587</v>
      </c>
      <c r="F6" s="366">
        <f t="shared" si="0"/>
        <v>0.5116363939373384</v>
      </c>
      <c r="G6" s="377">
        <f t="shared" ref="G6:G68" si="2">IF(E6-$G$2&lt;0,0,E6-$G$2)</f>
        <v>0</v>
      </c>
      <c r="H6" s="374">
        <f t="shared" ref="H6:H68" si="3">IF(E6-$H$2&lt;0,0,E6-$H$2)</f>
        <v>0</v>
      </c>
      <c r="I6" s="377">
        <f t="shared" ref="I6:I68" si="4">IF(E6-$I$2&lt;0,0,E6-$I$2)</f>
        <v>0</v>
      </c>
      <c r="J6" s="374">
        <f t="shared" ref="J6:J68" si="5">IF(E6-$J$2&lt;0,0,E6-$J$2)</f>
        <v>0</v>
      </c>
      <c r="K6" s="369">
        <f t="shared" ref="K6:K68" si="6">IF(E6-$K$2&lt;0,0,E6-$K$2)</f>
        <v>0</v>
      </c>
      <c r="L6" s="373">
        <f t="shared" ref="L6:L68" si="7">(G6-H6)*$G$3+(H6-I6)*$H$3+(I6-J6)*$I$3+(J6-K6)*$J$3+(K6*$K$3)</f>
        <v>0</v>
      </c>
      <c r="M6" s="113">
        <f>L6*D6*'B) D RI'!S8</f>
        <v>0</v>
      </c>
    </row>
    <row r="7" spans="1:22" x14ac:dyDescent="0.25">
      <c r="A7" s="295">
        <f>'A) Base RI'!A9</f>
        <v>5403</v>
      </c>
      <c r="B7" s="32" t="str">
        <f>'A) Base RI'!B9</f>
        <v>Chessel</v>
      </c>
      <c r="C7" s="293">
        <f>'B) D RI'!U9</f>
        <v>10689.780666211695</v>
      </c>
      <c r="D7" s="32">
        <f>'B) D RI'!AA9</f>
        <v>429</v>
      </c>
      <c r="E7" s="201">
        <f t="shared" si="1"/>
        <v>24.917903650843112</v>
      </c>
      <c r="F7" s="366">
        <f t="shared" si="0"/>
        <v>0.54168666089200035</v>
      </c>
      <c r="G7" s="377">
        <f t="shared" si="2"/>
        <v>0</v>
      </c>
      <c r="H7" s="374">
        <f t="shared" si="3"/>
        <v>0</v>
      </c>
      <c r="I7" s="377">
        <f t="shared" si="4"/>
        <v>0</v>
      </c>
      <c r="J7" s="374">
        <f t="shared" si="5"/>
        <v>0</v>
      </c>
      <c r="K7" s="369">
        <f t="shared" si="6"/>
        <v>0</v>
      </c>
      <c r="L7" s="373">
        <f t="shared" si="7"/>
        <v>0</v>
      </c>
      <c r="M7" s="113">
        <f>L7*D7*'B) D RI'!S9</f>
        <v>0</v>
      </c>
    </row>
    <row r="8" spans="1:22" x14ac:dyDescent="0.25">
      <c r="A8" s="295">
        <f>'A) Base RI'!A10</f>
        <v>5404</v>
      </c>
      <c r="B8" s="32" t="str">
        <f>'A) Base RI'!B10</f>
        <v>Corbeyrier</v>
      </c>
      <c r="C8" s="293">
        <f>'B) D RI'!U10</f>
        <v>14591.74084015964</v>
      </c>
      <c r="D8" s="32">
        <f>'B) D RI'!AA10</f>
        <v>437</v>
      </c>
      <c r="E8" s="201">
        <f t="shared" si="1"/>
        <v>33.390711304713136</v>
      </c>
      <c r="F8" s="366">
        <f t="shared" si="0"/>
        <v>0.72587578653900253</v>
      </c>
      <c r="G8" s="377">
        <f t="shared" si="2"/>
        <v>0</v>
      </c>
      <c r="H8" s="374">
        <f t="shared" si="3"/>
        <v>0</v>
      </c>
      <c r="I8" s="377">
        <f t="shared" si="4"/>
        <v>0</v>
      </c>
      <c r="J8" s="374">
        <f t="shared" si="5"/>
        <v>0</v>
      </c>
      <c r="K8" s="369">
        <f t="shared" si="6"/>
        <v>0</v>
      </c>
      <c r="L8" s="373">
        <f t="shared" si="7"/>
        <v>0</v>
      </c>
      <c r="M8" s="113">
        <f>L8*D8*'B) D RI'!S10</f>
        <v>0</v>
      </c>
    </row>
    <row r="9" spans="1:22" x14ac:dyDescent="0.25">
      <c r="A9" s="295">
        <f>'A) Base RI'!A11</f>
        <v>5405</v>
      </c>
      <c r="B9" s="32" t="str">
        <f>'A) Base RI'!B11</f>
        <v>Gryon</v>
      </c>
      <c r="C9" s="293">
        <f>'B) D RI'!U11</f>
        <v>65629.125271315643</v>
      </c>
      <c r="D9" s="32">
        <f>'B) D RI'!AA11</f>
        <v>1347</v>
      </c>
      <c r="E9" s="201">
        <f t="shared" si="1"/>
        <v>48.722438954206119</v>
      </c>
      <c r="F9" s="366">
        <f t="shared" si="0"/>
        <v>1.0591699702123714</v>
      </c>
      <c r="G9" s="377">
        <f t="shared" si="2"/>
        <v>2.721853283865677</v>
      </c>
      <c r="H9" s="374">
        <f t="shared" si="3"/>
        <v>0</v>
      </c>
      <c r="I9" s="377">
        <f t="shared" si="4"/>
        <v>0</v>
      </c>
      <c r="J9" s="374">
        <f t="shared" si="5"/>
        <v>0</v>
      </c>
      <c r="K9" s="369">
        <f t="shared" si="6"/>
        <v>0</v>
      </c>
      <c r="L9" s="373">
        <f t="shared" si="7"/>
        <v>0.54437065677313545</v>
      </c>
      <c r="M9" s="113">
        <f>L9*D9*'B) D RI'!S11</f>
        <v>54995.045600506011</v>
      </c>
    </row>
    <row r="10" spans="1:22" x14ac:dyDescent="0.25">
      <c r="A10" s="295">
        <f>'A) Base RI'!A12</f>
        <v>5406</v>
      </c>
      <c r="B10" s="32" t="str">
        <f>'A) Base RI'!B12</f>
        <v>Lavey-Morcles</v>
      </c>
      <c r="C10" s="293">
        <f>'B) D RI'!U12</f>
        <v>24629.026648333398</v>
      </c>
      <c r="D10" s="32">
        <f>'B) D RI'!AA12</f>
        <v>931</v>
      </c>
      <c r="E10" s="201">
        <f t="shared" si="1"/>
        <v>26.454378784461223</v>
      </c>
      <c r="F10" s="366">
        <f t="shared" si="0"/>
        <v>0.57508786896854824</v>
      </c>
      <c r="G10" s="377">
        <f t="shared" si="2"/>
        <v>0</v>
      </c>
      <c r="H10" s="374">
        <f t="shared" si="3"/>
        <v>0</v>
      </c>
      <c r="I10" s="377">
        <f t="shared" si="4"/>
        <v>0</v>
      </c>
      <c r="J10" s="374">
        <f t="shared" si="5"/>
        <v>0</v>
      </c>
      <c r="K10" s="369">
        <f t="shared" si="6"/>
        <v>0</v>
      </c>
      <c r="L10" s="373">
        <f t="shared" si="7"/>
        <v>0</v>
      </c>
      <c r="M10" s="113">
        <f>L10*D10*'B) D RI'!S12</f>
        <v>0</v>
      </c>
    </row>
    <row r="11" spans="1:22" x14ac:dyDescent="0.25">
      <c r="A11" s="295">
        <f>'A) Base RI'!A13</f>
        <v>5407</v>
      </c>
      <c r="B11" s="32" t="str">
        <f>'A) Base RI'!B13</f>
        <v>Leysin</v>
      </c>
      <c r="C11" s="293">
        <f>'B) D RI'!U13</f>
        <v>88989.44860843374</v>
      </c>
      <c r="D11" s="32">
        <f>'B) D RI'!AA13</f>
        <v>3776</v>
      </c>
      <c r="E11" s="201">
        <f t="shared" si="1"/>
        <v>23.567120923843682</v>
      </c>
      <c r="F11" s="366">
        <f t="shared" si="0"/>
        <v>0.5123221928680558</v>
      </c>
      <c r="G11" s="377">
        <f t="shared" si="2"/>
        <v>0</v>
      </c>
      <c r="H11" s="374">
        <f t="shared" si="3"/>
        <v>0</v>
      </c>
      <c r="I11" s="377">
        <f t="shared" si="4"/>
        <v>0</v>
      </c>
      <c r="J11" s="374">
        <f t="shared" si="5"/>
        <v>0</v>
      </c>
      <c r="K11" s="369">
        <f t="shared" si="6"/>
        <v>0</v>
      </c>
      <c r="L11" s="373">
        <f t="shared" si="7"/>
        <v>0</v>
      </c>
      <c r="M11" s="113">
        <f>L11*D11*'B) D RI'!S13</f>
        <v>0</v>
      </c>
    </row>
    <row r="12" spans="1:22" x14ac:dyDescent="0.25">
      <c r="A12" s="295">
        <f>'A) Base RI'!A14</f>
        <v>5408</v>
      </c>
      <c r="B12" s="32" t="str">
        <f>'A) Base RI'!B14</f>
        <v>Noville</v>
      </c>
      <c r="C12" s="293">
        <f>'B) D RI'!U14</f>
        <v>28270.539787685771</v>
      </c>
      <c r="D12" s="32">
        <f>'B) D RI'!AA14</f>
        <v>1167</v>
      </c>
      <c r="E12" s="201">
        <f t="shared" si="1"/>
        <v>24.224969826637338</v>
      </c>
      <c r="F12" s="366">
        <f t="shared" si="0"/>
        <v>0.52662307389396446</v>
      </c>
      <c r="G12" s="377">
        <f t="shared" si="2"/>
        <v>0</v>
      </c>
      <c r="H12" s="374">
        <f t="shared" si="3"/>
        <v>0</v>
      </c>
      <c r="I12" s="377">
        <f t="shared" si="4"/>
        <v>0</v>
      </c>
      <c r="J12" s="374">
        <f t="shared" si="5"/>
        <v>0</v>
      </c>
      <c r="K12" s="369">
        <f t="shared" si="6"/>
        <v>0</v>
      </c>
      <c r="L12" s="373">
        <f t="shared" si="7"/>
        <v>0</v>
      </c>
      <c r="M12" s="113">
        <f>L12*D12*'B) D RI'!S14</f>
        <v>0</v>
      </c>
    </row>
    <row r="13" spans="1:22" x14ac:dyDescent="0.25">
      <c r="A13" s="295">
        <f>'A) Base RI'!A15</f>
        <v>5409</v>
      </c>
      <c r="B13" s="32" t="str">
        <f>'A) Base RI'!B15</f>
        <v>Ollon</v>
      </c>
      <c r="C13" s="293">
        <f>'B) D RI'!U15</f>
        <v>398078.90791518224</v>
      </c>
      <c r="D13" s="32">
        <f>'B) D RI'!AA15</f>
        <v>7560</v>
      </c>
      <c r="E13" s="201">
        <f t="shared" si="1"/>
        <v>52.655940200420929</v>
      </c>
      <c r="F13" s="366">
        <f t="shared" si="0"/>
        <v>1.1446797781614251</v>
      </c>
      <c r="G13" s="377">
        <f t="shared" si="2"/>
        <v>6.6553545300804871</v>
      </c>
      <c r="H13" s="374">
        <f t="shared" si="3"/>
        <v>0</v>
      </c>
      <c r="I13" s="377">
        <f t="shared" si="4"/>
        <v>0</v>
      </c>
      <c r="J13" s="374">
        <f t="shared" si="5"/>
        <v>0</v>
      </c>
      <c r="K13" s="369">
        <f t="shared" si="6"/>
        <v>0</v>
      </c>
      <c r="L13" s="373">
        <f t="shared" si="7"/>
        <v>1.3310709060160975</v>
      </c>
      <c r="M13" s="113">
        <f>L13*D13*'B) D RI'!S15</f>
        <v>684276.93136475538</v>
      </c>
    </row>
    <row r="14" spans="1:22" x14ac:dyDescent="0.25">
      <c r="A14" s="295">
        <f>'A) Base RI'!A16</f>
        <v>5410</v>
      </c>
      <c r="B14" s="32" t="str">
        <f>'A) Base RI'!B16</f>
        <v>Ormont-Dessous</v>
      </c>
      <c r="C14" s="293">
        <f>'B) D RI'!U16</f>
        <v>38209.218513800428</v>
      </c>
      <c r="D14" s="32">
        <f>'B) D RI'!AA16</f>
        <v>1141</v>
      </c>
      <c r="E14" s="201">
        <f t="shared" si="1"/>
        <v>33.487483360035434</v>
      </c>
      <c r="F14" s="366">
        <f t="shared" si="0"/>
        <v>0.72797950008769097</v>
      </c>
      <c r="G14" s="377">
        <f t="shared" si="2"/>
        <v>0</v>
      </c>
      <c r="H14" s="374">
        <f t="shared" si="3"/>
        <v>0</v>
      </c>
      <c r="I14" s="377">
        <f t="shared" si="4"/>
        <v>0</v>
      </c>
      <c r="J14" s="374">
        <f t="shared" si="5"/>
        <v>0</v>
      </c>
      <c r="K14" s="369">
        <f t="shared" si="6"/>
        <v>0</v>
      </c>
      <c r="L14" s="373">
        <f t="shared" si="7"/>
        <v>0</v>
      </c>
      <c r="M14" s="113">
        <f>L14*D14*'B) D RI'!S16</f>
        <v>0</v>
      </c>
      <c r="V14" s="15"/>
    </row>
    <row r="15" spans="1:22" x14ac:dyDescent="0.25">
      <c r="A15" s="295">
        <f>'A) Base RI'!A17</f>
        <v>5411</v>
      </c>
      <c r="B15" s="32" t="str">
        <f>'A) Base RI'!B17</f>
        <v>Ormont-Dessus</v>
      </c>
      <c r="C15" s="293">
        <f>'B) D RI'!U17</f>
        <v>73074.251809839989</v>
      </c>
      <c r="D15" s="32">
        <f>'B) D RI'!AA17</f>
        <v>1434</v>
      </c>
      <c r="E15" s="201">
        <f t="shared" si="1"/>
        <v>50.958334595425377</v>
      </c>
      <c r="F15" s="366">
        <f t="shared" si="0"/>
        <v>1.1077757783480031</v>
      </c>
      <c r="G15" s="377">
        <f t="shared" si="2"/>
        <v>4.9577489250849354</v>
      </c>
      <c r="H15" s="374">
        <f t="shared" si="3"/>
        <v>0</v>
      </c>
      <c r="I15" s="377">
        <f t="shared" si="4"/>
        <v>0</v>
      </c>
      <c r="J15" s="374">
        <f t="shared" si="5"/>
        <v>0</v>
      </c>
      <c r="K15" s="369">
        <f t="shared" si="6"/>
        <v>0</v>
      </c>
      <c r="L15" s="373">
        <f t="shared" si="7"/>
        <v>0.9915497850169871</v>
      </c>
      <c r="M15" s="113">
        <f>L15*D15*'B) D RI'!S17</f>
        <v>108063.06177029133</v>
      </c>
      <c r="V15" s="15"/>
    </row>
    <row r="16" spans="1:22" x14ac:dyDescent="0.25">
      <c r="A16" s="295">
        <f>'A) Base RI'!A18</f>
        <v>5412</v>
      </c>
      <c r="B16" s="32" t="str">
        <f>'A) Base RI'!B18</f>
        <v>Rennaz</v>
      </c>
      <c r="C16" s="293">
        <f>'B) D RI'!U18</f>
        <v>23813.904160849284</v>
      </c>
      <c r="D16" s="32">
        <f>'B) D RI'!AA18</f>
        <v>871</v>
      </c>
      <c r="E16" s="201">
        <f t="shared" si="1"/>
        <v>27.340877337370017</v>
      </c>
      <c r="F16" s="366">
        <f t="shared" si="0"/>
        <v>0.59435933127691576</v>
      </c>
      <c r="G16" s="377">
        <f t="shared" si="2"/>
        <v>0</v>
      </c>
      <c r="H16" s="374">
        <f t="shared" si="3"/>
        <v>0</v>
      </c>
      <c r="I16" s="377">
        <f t="shared" si="4"/>
        <v>0</v>
      </c>
      <c r="J16" s="374">
        <f t="shared" si="5"/>
        <v>0</v>
      </c>
      <c r="K16" s="369">
        <f t="shared" si="6"/>
        <v>0</v>
      </c>
      <c r="L16" s="373">
        <f t="shared" si="7"/>
        <v>0</v>
      </c>
      <c r="M16" s="113">
        <f>L16*D16*'B) D RI'!S18</f>
        <v>0</v>
      </c>
      <c r="V16" s="15"/>
    </row>
    <row r="17" spans="1:22" x14ac:dyDescent="0.25">
      <c r="A17" s="295">
        <f>'A) Base RI'!A19</f>
        <v>5413</v>
      </c>
      <c r="B17" s="32" t="str">
        <f>'A) Base RI'!B19</f>
        <v>Roche</v>
      </c>
      <c r="C17" s="293">
        <f>'B) D RI'!U19</f>
        <v>44639.413526237746</v>
      </c>
      <c r="D17" s="32">
        <f>'B) D RI'!AA19</f>
        <v>1826</v>
      </c>
      <c r="E17" s="201">
        <f t="shared" si="1"/>
        <v>24.446557243284637</v>
      </c>
      <c r="F17" s="366">
        <f t="shared" si="0"/>
        <v>0.531440130316578</v>
      </c>
      <c r="G17" s="377">
        <f t="shared" si="2"/>
        <v>0</v>
      </c>
      <c r="H17" s="374">
        <f t="shared" si="3"/>
        <v>0</v>
      </c>
      <c r="I17" s="377">
        <f t="shared" si="4"/>
        <v>0</v>
      </c>
      <c r="J17" s="374">
        <f t="shared" si="5"/>
        <v>0</v>
      </c>
      <c r="K17" s="369">
        <f t="shared" si="6"/>
        <v>0</v>
      </c>
      <c r="L17" s="373">
        <f t="shared" si="7"/>
        <v>0</v>
      </c>
      <c r="M17" s="113">
        <f>L17*D17*'B) D RI'!S19</f>
        <v>0</v>
      </c>
      <c r="V17" s="15"/>
    </row>
    <row r="18" spans="1:22" x14ac:dyDescent="0.25">
      <c r="A18" s="295">
        <f>'A) Base RI'!A20</f>
        <v>5414</v>
      </c>
      <c r="B18" s="32" t="str">
        <f>'A) Base RI'!B20</f>
        <v>Villeneuve</v>
      </c>
      <c r="C18" s="293">
        <f>'B) D RI'!U20</f>
        <v>166033.59034311198</v>
      </c>
      <c r="D18" s="32">
        <f>'B) D RI'!AA20</f>
        <v>5772</v>
      </c>
      <c r="E18" s="201">
        <f t="shared" si="1"/>
        <v>28.765348292292444</v>
      </c>
      <c r="F18" s="366">
        <f t="shared" si="0"/>
        <v>0.62532569690388373</v>
      </c>
      <c r="G18" s="377">
        <f t="shared" si="2"/>
        <v>0</v>
      </c>
      <c r="H18" s="374">
        <f t="shared" si="3"/>
        <v>0</v>
      </c>
      <c r="I18" s="377">
        <f t="shared" si="4"/>
        <v>0</v>
      </c>
      <c r="J18" s="374">
        <f t="shared" si="5"/>
        <v>0</v>
      </c>
      <c r="K18" s="369">
        <f t="shared" si="6"/>
        <v>0</v>
      </c>
      <c r="L18" s="373">
        <f t="shared" si="7"/>
        <v>0</v>
      </c>
      <c r="M18" s="113">
        <f>L18*D18*'B) D RI'!S20</f>
        <v>0</v>
      </c>
      <c r="V18" s="15"/>
    </row>
    <row r="19" spans="1:22" x14ac:dyDescent="0.25">
      <c r="A19" s="295">
        <f>'A) Base RI'!A21</f>
        <v>5415</v>
      </c>
      <c r="B19" s="32" t="str">
        <f>'A) Base RI'!B21</f>
        <v>Yvorne</v>
      </c>
      <c r="C19" s="293">
        <f>'B) D RI'!U21</f>
        <v>39123.170780997614</v>
      </c>
      <c r="D19" s="32">
        <f>'B) D RI'!AA21</f>
        <v>1071</v>
      </c>
      <c r="E19" s="201">
        <f t="shared" si="1"/>
        <v>36.529571224087405</v>
      </c>
      <c r="F19" s="366">
        <f t="shared" si="0"/>
        <v>0.79411100297447701</v>
      </c>
      <c r="G19" s="377">
        <f t="shared" si="2"/>
        <v>0</v>
      </c>
      <c r="H19" s="374">
        <f t="shared" si="3"/>
        <v>0</v>
      </c>
      <c r="I19" s="377">
        <f t="shared" si="4"/>
        <v>0</v>
      </c>
      <c r="J19" s="374">
        <f t="shared" si="5"/>
        <v>0</v>
      </c>
      <c r="K19" s="369">
        <f t="shared" si="6"/>
        <v>0</v>
      </c>
      <c r="L19" s="373">
        <f t="shared" si="7"/>
        <v>0</v>
      </c>
      <c r="M19" s="113">
        <f>L19*D19*'B) D RI'!S21</f>
        <v>0</v>
      </c>
      <c r="V19" s="15"/>
    </row>
    <row r="20" spans="1:22" x14ac:dyDescent="0.25">
      <c r="A20" s="295">
        <f>'A) Base RI'!A22</f>
        <v>5421</v>
      </c>
      <c r="B20" s="32" t="str">
        <f>'A) Base RI'!B22</f>
        <v>Apples</v>
      </c>
      <c r="C20" s="293">
        <f>'B) D RI'!U22</f>
        <v>70492.513251958138</v>
      </c>
      <c r="D20" s="32">
        <f>'B) D RI'!AA22</f>
        <v>1460</v>
      </c>
      <c r="E20" s="201">
        <f t="shared" si="1"/>
        <v>48.282543323258999</v>
      </c>
      <c r="F20" s="366">
        <f t="shared" si="0"/>
        <v>1.0496071434670859</v>
      </c>
      <c r="G20" s="377">
        <f t="shared" si="2"/>
        <v>2.2819576529185568</v>
      </c>
      <c r="H20" s="374">
        <f t="shared" si="3"/>
        <v>0</v>
      </c>
      <c r="I20" s="377">
        <f t="shared" si="4"/>
        <v>0</v>
      </c>
      <c r="J20" s="374">
        <f t="shared" si="5"/>
        <v>0</v>
      </c>
      <c r="K20" s="369">
        <f t="shared" si="6"/>
        <v>0</v>
      </c>
      <c r="L20" s="373">
        <f t="shared" si="7"/>
        <v>0.4563915305837114</v>
      </c>
      <c r="M20" s="113">
        <f>L20*D20*'B) D RI'!S22</f>
        <v>50641.20423356862</v>
      </c>
      <c r="V20" s="15"/>
    </row>
    <row r="21" spans="1:22" x14ac:dyDescent="0.25">
      <c r="A21" s="295">
        <f>'A) Base RI'!A23</f>
        <v>5422</v>
      </c>
      <c r="B21" s="32" t="str">
        <f>'A) Base RI'!B23</f>
        <v>Aubonne</v>
      </c>
      <c r="C21" s="293">
        <f>'B) D RI'!U23</f>
        <v>245436.88330377048</v>
      </c>
      <c r="D21" s="32">
        <f>'B) D RI'!AA23</f>
        <v>3817</v>
      </c>
      <c r="E21" s="201">
        <f t="shared" si="1"/>
        <v>64.30099117206457</v>
      </c>
      <c r="F21" s="366">
        <f t="shared" si="0"/>
        <v>1.3978298370562614</v>
      </c>
      <c r="G21" s="377">
        <f t="shared" si="2"/>
        <v>18.300405501724128</v>
      </c>
      <c r="H21" s="374">
        <f t="shared" si="3"/>
        <v>9.1002883676560415</v>
      </c>
      <c r="I21" s="377">
        <f t="shared" si="4"/>
        <v>0</v>
      </c>
      <c r="J21" s="374">
        <f t="shared" si="5"/>
        <v>0</v>
      </c>
      <c r="K21" s="369">
        <f t="shared" si="6"/>
        <v>0</v>
      </c>
      <c r="L21" s="373">
        <f t="shared" si="7"/>
        <v>4.5701099371104297</v>
      </c>
      <c r="M21" s="113">
        <f>L21*D21*'B) D RI'!S23</f>
        <v>1230158.61110411</v>
      </c>
      <c r="V21" s="15"/>
    </row>
    <row r="22" spans="1:22" x14ac:dyDescent="0.25">
      <c r="A22" s="295">
        <f>'A) Base RI'!A24</f>
        <v>5423</v>
      </c>
      <c r="B22" s="32" t="str">
        <f>'A) Base RI'!B24</f>
        <v>Ballens</v>
      </c>
      <c r="C22" s="293">
        <f>'B) D RI'!U24</f>
        <v>16319.771402685055</v>
      </c>
      <c r="D22" s="32">
        <f>'B) D RI'!AA24</f>
        <v>545</v>
      </c>
      <c r="E22" s="201">
        <f t="shared" si="1"/>
        <v>29.94453468382579</v>
      </c>
      <c r="F22" s="366">
        <f t="shared" si="0"/>
        <v>0.65095985730314232</v>
      </c>
      <c r="G22" s="377">
        <f t="shared" si="2"/>
        <v>0</v>
      </c>
      <c r="H22" s="374">
        <f t="shared" si="3"/>
        <v>0</v>
      </c>
      <c r="I22" s="377">
        <f t="shared" si="4"/>
        <v>0</v>
      </c>
      <c r="J22" s="374">
        <f t="shared" si="5"/>
        <v>0</v>
      </c>
      <c r="K22" s="369">
        <f t="shared" si="6"/>
        <v>0</v>
      </c>
      <c r="L22" s="373">
        <f t="shared" si="7"/>
        <v>0</v>
      </c>
      <c r="M22" s="113">
        <f>L22*D22*'B) D RI'!S24</f>
        <v>0</v>
      </c>
    </row>
    <row r="23" spans="1:22" x14ac:dyDescent="0.25">
      <c r="A23" s="295">
        <f>'A) Base RI'!A25</f>
        <v>5424</v>
      </c>
      <c r="B23" s="32" t="str">
        <f>'A) Base RI'!B25</f>
        <v>Berolle</v>
      </c>
      <c r="C23" s="293">
        <f>'B) D RI'!U25</f>
        <v>9278.5718181818156</v>
      </c>
      <c r="D23" s="32">
        <f>'B) D RI'!AA25</f>
        <v>300</v>
      </c>
      <c r="E23" s="201">
        <f t="shared" si="1"/>
        <v>30.928572727272719</v>
      </c>
      <c r="F23" s="366">
        <f t="shared" si="0"/>
        <v>0.67235171632204616</v>
      </c>
      <c r="G23" s="377">
        <f t="shared" si="2"/>
        <v>0</v>
      </c>
      <c r="H23" s="374">
        <f t="shared" si="3"/>
        <v>0</v>
      </c>
      <c r="I23" s="377">
        <f t="shared" si="4"/>
        <v>0</v>
      </c>
      <c r="J23" s="374">
        <f t="shared" si="5"/>
        <v>0</v>
      </c>
      <c r="K23" s="369">
        <f t="shared" si="6"/>
        <v>0</v>
      </c>
      <c r="L23" s="373">
        <f t="shared" si="7"/>
        <v>0</v>
      </c>
      <c r="M23" s="113">
        <f>L23*D23*'B) D RI'!S25</f>
        <v>0</v>
      </c>
    </row>
    <row r="24" spans="1:22" x14ac:dyDescent="0.25">
      <c r="A24" s="295">
        <f>'A) Base RI'!A26</f>
        <v>5425</v>
      </c>
      <c r="B24" s="32" t="str">
        <f>'A) Base RI'!B26</f>
        <v>Bière</v>
      </c>
      <c r="C24" s="293">
        <f>'B) D RI'!U26</f>
        <v>39360.03487040029</v>
      </c>
      <c r="D24" s="32">
        <f>'B) D RI'!AA26</f>
        <v>1596</v>
      </c>
      <c r="E24" s="201">
        <f t="shared" si="1"/>
        <v>24.66167598396008</v>
      </c>
      <c r="F24" s="366">
        <f t="shared" si="0"/>
        <v>0.53611656513888828</v>
      </c>
      <c r="G24" s="377">
        <f t="shared" si="2"/>
        <v>0</v>
      </c>
      <c r="H24" s="374">
        <f t="shared" si="3"/>
        <v>0</v>
      </c>
      <c r="I24" s="377">
        <f t="shared" si="4"/>
        <v>0</v>
      </c>
      <c r="J24" s="374">
        <f t="shared" si="5"/>
        <v>0</v>
      </c>
      <c r="K24" s="369">
        <f t="shared" si="6"/>
        <v>0</v>
      </c>
      <c r="L24" s="373">
        <f t="shared" si="7"/>
        <v>0</v>
      </c>
      <c r="M24" s="113">
        <f>L24*D24*'B) D RI'!S26</f>
        <v>0</v>
      </c>
    </row>
    <row r="25" spans="1:22" x14ac:dyDescent="0.25">
      <c r="A25" s="295">
        <f>'A) Base RI'!A27</f>
        <v>5426</v>
      </c>
      <c r="B25" s="32" t="str">
        <f>'A) Base RI'!B27</f>
        <v>Bougy-Villars</v>
      </c>
      <c r="C25" s="293">
        <f>'B) D RI'!U27</f>
        <v>51974.123620521015</v>
      </c>
      <c r="D25" s="32">
        <f>'B) D RI'!AA27</f>
        <v>475</v>
      </c>
      <c r="E25" s="201">
        <f t="shared" si="1"/>
        <v>109.4192076221495</v>
      </c>
      <c r="F25" s="366">
        <f t="shared" si="0"/>
        <v>2.3786481417061425</v>
      </c>
      <c r="G25" s="377">
        <f t="shared" si="2"/>
        <v>63.418621951809058</v>
      </c>
      <c r="H25" s="374">
        <f t="shared" si="3"/>
        <v>54.218504817740971</v>
      </c>
      <c r="I25" s="377">
        <f t="shared" si="4"/>
        <v>40.418329116638844</v>
      </c>
      <c r="J25" s="374">
        <f t="shared" si="5"/>
        <v>17.418036281468616</v>
      </c>
      <c r="K25" s="369">
        <f t="shared" si="6"/>
        <v>0</v>
      </c>
      <c r="L25" s="373">
        <f t="shared" si="7"/>
        <v>23.889211411946654</v>
      </c>
      <c r="M25" s="113">
        <f>L25*D25*'B) D RI'!S27</f>
        <v>748926.77776452759</v>
      </c>
    </row>
    <row r="26" spans="1:22" x14ac:dyDescent="0.25">
      <c r="A26" s="295">
        <f>'A) Base RI'!A28</f>
        <v>5427</v>
      </c>
      <c r="B26" s="32" t="str">
        <f>'A) Base RI'!B28</f>
        <v>Féchy</v>
      </c>
      <c r="C26" s="293">
        <f>'B) D RI'!U28</f>
        <v>86694.092344793113</v>
      </c>
      <c r="D26" s="32">
        <f>'B) D RI'!AA28</f>
        <v>861</v>
      </c>
      <c r="E26" s="201">
        <f t="shared" si="1"/>
        <v>100.69000272333695</v>
      </c>
      <c r="F26" s="366">
        <f t="shared" si="0"/>
        <v>2.1888852338734095</v>
      </c>
      <c r="G26" s="377">
        <f t="shared" si="2"/>
        <v>54.689417052996504</v>
      </c>
      <c r="H26" s="374">
        <f t="shared" si="3"/>
        <v>45.489299918928417</v>
      </c>
      <c r="I26" s="377">
        <f t="shared" si="4"/>
        <v>31.68912421782629</v>
      </c>
      <c r="J26" s="374">
        <f t="shared" si="5"/>
        <v>8.6888313826560619</v>
      </c>
      <c r="K26" s="369">
        <f t="shared" si="6"/>
        <v>0</v>
      </c>
      <c r="L26" s="373">
        <f t="shared" si="7"/>
        <v>19.524608962540377</v>
      </c>
      <c r="M26" s="113">
        <f>L26*D26*'B) D RI'!S28</f>
        <v>1075884.052271825</v>
      </c>
    </row>
    <row r="27" spans="1:22" x14ac:dyDescent="0.25">
      <c r="A27" s="295">
        <f>'A) Base RI'!A29</f>
        <v>5428</v>
      </c>
      <c r="B27" s="32" t="str">
        <f>'A) Base RI'!B29</f>
        <v>Gimel</v>
      </c>
      <c r="C27" s="293">
        <f>'B) D RI'!U29</f>
        <v>66248.425772179224</v>
      </c>
      <c r="D27" s="32">
        <f>'B) D RI'!AA29</f>
        <v>2238</v>
      </c>
      <c r="E27" s="201">
        <f t="shared" si="1"/>
        <v>29.601620094807519</v>
      </c>
      <c r="F27" s="366">
        <f t="shared" si="0"/>
        <v>0.64350528723580147</v>
      </c>
      <c r="G27" s="377">
        <f t="shared" si="2"/>
        <v>0</v>
      </c>
      <c r="H27" s="374">
        <f t="shared" si="3"/>
        <v>0</v>
      </c>
      <c r="I27" s="377">
        <f t="shared" si="4"/>
        <v>0</v>
      </c>
      <c r="J27" s="374">
        <f t="shared" si="5"/>
        <v>0</v>
      </c>
      <c r="K27" s="369">
        <f t="shared" si="6"/>
        <v>0</v>
      </c>
      <c r="L27" s="373">
        <f t="shared" si="7"/>
        <v>0</v>
      </c>
      <c r="M27" s="113">
        <f>L27*D27*'B) D RI'!S29</f>
        <v>0</v>
      </c>
    </row>
    <row r="28" spans="1:22" x14ac:dyDescent="0.25">
      <c r="A28" s="295">
        <f>'A) Base RI'!A30</f>
        <v>5429</v>
      </c>
      <c r="B28" s="32" t="str">
        <f>'A) Base RI'!B30</f>
        <v>Longirod</v>
      </c>
      <c r="C28" s="293">
        <f>'B) D RI'!U30</f>
        <v>15299.789438077625</v>
      </c>
      <c r="D28" s="32">
        <f>'B) D RI'!AA30</f>
        <v>482</v>
      </c>
      <c r="E28" s="201">
        <f t="shared" si="1"/>
        <v>31.74230173875026</v>
      </c>
      <c r="F28" s="366">
        <f t="shared" si="0"/>
        <v>0.69004125221859036</v>
      </c>
      <c r="G28" s="377">
        <f t="shared" si="2"/>
        <v>0</v>
      </c>
      <c r="H28" s="374">
        <f t="shared" si="3"/>
        <v>0</v>
      </c>
      <c r="I28" s="377">
        <f t="shared" si="4"/>
        <v>0</v>
      </c>
      <c r="J28" s="374">
        <f t="shared" si="5"/>
        <v>0</v>
      </c>
      <c r="K28" s="369">
        <f t="shared" si="6"/>
        <v>0</v>
      </c>
      <c r="L28" s="373">
        <f t="shared" si="7"/>
        <v>0</v>
      </c>
      <c r="M28" s="113">
        <f>L28*D28*'B) D RI'!S30</f>
        <v>0</v>
      </c>
    </row>
    <row r="29" spans="1:22" x14ac:dyDescent="0.25">
      <c r="A29" s="295">
        <f>'A) Base RI'!A31</f>
        <v>5430</v>
      </c>
      <c r="B29" s="32" t="str">
        <f>'A) Base RI'!B31</f>
        <v>Marchissy</v>
      </c>
      <c r="C29" s="293">
        <f>'B) D RI'!U31</f>
        <v>14892.112085590652</v>
      </c>
      <c r="D29" s="32">
        <f>'B) D RI'!AA31</f>
        <v>472</v>
      </c>
      <c r="E29" s="201">
        <f t="shared" si="1"/>
        <v>31.551084927098838</v>
      </c>
      <c r="F29" s="366">
        <f t="shared" si="0"/>
        <v>0.6858844179334409</v>
      </c>
      <c r="G29" s="377">
        <f t="shared" si="2"/>
        <v>0</v>
      </c>
      <c r="H29" s="374">
        <f t="shared" si="3"/>
        <v>0</v>
      </c>
      <c r="I29" s="377">
        <f t="shared" si="4"/>
        <v>0</v>
      </c>
      <c r="J29" s="374">
        <f t="shared" si="5"/>
        <v>0</v>
      </c>
      <c r="K29" s="369">
        <f t="shared" si="6"/>
        <v>0</v>
      </c>
      <c r="L29" s="373">
        <f t="shared" si="7"/>
        <v>0</v>
      </c>
      <c r="M29" s="113">
        <f>L29*D29*'B) D RI'!S31</f>
        <v>0</v>
      </c>
    </row>
    <row r="30" spans="1:22" x14ac:dyDescent="0.25">
      <c r="A30" s="295">
        <f>'A) Base RI'!A32</f>
        <v>5431</v>
      </c>
      <c r="B30" s="32" t="str">
        <f>'A) Base RI'!B32</f>
        <v>Mollens</v>
      </c>
      <c r="C30" s="293">
        <f>'B) D RI'!U32</f>
        <v>10626.564516518391</v>
      </c>
      <c r="D30" s="32">
        <f>'B) D RI'!AA32</f>
        <v>308</v>
      </c>
      <c r="E30" s="201">
        <f t="shared" si="1"/>
        <v>34.501832845838933</v>
      </c>
      <c r="F30" s="366">
        <f t="shared" si="0"/>
        <v>0.75003029511610109</v>
      </c>
      <c r="G30" s="377">
        <f t="shared" si="2"/>
        <v>0</v>
      </c>
      <c r="H30" s="374">
        <f t="shared" si="3"/>
        <v>0</v>
      </c>
      <c r="I30" s="377">
        <f t="shared" si="4"/>
        <v>0</v>
      </c>
      <c r="J30" s="374">
        <f t="shared" si="5"/>
        <v>0</v>
      </c>
      <c r="K30" s="369">
        <f t="shared" si="6"/>
        <v>0</v>
      </c>
      <c r="L30" s="373">
        <f t="shared" si="7"/>
        <v>0</v>
      </c>
      <c r="M30" s="113">
        <f>L30*D30*'B) D RI'!S32</f>
        <v>0</v>
      </c>
    </row>
    <row r="31" spans="1:22" x14ac:dyDescent="0.25">
      <c r="A31" s="295">
        <f>'A) Base RI'!A33</f>
        <v>5434</v>
      </c>
      <c r="B31" s="32" t="str">
        <f>'A) Base RI'!B33</f>
        <v>Saint-George</v>
      </c>
      <c r="C31" s="293">
        <f>'B) D RI'!U33</f>
        <v>39849.055598308893</v>
      </c>
      <c r="D31" s="32">
        <f>'B) D RI'!AA33</f>
        <v>1063</v>
      </c>
      <c r="E31" s="201">
        <f t="shared" si="1"/>
        <v>37.48735239728024</v>
      </c>
      <c r="F31" s="366">
        <f t="shared" si="0"/>
        <v>0.81493206773344984</v>
      </c>
      <c r="G31" s="377">
        <f t="shared" si="2"/>
        <v>0</v>
      </c>
      <c r="H31" s="374">
        <f t="shared" si="3"/>
        <v>0</v>
      </c>
      <c r="I31" s="377">
        <f t="shared" si="4"/>
        <v>0</v>
      </c>
      <c r="J31" s="374">
        <f t="shared" si="5"/>
        <v>0</v>
      </c>
      <c r="K31" s="369">
        <f t="shared" si="6"/>
        <v>0</v>
      </c>
      <c r="L31" s="373">
        <f t="shared" si="7"/>
        <v>0</v>
      </c>
      <c r="M31" s="113">
        <f>L31*D31*'B) D RI'!S33</f>
        <v>0</v>
      </c>
    </row>
    <row r="32" spans="1:22" x14ac:dyDescent="0.25">
      <c r="A32" s="295">
        <f>'A) Base RI'!A34</f>
        <v>5435</v>
      </c>
      <c r="B32" s="32" t="str">
        <f>'A) Base RI'!B34</f>
        <v>Saint-Livres</v>
      </c>
      <c r="C32" s="293">
        <f>'B) D RI'!U34</f>
        <v>24291.940869565216</v>
      </c>
      <c r="D32" s="32">
        <f>'B) D RI'!AA34</f>
        <v>691</v>
      </c>
      <c r="E32" s="201">
        <f t="shared" si="1"/>
        <v>35.154762474045178</v>
      </c>
      <c r="F32" s="366">
        <f t="shared" si="0"/>
        <v>0.76422423675165796</v>
      </c>
      <c r="G32" s="377">
        <f t="shared" si="2"/>
        <v>0</v>
      </c>
      <c r="H32" s="374">
        <f t="shared" si="3"/>
        <v>0</v>
      </c>
      <c r="I32" s="377">
        <f t="shared" si="4"/>
        <v>0</v>
      </c>
      <c r="J32" s="374">
        <f t="shared" si="5"/>
        <v>0</v>
      </c>
      <c r="K32" s="369">
        <f t="shared" si="6"/>
        <v>0</v>
      </c>
      <c r="L32" s="373">
        <f t="shared" si="7"/>
        <v>0</v>
      </c>
      <c r="M32" s="113">
        <f>L32*D32*'B) D RI'!S34</f>
        <v>0</v>
      </c>
    </row>
    <row r="33" spans="1:13" x14ac:dyDescent="0.25">
      <c r="A33" s="295">
        <f>'A) Base RI'!A35</f>
        <v>5436</v>
      </c>
      <c r="B33" s="32" t="str">
        <f>'A) Base RI'!B35</f>
        <v>Saint-Oyens</v>
      </c>
      <c r="C33" s="293">
        <f>'B) D RI'!U35</f>
        <v>16655.571776721274</v>
      </c>
      <c r="D33" s="32">
        <f>'B) D RI'!AA35</f>
        <v>447</v>
      </c>
      <c r="E33" s="201">
        <f t="shared" si="1"/>
        <v>37.260786972530816</v>
      </c>
      <c r="F33" s="366">
        <f t="shared" si="0"/>
        <v>0.81000679512120344</v>
      </c>
      <c r="G33" s="377">
        <f t="shared" si="2"/>
        <v>0</v>
      </c>
      <c r="H33" s="374">
        <f t="shared" si="3"/>
        <v>0</v>
      </c>
      <c r="I33" s="377">
        <f t="shared" si="4"/>
        <v>0</v>
      </c>
      <c r="J33" s="374">
        <f t="shared" si="5"/>
        <v>0</v>
      </c>
      <c r="K33" s="369">
        <f t="shared" si="6"/>
        <v>0</v>
      </c>
      <c r="L33" s="373">
        <f t="shared" si="7"/>
        <v>0</v>
      </c>
      <c r="M33" s="113">
        <f>L33*D33*'B) D RI'!S35</f>
        <v>0</v>
      </c>
    </row>
    <row r="34" spans="1:13" x14ac:dyDescent="0.25">
      <c r="A34" s="295">
        <f>'A) Base RI'!A36</f>
        <v>5437</v>
      </c>
      <c r="B34" s="32" t="str">
        <f>'A) Base RI'!B36</f>
        <v>Saubraz</v>
      </c>
      <c r="C34" s="293">
        <f>'B) D RI'!U36</f>
        <v>13155.457431390041</v>
      </c>
      <c r="D34" s="32">
        <f>'B) D RI'!AA36</f>
        <v>423</v>
      </c>
      <c r="E34" s="201">
        <f t="shared" si="1"/>
        <v>31.100372178227047</v>
      </c>
      <c r="F34" s="366">
        <f t="shared" si="0"/>
        <v>0.67608643944460634</v>
      </c>
      <c r="G34" s="377">
        <f t="shared" si="2"/>
        <v>0</v>
      </c>
      <c r="H34" s="374">
        <f t="shared" si="3"/>
        <v>0</v>
      </c>
      <c r="I34" s="377">
        <f t="shared" si="4"/>
        <v>0</v>
      </c>
      <c r="J34" s="374">
        <f t="shared" si="5"/>
        <v>0</v>
      </c>
      <c r="K34" s="369">
        <f t="shared" si="6"/>
        <v>0</v>
      </c>
      <c r="L34" s="373">
        <f t="shared" si="7"/>
        <v>0</v>
      </c>
      <c r="M34" s="113">
        <f>L34*D34*'B) D RI'!S36</f>
        <v>0</v>
      </c>
    </row>
    <row r="35" spans="1:13" x14ac:dyDescent="0.25">
      <c r="A35" s="295">
        <f>'A) Base RI'!A37</f>
        <v>5451</v>
      </c>
      <c r="B35" s="32" t="str">
        <f>'A) Base RI'!B37</f>
        <v>Avenches</v>
      </c>
      <c r="C35" s="293">
        <f>'B) D RI'!U37</f>
        <v>131058.88480778445</v>
      </c>
      <c r="D35" s="32">
        <f>'B) D RI'!AA37</f>
        <v>4305</v>
      </c>
      <c r="E35" s="201">
        <f t="shared" si="1"/>
        <v>30.443411105176409</v>
      </c>
      <c r="F35" s="366">
        <f t="shared" si="0"/>
        <v>0.66180485881955298</v>
      </c>
      <c r="G35" s="377">
        <f t="shared" si="2"/>
        <v>0</v>
      </c>
      <c r="H35" s="374">
        <f t="shared" si="3"/>
        <v>0</v>
      </c>
      <c r="I35" s="377">
        <f t="shared" si="4"/>
        <v>0</v>
      </c>
      <c r="J35" s="374">
        <f t="shared" si="5"/>
        <v>0</v>
      </c>
      <c r="K35" s="369">
        <f t="shared" si="6"/>
        <v>0</v>
      </c>
      <c r="L35" s="373">
        <f t="shared" si="7"/>
        <v>0</v>
      </c>
      <c r="M35" s="113">
        <f>L35*D35*'B) D RI'!S37</f>
        <v>0</v>
      </c>
    </row>
    <row r="36" spans="1:13" x14ac:dyDescent="0.25">
      <c r="A36" s="295">
        <f>'A) Base RI'!A38</f>
        <v>5456</v>
      </c>
      <c r="B36" s="32" t="str">
        <f>'A) Base RI'!B38</f>
        <v>Cudrefin</v>
      </c>
      <c r="C36" s="293">
        <f>'B) D RI'!U38</f>
        <v>57483.919740251898</v>
      </c>
      <c r="D36" s="32">
        <f>'B) D RI'!AA38</f>
        <v>1735</v>
      </c>
      <c r="E36" s="201">
        <f t="shared" si="1"/>
        <v>33.131942213401672</v>
      </c>
      <c r="F36" s="366">
        <f t="shared" si="0"/>
        <v>0.72025044313216169</v>
      </c>
      <c r="G36" s="377">
        <f t="shared" si="2"/>
        <v>0</v>
      </c>
      <c r="H36" s="374">
        <f t="shared" si="3"/>
        <v>0</v>
      </c>
      <c r="I36" s="377">
        <f t="shared" si="4"/>
        <v>0</v>
      </c>
      <c r="J36" s="374">
        <f t="shared" si="5"/>
        <v>0</v>
      </c>
      <c r="K36" s="369">
        <f t="shared" si="6"/>
        <v>0</v>
      </c>
      <c r="L36" s="373">
        <f t="shared" si="7"/>
        <v>0</v>
      </c>
      <c r="M36" s="113">
        <f>L36*D36*'B) D RI'!S38</f>
        <v>0</v>
      </c>
    </row>
    <row r="37" spans="1:13" x14ac:dyDescent="0.25">
      <c r="A37" s="295">
        <f>'A) Base RI'!A39</f>
        <v>5458</v>
      </c>
      <c r="B37" s="32" t="str">
        <f>'A) Base RI'!B39</f>
        <v>Faoug</v>
      </c>
      <c r="C37" s="293">
        <f>'B) D RI'!U39</f>
        <v>33103.176846222719</v>
      </c>
      <c r="D37" s="32">
        <f>'B) D RI'!AA39</f>
        <v>884</v>
      </c>
      <c r="E37" s="201">
        <f t="shared" si="1"/>
        <v>37.447032631473661</v>
      </c>
      <c r="F37" s="366">
        <f t="shared" ref="F37:F68" si="8">E37/$E$313</f>
        <v>0.81405556224511699</v>
      </c>
      <c r="G37" s="377">
        <f t="shared" si="2"/>
        <v>0</v>
      </c>
      <c r="H37" s="374">
        <f t="shared" si="3"/>
        <v>0</v>
      </c>
      <c r="I37" s="377">
        <f t="shared" si="4"/>
        <v>0</v>
      </c>
      <c r="J37" s="374">
        <f t="shared" si="5"/>
        <v>0</v>
      </c>
      <c r="K37" s="369">
        <f t="shared" si="6"/>
        <v>0</v>
      </c>
      <c r="L37" s="373">
        <f t="shared" si="7"/>
        <v>0</v>
      </c>
      <c r="M37" s="113">
        <f>L37*D37*'B) D RI'!S39</f>
        <v>0</v>
      </c>
    </row>
    <row r="38" spans="1:13" x14ac:dyDescent="0.25">
      <c r="A38" s="295">
        <f>'A) Base RI'!A40</f>
        <v>5464</v>
      </c>
      <c r="B38" s="32" t="str">
        <f>'A) Base RI'!B40</f>
        <v>Vully-les-Lacs</v>
      </c>
      <c r="C38" s="293">
        <f>'B) D RI'!U40</f>
        <v>112706.50074312353</v>
      </c>
      <c r="D38" s="32">
        <f>'B) D RI'!AA40</f>
        <v>3278</v>
      </c>
      <c r="E38" s="201">
        <f t="shared" si="1"/>
        <v>34.382703094302478</v>
      </c>
      <c r="F38" s="366">
        <f t="shared" si="8"/>
        <v>0.747440550881317</v>
      </c>
      <c r="G38" s="377">
        <f t="shared" si="2"/>
        <v>0</v>
      </c>
      <c r="H38" s="374">
        <f t="shared" si="3"/>
        <v>0</v>
      </c>
      <c r="I38" s="377">
        <f t="shared" si="4"/>
        <v>0</v>
      </c>
      <c r="J38" s="374">
        <f t="shared" si="5"/>
        <v>0</v>
      </c>
      <c r="K38" s="369">
        <f t="shared" si="6"/>
        <v>0</v>
      </c>
      <c r="L38" s="373">
        <f t="shared" si="7"/>
        <v>0</v>
      </c>
      <c r="M38" s="113">
        <f>L38*D38*'B) D RI'!S40</f>
        <v>0</v>
      </c>
    </row>
    <row r="39" spans="1:13" x14ac:dyDescent="0.25">
      <c r="A39" s="295">
        <f>'A) Base RI'!A41</f>
        <v>5471</v>
      </c>
      <c r="B39" s="32" t="str">
        <f>'A) Base RI'!B41</f>
        <v>Bettens</v>
      </c>
      <c r="C39" s="293">
        <f>'B) D RI'!U41</f>
        <v>21669.887846159098</v>
      </c>
      <c r="D39" s="32">
        <f>'B) D RI'!AA41</f>
        <v>650</v>
      </c>
      <c r="E39" s="201">
        <f t="shared" si="1"/>
        <v>33.338288994090917</v>
      </c>
      <c r="F39" s="366">
        <f t="shared" si="8"/>
        <v>0.72473618560005137</v>
      </c>
      <c r="G39" s="377">
        <f t="shared" si="2"/>
        <v>0</v>
      </c>
      <c r="H39" s="374">
        <f t="shared" si="3"/>
        <v>0</v>
      </c>
      <c r="I39" s="377">
        <f t="shared" si="4"/>
        <v>0</v>
      </c>
      <c r="J39" s="374">
        <f t="shared" si="5"/>
        <v>0</v>
      </c>
      <c r="K39" s="369">
        <f t="shared" si="6"/>
        <v>0</v>
      </c>
      <c r="L39" s="373">
        <f t="shared" si="7"/>
        <v>0</v>
      </c>
      <c r="M39" s="113">
        <f>L39*D39*'B) D RI'!S41</f>
        <v>0</v>
      </c>
    </row>
    <row r="40" spans="1:13" x14ac:dyDescent="0.25">
      <c r="A40" s="295">
        <f>'A) Base RI'!A42</f>
        <v>5472</v>
      </c>
      <c r="B40" s="32" t="str">
        <f>'A) Base RI'!B42</f>
        <v>Bournens</v>
      </c>
      <c r="C40" s="293">
        <f>'B) D RI'!U42</f>
        <v>15019.940865033717</v>
      </c>
      <c r="D40" s="32">
        <f>'B) D RI'!AA42</f>
        <v>422</v>
      </c>
      <c r="E40" s="201">
        <f t="shared" si="1"/>
        <v>35.592276931359521</v>
      </c>
      <c r="F40" s="366">
        <f t="shared" si="8"/>
        <v>0.77373529951180964</v>
      </c>
      <c r="G40" s="377">
        <f t="shared" si="2"/>
        <v>0</v>
      </c>
      <c r="H40" s="374">
        <f t="shared" si="3"/>
        <v>0</v>
      </c>
      <c r="I40" s="377">
        <f t="shared" si="4"/>
        <v>0</v>
      </c>
      <c r="J40" s="374">
        <f t="shared" si="5"/>
        <v>0</v>
      </c>
      <c r="K40" s="369">
        <f t="shared" si="6"/>
        <v>0</v>
      </c>
      <c r="L40" s="373">
        <f t="shared" si="7"/>
        <v>0</v>
      </c>
      <c r="M40" s="113">
        <f>L40*D40*'B) D RI'!S42</f>
        <v>0</v>
      </c>
    </row>
    <row r="41" spans="1:13" x14ac:dyDescent="0.25">
      <c r="A41" s="295">
        <f>'A) Base RI'!A43</f>
        <v>5473</v>
      </c>
      <c r="B41" s="32" t="str">
        <f>'A) Base RI'!B43</f>
        <v>Boussens</v>
      </c>
      <c r="C41" s="293">
        <f>'B) D RI'!U43</f>
        <v>34282.214706986073</v>
      </c>
      <c r="D41" s="32">
        <f>'B) D RI'!AA43</f>
        <v>993</v>
      </c>
      <c r="E41" s="201">
        <f t="shared" si="1"/>
        <v>34.523881880147101</v>
      </c>
      <c r="F41" s="366">
        <f t="shared" si="8"/>
        <v>0.75050961584619313</v>
      </c>
      <c r="G41" s="377">
        <f t="shared" si="2"/>
        <v>0</v>
      </c>
      <c r="H41" s="374">
        <f t="shared" si="3"/>
        <v>0</v>
      </c>
      <c r="I41" s="377">
        <f t="shared" si="4"/>
        <v>0</v>
      </c>
      <c r="J41" s="374">
        <f t="shared" si="5"/>
        <v>0</v>
      </c>
      <c r="K41" s="369">
        <f t="shared" si="6"/>
        <v>0</v>
      </c>
      <c r="L41" s="373">
        <f t="shared" si="7"/>
        <v>0</v>
      </c>
      <c r="M41" s="113">
        <f>L41*D41*'B) D RI'!S43</f>
        <v>0</v>
      </c>
    </row>
    <row r="42" spans="1:13" x14ac:dyDescent="0.25">
      <c r="A42" s="295">
        <f>'A) Base RI'!A44</f>
        <v>5474</v>
      </c>
      <c r="B42" s="32" t="str">
        <f>'A) Base RI'!B44</f>
        <v>La Chaux (Cossonay)</v>
      </c>
      <c r="C42" s="293">
        <f>'B) D RI'!U44</f>
        <v>15312.847748917748</v>
      </c>
      <c r="D42" s="32">
        <f>'B) D RI'!AA44</f>
        <v>395</v>
      </c>
      <c r="E42" s="201">
        <f t="shared" si="1"/>
        <v>38.766703161817084</v>
      </c>
      <c r="F42" s="366">
        <f t="shared" si="8"/>
        <v>0.84274368677902489</v>
      </c>
      <c r="G42" s="377">
        <f t="shared" si="2"/>
        <v>0</v>
      </c>
      <c r="H42" s="374">
        <f t="shared" si="3"/>
        <v>0</v>
      </c>
      <c r="I42" s="377">
        <f t="shared" si="4"/>
        <v>0</v>
      </c>
      <c r="J42" s="374">
        <f t="shared" si="5"/>
        <v>0</v>
      </c>
      <c r="K42" s="369">
        <f t="shared" si="6"/>
        <v>0</v>
      </c>
      <c r="L42" s="373">
        <f t="shared" si="7"/>
        <v>0</v>
      </c>
      <c r="M42" s="113">
        <f>L42*D42*'B) D RI'!S44</f>
        <v>0</v>
      </c>
    </row>
    <row r="43" spans="1:13" x14ac:dyDescent="0.25">
      <c r="A43" s="295">
        <f>'A) Base RI'!A45</f>
        <v>5475</v>
      </c>
      <c r="B43" s="32" t="str">
        <f>'A) Base RI'!B45</f>
        <v>Chavannes-le-Veyron</v>
      </c>
      <c r="C43" s="293">
        <f>'B) D RI'!U45</f>
        <v>3043.2190909090909</v>
      </c>
      <c r="D43" s="32">
        <f>'B) D RI'!AA45</f>
        <v>152</v>
      </c>
      <c r="E43" s="201">
        <f t="shared" si="1"/>
        <v>20.021178229665072</v>
      </c>
      <c r="F43" s="366">
        <f t="shared" si="8"/>
        <v>0.43523746356503507</v>
      </c>
      <c r="G43" s="377">
        <f t="shared" si="2"/>
        <v>0</v>
      </c>
      <c r="H43" s="374">
        <f t="shared" si="3"/>
        <v>0</v>
      </c>
      <c r="I43" s="377">
        <f t="shared" si="4"/>
        <v>0</v>
      </c>
      <c r="J43" s="374">
        <f t="shared" si="5"/>
        <v>0</v>
      </c>
      <c r="K43" s="369">
        <f t="shared" si="6"/>
        <v>0</v>
      </c>
      <c r="L43" s="373">
        <f t="shared" si="7"/>
        <v>0</v>
      </c>
      <c r="M43" s="113">
        <f>L43*D43*'B) D RI'!S45</f>
        <v>0</v>
      </c>
    </row>
    <row r="44" spans="1:13" x14ac:dyDescent="0.25">
      <c r="A44" s="295">
        <f>'A) Base RI'!A46</f>
        <v>5476</v>
      </c>
      <c r="B44" s="32" t="str">
        <f>'A) Base RI'!B46</f>
        <v>Chevilly</v>
      </c>
      <c r="C44" s="293">
        <f>'B) D RI'!U46</f>
        <v>12636.676556913548</v>
      </c>
      <c r="D44" s="32">
        <f>'B) D RI'!AA46</f>
        <v>317</v>
      </c>
      <c r="E44" s="201">
        <f t="shared" si="1"/>
        <v>39.863332987108983</v>
      </c>
      <c r="F44" s="366">
        <f t="shared" si="8"/>
        <v>0.86658316206637898</v>
      </c>
      <c r="G44" s="377">
        <f t="shared" si="2"/>
        <v>0</v>
      </c>
      <c r="H44" s="374">
        <f t="shared" si="3"/>
        <v>0</v>
      </c>
      <c r="I44" s="377">
        <f t="shared" si="4"/>
        <v>0</v>
      </c>
      <c r="J44" s="374">
        <f t="shared" si="5"/>
        <v>0</v>
      </c>
      <c r="K44" s="369">
        <f t="shared" si="6"/>
        <v>0</v>
      </c>
      <c r="L44" s="373">
        <f t="shared" si="7"/>
        <v>0</v>
      </c>
      <c r="M44" s="113">
        <f>L44*D44*'B) D RI'!S46</f>
        <v>0</v>
      </c>
    </row>
    <row r="45" spans="1:13" x14ac:dyDescent="0.25">
      <c r="A45" s="295">
        <f>'A) Base RI'!A47</f>
        <v>5477</v>
      </c>
      <c r="B45" s="32" t="str">
        <f>'A) Base RI'!B47</f>
        <v>Cossonay</v>
      </c>
      <c r="C45" s="293">
        <f>'B) D RI'!U47</f>
        <v>144296.3607707771</v>
      </c>
      <c r="D45" s="32">
        <f>'B) D RI'!AA47</f>
        <v>4045</v>
      </c>
      <c r="E45" s="201">
        <f t="shared" si="1"/>
        <v>35.672771513171099</v>
      </c>
      <c r="F45" s="366">
        <f t="shared" si="8"/>
        <v>0.77548515944595131</v>
      </c>
      <c r="G45" s="377">
        <f t="shared" si="2"/>
        <v>0</v>
      </c>
      <c r="H45" s="374">
        <f t="shared" si="3"/>
        <v>0</v>
      </c>
      <c r="I45" s="377">
        <f t="shared" si="4"/>
        <v>0</v>
      </c>
      <c r="J45" s="374">
        <f t="shared" si="5"/>
        <v>0</v>
      </c>
      <c r="K45" s="369">
        <f t="shared" si="6"/>
        <v>0</v>
      </c>
      <c r="L45" s="373">
        <f t="shared" si="7"/>
        <v>0</v>
      </c>
      <c r="M45" s="113">
        <f>L45*D45*'B) D RI'!S47</f>
        <v>0</v>
      </c>
    </row>
    <row r="46" spans="1:13" x14ac:dyDescent="0.25">
      <c r="A46" s="295">
        <f>'A) Base RI'!A48</f>
        <v>5478</v>
      </c>
      <c r="B46" s="32" t="str">
        <f>'A) Base RI'!B48</f>
        <v>Cottens</v>
      </c>
      <c r="C46" s="293">
        <f>'B) D RI'!U48</f>
        <v>17520.338093666011</v>
      </c>
      <c r="D46" s="32">
        <f>'B) D RI'!AA48</f>
        <v>487</v>
      </c>
      <c r="E46" s="201">
        <f t="shared" si="1"/>
        <v>35.97605358042302</v>
      </c>
      <c r="F46" s="366">
        <f t="shared" si="8"/>
        <v>0.78207816392257612</v>
      </c>
      <c r="G46" s="377">
        <f t="shared" si="2"/>
        <v>0</v>
      </c>
      <c r="H46" s="374">
        <f t="shared" si="3"/>
        <v>0</v>
      </c>
      <c r="I46" s="377">
        <f t="shared" si="4"/>
        <v>0</v>
      </c>
      <c r="J46" s="374">
        <f t="shared" si="5"/>
        <v>0</v>
      </c>
      <c r="K46" s="369">
        <f t="shared" si="6"/>
        <v>0</v>
      </c>
      <c r="L46" s="373">
        <f t="shared" si="7"/>
        <v>0</v>
      </c>
      <c r="M46" s="113">
        <f>L46*D46*'B) D RI'!S48</f>
        <v>0</v>
      </c>
    </row>
    <row r="47" spans="1:13" x14ac:dyDescent="0.25">
      <c r="A47" s="295">
        <f>'A) Base RI'!A49</f>
        <v>5479</v>
      </c>
      <c r="B47" s="32" t="str">
        <f>'A) Base RI'!B49</f>
        <v>Cuarnens</v>
      </c>
      <c r="C47" s="293">
        <f>'B) D RI'!U49</f>
        <v>17273.482190037128</v>
      </c>
      <c r="D47" s="32">
        <f>'B) D RI'!AA49</f>
        <v>486</v>
      </c>
      <c r="E47" s="201">
        <f t="shared" si="1"/>
        <v>35.542144423944706</v>
      </c>
      <c r="F47" s="366">
        <f t="shared" si="8"/>
        <v>0.77264547626968649</v>
      </c>
      <c r="G47" s="377">
        <f t="shared" si="2"/>
        <v>0</v>
      </c>
      <c r="H47" s="374">
        <f t="shared" si="3"/>
        <v>0</v>
      </c>
      <c r="I47" s="377">
        <f t="shared" si="4"/>
        <v>0</v>
      </c>
      <c r="J47" s="374">
        <f t="shared" si="5"/>
        <v>0</v>
      </c>
      <c r="K47" s="369">
        <f t="shared" si="6"/>
        <v>0</v>
      </c>
      <c r="L47" s="373">
        <f t="shared" si="7"/>
        <v>0</v>
      </c>
      <c r="M47" s="113">
        <f>L47*D47*'B) D RI'!S49</f>
        <v>0</v>
      </c>
    </row>
    <row r="48" spans="1:13" x14ac:dyDescent="0.25">
      <c r="A48" s="295">
        <f>'A) Base RI'!A50</f>
        <v>5480</v>
      </c>
      <c r="B48" s="32" t="str">
        <f>'A) Base RI'!B50</f>
        <v>Daillens</v>
      </c>
      <c r="C48" s="293">
        <f>'B) D RI'!U50</f>
        <v>40220.975555555553</v>
      </c>
      <c r="D48" s="32">
        <f>'B) D RI'!AA50</f>
        <v>1034</v>
      </c>
      <c r="E48" s="201">
        <f t="shared" si="1"/>
        <v>38.89842897055663</v>
      </c>
      <c r="F48" s="366">
        <f t="shared" si="8"/>
        <v>0.84560725485799559</v>
      </c>
      <c r="G48" s="377">
        <f t="shared" si="2"/>
        <v>0</v>
      </c>
      <c r="H48" s="374">
        <f t="shared" si="3"/>
        <v>0</v>
      </c>
      <c r="I48" s="377">
        <f t="shared" si="4"/>
        <v>0</v>
      </c>
      <c r="J48" s="374">
        <f t="shared" si="5"/>
        <v>0</v>
      </c>
      <c r="K48" s="369">
        <f t="shared" si="6"/>
        <v>0</v>
      </c>
      <c r="L48" s="373">
        <f t="shared" si="7"/>
        <v>0</v>
      </c>
      <c r="M48" s="113">
        <f>L48*D48*'B) D RI'!S50</f>
        <v>0</v>
      </c>
    </row>
    <row r="49" spans="1:13" x14ac:dyDescent="0.25">
      <c r="A49" s="295">
        <f>'A) Base RI'!A51</f>
        <v>5481</v>
      </c>
      <c r="B49" s="32" t="str">
        <f>'A) Base RI'!B51</f>
        <v>Dizy</v>
      </c>
      <c r="C49" s="293">
        <f>'B) D RI'!U51</f>
        <v>9702.0464562011348</v>
      </c>
      <c r="D49" s="32">
        <f>'B) D RI'!AA51</f>
        <v>234</v>
      </c>
      <c r="E49" s="201">
        <f t="shared" si="1"/>
        <v>41.461736992312545</v>
      </c>
      <c r="F49" s="366">
        <f t="shared" si="8"/>
        <v>0.90133063281943415</v>
      </c>
      <c r="G49" s="377">
        <f t="shared" si="2"/>
        <v>0</v>
      </c>
      <c r="H49" s="374">
        <f t="shared" si="3"/>
        <v>0</v>
      </c>
      <c r="I49" s="377">
        <f t="shared" si="4"/>
        <v>0</v>
      </c>
      <c r="J49" s="374">
        <f t="shared" si="5"/>
        <v>0</v>
      </c>
      <c r="K49" s="369">
        <f t="shared" si="6"/>
        <v>0</v>
      </c>
      <c r="L49" s="373">
        <f t="shared" si="7"/>
        <v>0</v>
      </c>
      <c r="M49" s="113">
        <f>L49*D49*'B) D RI'!S51</f>
        <v>0</v>
      </c>
    </row>
    <row r="50" spans="1:13" x14ac:dyDescent="0.25">
      <c r="A50" s="295">
        <f>'A) Base RI'!A52</f>
        <v>5482</v>
      </c>
      <c r="B50" s="32" t="str">
        <f>'A) Base RI'!B52</f>
        <v>Eclépens</v>
      </c>
      <c r="C50" s="293">
        <f>'B) D RI'!U52</f>
        <v>60387.408967257215</v>
      </c>
      <c r="D50" s="32">
        <f>'B) D RI'!AA52</f>
        <v>1222</v>
      </c>
      <c r="E50" s="201">
        <f t="shared" si="1"/>
        <v>49.416864948655657</v>
      </c>
      <c r="F50" s="366">
        <f t="shared" si="8"/>
        <v>1.0742659952809668</v>
      </c>
      <c r="G50" s="377">
        <f t="shared" si="2"/>
        <v>3.4162792783152156</v>
      </c>
      <c r="H50" s="374">
        <f t="shared" si="3"/>
        <v>0</v>
      </c>
      <c r="I50" s="377">
        <f t="shared" si="4"/>
        <v>0</v>
      </c>
      <c r="J50" s="374">
        <f t="shared" si="5"/>
        <v>0</v>
      </c>
      <c r="K50" s="369">
        <f t="shared" si="6"/>
        <v>0</v>
      </c>
      <c r="L50" s="373">
        <f t="shared" si="7"/>
        <v>0.68325585566304314</v>
      </c>
      <c r="M50" s="113">
        <f>L50*D50*'B) D RI'!S52</f>
        <v>38407.17815853098</v>
      </c>
    </row>
    <row r="51" spans="1:13" x14ac:dyDescent="0.25">
      <c r="A51" s="295">
        <f>'A) Base RI'!A53</f>
        <v>5483</v>
      </c>
      <c r="B51" s="32" t="str">
        <f>'A) Base RI'!B53</f>
        <v>Ferreyres</v>
      </c>
      <c r="C51" s="293">
        <f>'B) D RI'!U53</f>
        <v>11155.704681224479</v>
      </c>
      <c r="D51" s="32">
        <f>'B) D RI'!AA53</f>
        <v>320</v>
      </c>
      <c r="E51" s="201">
        <f t="shared" si="1"/>
        <v>34.861577128826497</v>
      </c>
      <c r="F51" s="366">
        <f t="shared" si="8"/>
        <v>0.75785072343772386</v>
      </c>
      <c r="G51" s="377">
        <f t="shared" si="2"/>
        <v>0</v>
      </c>
      <c r="H51" s="374">
        <f t="shared" si="3"/>
        <v>0</v>
      </c>
      <c r="I51" s="377">
        <f t="shared" si="4"/>
        <v>0</v>
      </c>
      <c r="J51" s="374">
        <f t="shared" si="5"/>
        <v>0</v>
      </c>
      <c r="K51" s="369">
        <f t="shared" si="6"/>
        <v>0</v>
      </c>
      <c r="L51" s="373">
        <f t="shared" si="7"/>
        <v>0</v>
      </c>
      <c r="M51" s="113">
        <f>L51*D51*'B) D RI'!S53</f>
        <v>0</v>
      </c>
    </row>
    <row r="52" spans="1:13" x14ac:dyDescent="0.25">
      <c r="A52" s="295">
        <f>'A) Base RI'!A54</f>
        <v>5484</v>
      </c>
      <c r="B52" s="32" t="str">
        <f>'A) Base RI'!B54</f>
        <v>Gollion</v>
      </c>
      <c r="C52" s="293">
        <f>'B) D RI'!U54</f>
        <v>33762.861845883657</v>
      </c>
      <c r="D52" s="32">
        <f>'B) D RI'!AA54</f>
        <v>939</v>
      </c>
      <c r="E52" s="201">
        <f t="shared" si="1"/>
        <v>35.956189399237118</v>
      </c>
      <c r="F52" s="366">
        <f t="shared" si="8"/>
        <v>0.78164633939477002</v>
      </c>
      <c r="G52" s="377">
        <f t="shared" si="2"/>
        <v>0</v>
      </c>
      <c r="H52" s="374">
        <f t="shared" si="3"/>
        <v>0</v>
      </c>
      <c r="I52" s="377">
        <f t="shared" si="4"/>
        <v>0</v>
      </c>
      <c r="J52" s="374">
        <f t="shared" si="5"/>
        <v>0</v>
      </c>
      <c r="K52" s="369">
        <f t="shared" si="6"/>
        <v>0</v>
      </c>
      <c r="L52" s="373">
        <f t="shared" si="7"/>
        <v>0</v>
      </c>
      <c r="M52" s="113">
        <f>L52*D52*'B) D RI'!S54</f>
        <v>0</v>
      </c>
    </row>
    <row r="53" spans="1:13" x14ac:dyDescent="0.25">
      <c r="A53" s="295">
        <f>'A) Base RI'!A55</f>
        <v>5485</v>
      </c>
      <c r="B53" s="32" t="str">
        <f>'A) Base RI'!B55</f>
        <v>Grancy</v>
      </c>
      <c r="C53" s="293">
        <f>'B) D RI'!U55</f>
        <v>16914.094370194773</v>
      </c>
      <c r="D53" s="32">
        <f>'B) D RI'!AA55</f>
        <v>397</v>
      </c>
      <c r="E53" s="201">
        <f t="shared" si="1"/>
        <v>42.604771713336959</v>
      </c>
      <c r="F53" s="366">
        <f t="shared" si="8"/>
        <v>0.92617889734406178</v>
      </c>
      <c r="G53" s="377">
        <f t="shared" si="2"/>
        <v>0</v>
      </c>
      <c r="H53" s="374">
        <f t="shared" si="3"/>
        <v>0</v>
      </c>
      <c r="I53" s="377">
        <f t="shared" si="4"/>
        <v>0</v>
      </c>
      <c r="J53" s="374">
        <f t="shared" si="5"/>
        <v>0</v>
      </c>
      <c r="K53" s="369">
        <f t="shared" si="6"/>
        <v>0</v>
      </c>
      <c r="L53" s="373">
        <f t="shared" si="7"/>
        <v>0</v>
      </c>
      <c r="M53" s="113">
        <f>L53*D53*'B) D RI'!S55</f>
        <v>0</v>
      </c>
    </row>
    <row r="54" spans="1:13" x14ac:dyDescent="0.25">
      <c r="A54" s="295">
        <f>'A) Base RI'!A56</f>
        <v>5486</v>
      </c>
      <c r="B54" s="32" t="str">
        <f>'A) Base RI'!B56</f>
        <v>L'Isle</v>
      </c>
      <c r="C54" s="293">
        <f>'B) D RI'!U56</f>
        <v>35759.534807519231</v>
      </c>
      <c r="D54" s="32">
        <f>'B) D RI'!AA56</f>
        <v>1011</v>
      </c>
      <c r="E54" s="201">
        <f t="shared" si="1"/>
        <v>35.370459750266299</v>
      </c>
      <c r="F54" s="366">
        <f t="shared" si="8"/>
        <v>0.76891324827353069</v>
      </c>
      <c r="G54" s="377">
        <f t="shared" si="2"/>
        <v>0</v>
      </c>
      <c r="H54" s="374">
        <f t="shared" si="3"/>
        <v>0</v>
      </c>
      <c r="I54" s="377">
        <f t="shared" si="4"/>
        <v>0</v>
      </c>
      <c r="J54" s="374">
        <f t="shared" si="5"/>
        <v>0</v>
      </c>
      <c r="K54" s="369">
        <f t="shared" si="6"/>
        <v>0</v>
      </c>
      <c r="L54" s="373">
        <f t="shared" si="7"/>
        <v>0</v>
      </c>
      <c r="M54" s="113">
        <f>L54*D54*'B) D RI'!S56</f>
        <v>0</v>
      </c>
    </row>
    <row r="55" spans="1:13" x14ac:dyDescent="0.25">
      <c r="A55" s="295">
        <f>'A) Base RI'!A57</f>
        <v>5487</v>
      </c>
      <c r="B55" s="32" t="str">
        <f>'A) Base RI'!B57</f>
        <v>Lussery-Villars</v>
      </c>
      <c r="C55" s="293">
        <f>'B) D RI'!U57</f>
        <v>15494.848822945682</v>
      </c>
      <c r="D55" s="32">
        <f>'B) D RI'!AA57</f>
        <v>459</v>
      </c>
      <c r="E55" s="201">
        <f t="shared" si="1"/>
        <v>33.757840572866407</v>
      </c>
      <c r="F55" s="366">
        <f t="shared" si="8"/>
        <v>0.73385675597239786</v>
      </c>
      <c r="G55" s="377">
        <f t="shared" si="2"/>
        <v>0</v>
      </c>
      <c r="H55" s="374">
        <f t="shared" si="3"/>
        <v>0</v>
      </c>
      <c r="I55" s="377">
        <f t="shared" si="4"/>
        <v>0</v>
      </c>
      <c r="J55" s="374">
        <f t="shared" si="5"/>
        <v>0</v>
      </c>
      <c r="K55" s="369">
        <f t="shared" si="6"/>
        <v>0</v>
      </c>
      <c r="L55" s="373">
        <f t="shared" si="7"/>
        <v>0</v>
      </c>
      <c r="M55" s="113">
        <f>L55*D55*'B) D RI'!S57</f>
        <v>0</v>
      </c>
    </row>
    <row r="56" spans="1:13" x14ac:dyDescent="0.25">
      <c r="A56" s="295">
        <f>'A) Base RI'!A58</f>
        <v>5488</v>
      </c>
      <c r="B56" s="32" t="str">
        <f>'A) Base RI'!B58</f>
        <v>Mauraz</v>
      </c>
      <c r="C56" s="293">
        <f>'B) D RI'!U58</f>
        <v>1750.6115384615387</v>
      </c>
      <c r="D56" s="32">
        <f>'B) D RI'!AA58</f>
        <v>57</v>
      </c>
      <c r="E56" s="201">
        <f t="shared" si="1"/>
        <v>30.712483130904186</v>
      </c>
      <c r="F56" s="366">
        <f t="shared" si="8"/>
        <v>0.66765417620990231</v>
      </c>
      <c r="G56" s="377">
        <f t="shared" si="2"/>
        <v>0</v>
      </c>
      <c r="H56" s="374">
        <f t="shared" si="3"/>
        <v>0</v>
      </c>
      <c r="I56" s="377">
        <f t="shared" si="4"/>
        <v>0</v>
      </c>
      <c r="J56" s="374">
        <f t="shared" si="5"/>
        <v>0</v>
      </c>
      <c r="K56" s="369">
        <f t="shared" si="6"/>
        <v>0</v>
      </c>
      <c r="L56" s="373">
        <f t="shared" si="7"/>
        <v>0</v>
      </c>
      <c r="M56" s="113">
        <f>L56*D56*'B) D RI'!S58</f>
        <v>0</v>
      </c>
    </row>
    <row r="57" spans="1:13" x14ac:dyDescent="0.25">
      <c r="A57" s="295">
        <f>'A) Base RI'!A59</f>
        <v>5489</v>
      </c>
      <c r="B57" s="32" t="str">
        <f>'A) Base RI'!B59</f>
        <v>Mex</v>
      </c>
      <c r="C57" s="293">
        <f>'B) D RI'!U59</f>
        <v>63473.912067537727</v>
      </c>
      <c r="D57" s="32">
        <f>'B) D RI'!AA59</f>
        <v>718</v>
      </c>
      <c r="E57" s="201">
        <f t="shared" si="1"/>
        <v>88.403777252838054</v>
      </c>
      <c r="F57" s="366">
        <f t="shared" si="8"/>
        <v>1.9217967763796906</v>
      </c>
      <c r="G57" s="377">
        <f t="shared" si="2"/>
        <v>42.403191582497612</v>
      </c>
      <c r="H57" s="374">
        <f t="shared" si="3"/>
        <v>33.203074448429525</v>
      </c>
      <c r="I57" s="377">
        <f t="shared" si="4"/>
        <v>19.402898747327399</v>
      </c>
      <c r="J57" s="374">
        <f t="shared" si="5"/>
        <v>0</v>
      </c>
      <c r="K57" s="369">
        <f t="shared" si="6"/>
        <v>0</v>
      </c>
      <c r="L57" s="373">
        <f t="shared" si="7"/>
        <v>13.741235636075215</v>
      </c>
      <c r="M57" s="113">
        <f>L57*D57*'B) D RI'!S59</f>
        <v>601838.6383888222</v>
      </c>
    </row>
    <row r="58" spans="1:13" x14ac:dyDescent="0.25">
      <c r="A58" s="295">
        <f>'A) Base RI'!A60</f>
        <v>5490</v>
      </c>
      <c r="B58" s="32" t="str">
        <f>'A) Base RI'!B60</f>
        <v>Moiry</v>
      </c>
      <c r="C58" s="293">
        <f>'B) D RI'!U60</f>
        <v>8338.3158944329061</v>
      </c>
      <c r="D58" s="32">
        <f>'B) D RI'!AA60</f>
        <v>310</v>
      </c>
      <c r="E58" s="201">
        <f t="shared" si="1"/>
        <v>26.897793207848085</v>
      </c>
      <c r="F58" s="366">
        <f t="shared" si="8"/>
        <v>0.58472719022772868</v>
      </c>
      <c r="G58" s="377">
        <f t="shared" si="2"/>
        <v>0</v>
      </c>
      <c r="H58" s="374">
        <f t="shared" si="3"/>
        <v>0</v>
      </c>
      <c r="I58" s="377">
        <f t="shared" si="4"/>
        <v>0</v>
      </c>
      <c r="J58" s="374">
        <f t="shared" si="5"/>
        <v>0</v>
      </c>
      <c r="K58" s="369">
        <f t="shared" si="6"/>
        <v>0</v>
      </c>
      <c r="L58" s="373">
        <f t="shared" si="7"/>
        <v>0</v>
      </c>
      <c r="M58" s="113">
        <f>L58*D58*'B) D RI'!S60</f>
        <v>0</v>
      </c>
    </row>
    <row r="59" spans="1:13" x14ac:dyDescent="0.25">
      <c r="A59" s="295">
        <f>'A) Base RI'!A61</f>
        <v>5491</v>
      </c>
      <c r="B59" s="32" t="str">
        <f>'A) Base RI'!B61</f>
        <v>Mont-la-Ville</v>
      </c>
      <c r="C59" s="293">
        <f>'B) D RI'!U61</f>
        <v>14141.684131434778</v>
      </c>
      <c r="D59" s="32">
        <f>'B) D RI'!AA61</f>
        <v>478</v>
      </c>
      <c r="E59" s="201">
        <f t="shared" si="1"/>
        <v>29.585113245679452</v>
      </c>
      <c r="F59" s="366">
        <f t="shared" si="8"/>
        <v>0.64314644725827674</v>
      </c>
      <c r="G59" s="377">
        <f t="shared" si="2"/>
        <v>0</v>
      </c>
      <c r="H59" s="374">
        <f t="shared" si="3"/>
        <v>0</v>
      </c>
      <c r="I59" s="377">
        <f t="shared" si="4"/>
        <v>0</v>
      </c>
      <c r="J59" s="374">
        <f t="shared" si="5"/>
        <v>0</v>
      </c>
      <c r="K59" s="369">
        <f t="shared" si="6"/>
        <v>0</v>
      </c>
      <c r="L59" s="373">
        <f t="shared" si="7"/>
        <v>0</v>
      </c>
      <c r="M59" s="113">
        <f>L59*D59*'B) D RI'!S61</f>
        <v>0</v>
      </c>
    </row>
    <row r="60" spans="1:13" x14ac:dyDescent="0.25">
      <c r="A60" s="295">
        <f>'A) Base RI'!A62</f>
        <v>5492</v>
      </c>
      <c r="B60" s="32" t="str">
        <f>'A) Base RI'!B62</f>
        <v>Montricher</v>
      </c>
      <c r="C60" s="293">
        <f>'B) D RI'!U62</f>
        <v>189730.40192708332</v>
      </c>
      <c r="D60" s="32">
        <f>'B) D RI'!AA62</f>
        <v>964</v>
      </c>
      <c r="E60" s="201">
        <f t="shared" si="1"/>
        <v>196.81576963390387</v>
      </c>
      <c r="F60" s="366">
        <f t="shared" si="8"/>
        <v>4.2785492133593364</v>
      </c>
      <c r="G60" s="377">
        <f t="shared" si="2"/>
        <v>150.81518396356341</v>
      </c>
      <c r="H60" s="374">
        <f t="shared" si="3"/>
        <v>141.61506682949533</v>
      </c>
      <c r="I60" s="377">
        <f t="shared" si="4"/>
        <v>127.81489112839321</v>
      </c>
      <c r="J60" s="374">
        <f t="shared" si="5"/>
        <v>104.81459829322299</v>
      </c>
      <c r="K60" s="369">
        <f t="shared" si="6"/>
        <v>58.814012622882558</v>
      </c>
      <c r="L60" s="373">
        <f t="shared" si="7"/>
        <v>73.468893680112103</v>
      </c>
      <c r="M60" s="113">
        <f>L60*D60*'B) D RI'!S62</f>
        <v>4532736.8644881966</v>
      </c>
    </row>
    <row r="61" spans="1:13" x14ac:dyDescent="0.25">
      <c r="A61" s="295">
        <f>'A) Base RI'!A63</f>
        <v>5493</v>
      </c>
      <c r="B61" s="32" t="str">
        <f>'A) Base RI'!B63</f>
        <v>Orny</v>
      </c>
      <c r="C61" s="293">
        <f>'B) D RI'!U63</f>
        <v>10671.007215907817</v>
      </c>
      <c r="D61" s="32">
        <f>'B) D RI'!AA63</f>
        <v>416</v>
      </c>
      <c r="E61" s="201">
        <f t="shared" si="1"/>
        <v>25.65145965362456</v>
      </c>
      <c r="F61" s="366">
        <f t="shared" si="8"/>
        <v>0.55763332748530026</v>
      </c>
      <c r="G61" s="377">
        <f t="shared" si="2"/>
        <v>0</v>
      </c>
      <c r="H61" s="374">
        <f t="shared" si="3"/>
        <v>0</v>
      </c>
      <c r="I61" s="377">
        <f t="shared" si="4"/>
        <v>0</v>
      </c>
      <c r="J61" s="374">
        <f t="shared" si="5"/>
        <v>0</v>
      </c>
      <c r="K61" s="369">
        <f t="shared" si="6"/>
        <v>0</v>
      </c>
      <c r="L61" s="373">
        <f t="shared" si="7"/>
        <v>0</v>
      </c>
      <c r="M61" s="113">
        <f>L61*D61*'B) D RI'!S63</f>
        <v>0</v>
      </c>
    </row>
    <row r="62" spans="1:13" x14ac:dyDescent="0.25">
      <c r="A62" s="295">
        <f>'A) Base RI'!A64</f>
        <v>5494</v>
      </c>
      <c r="B62" s="32" t="str">
        <f>'A) Base RI'!B64</f>
        <v>Pampigny</v>
      </c>
      <c r="C62" s="293">
        <f>'B) D RI'!U64</f>
        <v>36967.725840132596</v>
      </c>
      <c r="D62" s="32">
        <f>'B) D RI'!AA64</f>
        <v>1103</v>
      </c>
      <c r="E62" s="201">
        <f t="shared" si="1"/>
        <v>33.515617262132906</v>
      </c>
      <c r="F62" s="366">
        <f t="shared" si="8"/>
        <v>0.72859109886817364</v>
      </c>
      <c r="G62" s="377">
        <f t="shared" si="2"/>
        <v>0</v>
      </c>
      <c r="H62" s="374">
        <f t="shared" si="3"/>
        <v>0</v>
      </c>
      <c r="I62" s="377">
        <f t="shared" si="4"/>
        <v>0</v>
      </c>
      <c r="J62" s="374">
        <f t="shared" si="5"/>
        <v>0</v>
      </c>
      <c r="K62" s="369">
        <f t="shared" si="6"/>
        <v>0</v>
      </c>
      <c r="L62" s="373">
        <f t="shared" si="7"/>
        <v>0</v>
      </c>
      <c r="M62" s="113">
        <f>L62*D62*'B) D RI'!S64</f>
        <v>0</v>
      </c>
    </row>
    <row r="63" spans="1:13" x14ac:dyDescent="0.25">
      <c r="A63" s="295">
        <f>'A) Base RI'!A65</f>
        <v>5495</v>
      </c>
      <c r="B63" s="32" t="str">
        <f>'A) Base RI'!B65</f>
        <v>Penthalaz</v>
      </c>
      <c r="C63" s="293">
        <f>'B) D RI'!U65</f>
        <v>95087.015809528908</v>
      </c>
      <c r="D63" s="32">
        <f>'B) D RI'!AA65</f>
        <v>3257</v>
      </c>
      <c r="E63" s="201">
        <f t="shared" si="1"/>
        <v>29.194662514439333</v>
      </c>
      <c r="F63" s="366">
        <f t="shared" si="8"/>
        <v>0.63465849595178137</v>
      </c>
      <c r="G63" s="377">
        <f t="shared" si="2"/>
        <v>0</v>
      </c>
      <c r="H63" s="374">
        <f t="shared" si="3"/>
        <v>0</v>
      </c>
      <c r="I63" s="377">
        <f t="shared" si="4"/>
        <v>0</v>
      </c>
      <c r="J63" s="374">
        <f t="shared" si="5"/>
        <v>0</v>
      </c>
      <c r="K63" s="369">
        <f t="shared" si="6"/>
        <v>0</v>
      </c>
      <c r="L63" s="373">
        <f t="shared" si="7"/>
        <v>0</v>
      </c>
      <c r="M63" s="113">
        <f>L63*D63*'B) D RI'!S65</f>
        <v>0</v>
      </c>
    </row>
    <row r="64" spans="1:13" x14ac:dyDescent="0.25">
      <c r="A64" s="295">
        <f>'A) Base RI'!A66</f>
        <v>5496</v>
      </c>
      <c r="B64" s="32" t="str">
        <f>'A) Base RI'!B66</f>
        <v>Penthaz</v>
      </c>
      <c r="C64" s="293">
        <f>'B) D RI'!U66</f>
        <v>59337.456966456659</v>
      </c>
      <c r="D64" s="32">
        <f>'B) D RI'!AA66</f>
        <v>1760</v>
      </c>
      <c r="E64" s="201">
        <f t="shared" si="1"/>
        <v>33.71446418548674</v>
      </c>
      <c r="F64" s="366">
        <f t="shared" si="8"/>
        <v>0.73291380303500442</v>
      </c>
      <c r="G64" s="377">
        <f t="shared" si="2"/>
        <v>0</v>
      </c>
      <c r="H64" s="374">
        <f t="shared" si="3"/>
        <v>0</v>
      </c>
      <c r="I64" s="377">
        <f t="shared" si="4"/>
        <v>0</v>
      </c>
      <c r="J64" s="374">
        <f t="shared" si="5"/>
        <v>0</v>
      </c>
      <c r="K64" s="369">
        <f t="shared" si="6"/>
        <v>0</v>
      </c>
      <c r="L64" s="373">
        <f t="shared" si="7"/>
        <v>0</v>
      </c>
      <c r="M64" s="113">
        <f>L64*D64*'B) D RI'!S66</f>
        <v>0</v>
      </c>
    </row>
    <row r="65" spans="1:13" x14ac:dyDescent="0.25">
      <c r="A65" s="295">
        <f>'A) Base RI'!A67</f>
        <v>5497</v>
      </c>
      <c r="B65" s="32" t="str">
        <f>'A) Base RI'!B67</f>
        <v>Pompaples</v>
      </c>
      <c r="C65" s="293">
        <f>'B) D RI'!U67</f>
        <v>22672.594290282061</v>
      </c>
      <c r="D65" s="32">
        <f>'B) D RI'!AA67</f>
        <v>851</v>
      </c>
      <c r="E65" s="201">
        <f t="shared" si="1"/>
        <v>26.642296463316171</v>
      </c>
      <c r="F65" s="366">
        <f t="shared" si="8"/>
        <v>0.5791729838886418</v>
      </c>
      <c r="G65" s="377">
        <f t="shared" si="2"/>
        <v>0</v>
      </c>
      <c r="H65" s="374">
        <f t="shared" si="3"/>
        <v>0</v>
      </c>
      <c r="I65" s="377">
        <f t="shared" si="4"/>
        <v>0</v>
      </c>
      <c r="J65" s="374">
        <f t="shared" si="5"/>
        <v>0</v>
      </c>
      <c r="K65" s="369">
        <f t="shared" si="6"/>
        <v>0</v>
      </c>
      <c r="L65" s="373">
        <f t="shared" si="7"/>
        <v>0</v>
      </c>
      <c r="M65" s="113">
        <f>L65*D65*'B) D RI'!S67</f>
        <v>0</v>
      </c>
    </row>
    <row r="66" spans="1:13" x14ac:dyDescent="0.25">
      <c r="A66" s="295">
        <f>'A) Base RI'!A68</f>
        <v>5498</v>
      </c>
      <c r="B66" s="32" t="str">
        <f>'A) Base RI'!B68</f>
        <v>La Sarraz</v>
      </c>
      <c r="C66" s="293">
        <f>'B) D RI'!U68</f>
        <v>77413.833852725787</v>
      </c>
      <c r="D66" s="32">
        <f>'B) D RI'!AA68</f>
        <v>2651</v>
      </c>
      <c r="E66" s="201">
        <f t="shared" si="1"/>
        <v>29.201747964061028</v>
      </c>
      <c r="F66" s="366">
        <f t="shared" si="8"/>
        <v>0.63481252550419776</v>
      </c>
      <c r="G66" s="377">
        <f t="shared" si="2"/>
        <v>0</v>
      </c>
      <c r="H66" s="374">
        <f t="shared" si="3"/>
        <v>0</v>
      </c>
      <c r="I66" s="377">
        <f t="shared" si="4"/>
        <v>0</v>
      </c>
      <c r="J66" s="374">
        <f t="shared" si="5"/>
        <v>0</v>
      </c>
      <c r="K66" s="369">
        <f t="shared" si="6"/>
        <v>0</v>
      </c>
      <c r="L66" s="373">
        <f t="shared" si="7"/>
        <v>0</v>
      </c>
      <c r="M66" s="113">
        <f>L66*D66*'B) D RI'!S68</f>
        <v>0</v>
      </c>
    </row>
    <row r="67" spans="1:13" x14ac:dyDescent="0.25">
      <c r="A67" s="295">
        <f>'A) Base RI'!A69</f>
        <v>5499</v>
      </c>
      <c r="B67" s="32" t="str">
        <f>'A) Base RI'!B69</f>
        <v>Senarclens</v>
      </c>
      <c r="C67" s="293">
        <f>'B) D RI'!U69</f>
        <v>19511.48949637344</v>
      </c>
      <c r="D67" s="32">
        <f>'B) D RI'!AA69</f>
        <v>477</v>
      </c>
      <c r="E67" s="201">
        <f t="shared" si="1"/>
        <v>40.904590139147672</v>
      </c>
      <c r="F67" s="366">
        <f t="shared" si="8"/>
        <v>0.8892188989133134</v>
      </c>
      <c r="G67" s="377">
        <f t="shared" si="2"/>
        <v>0</v>
      </c>
      <c r="H67" s="374">
        <f t="shared" si="3"/>
        <v>0</v>
      </c>
      <c r="I67" s="377">
        <f t="shared" si="4"/>
        <v>0</v>
      </c>
      <c r="J67" s="374">
        <f t="shared" si="5"/>
        <v>0</v>
      </c>
      <c r="K67" s="369">
        <f t="shared" si="6"/>
        <v>0</v>
      </c>
      <c r="L67" s="373">
        <f t="shared" si="7"/>
        <v>0</v>
      </c>
      <c r="M67" s="113">
        <f>L67*D67*'B) D RI'!S69</f>
        <v>0</v>
      </c>
    </row>
    <row r="68" spans="1:13" x14ac:dyDescent="0.25">
      <c r="A68" s="295">
        <f>'A) Base RI'!A70</f>
        <v>5500</v>
      </c>
      <c r="B68" s="32" t="str">
        <f>'A) Base RI'!B70</f>
        <v>Sévery</v>
      </c>
      <c r="C68" s="293">
        <f>'B) D RI'!U70</f>
        <v>6989.4068888888896</v>
      </c>
      <c r="D68" s="32">
        <f>'B) D RI'!AA70</f>
        <v>227</v>
      </c>
      <c r="E68" s="201">
        <f t="shared" si="1"/>
        <v>30.790338717572201</v>
      </c>
      <c r="F68" s="366">
        <f t="shared" si="8"/>
        <v>0.66934666741481785</v>
      </c>
      <c r="G68" s="377">
        <f t="shared" si="2"/>
        <v>0</v>
      </c>
      <c r="H68" s="374">
        <f t="shared" si="3"/>
        <v>0</v>
      </c>
      <c r="I68" s="377">
        <f t="shared" si="4"/>
        <v>0</v>
      </c>
      <c r="J68" s="374">
        <f t="shared" si="5"/>
        <v>0</v>
      </c>
      <c r="K68" s="369">
        <f t="shared" si="6"/>
        <v>0</v>
      </c>
      <c r="L68" s="373">
        <f t="shared" si="7"/>
        <v>0</v>
      </c>
      <c r="M68" s="113">
        <f>L68*D68*'B) D RI'!S70</f>
        <v>0</v>
      </c>
    </row>
    <row r="69" spans="1:13" x14ac:dyDescent="0.25">
      <c r="A69" s="295">
        <f>'A) Base RI'!A71</f>
        <v>5501</v>
      </c>
      <c r="B69" s="32" t="str">
        <f>'A) Base RI'!B71</f>
        <v>Sullens</v>
      </c>
      <c r="C69" s="293">
        <f>'B) D RI'!U71</f>
        <v>40420.112388899281</v>
      </c>
      <c r="D69" s="32">
        <f>'B) D RI'!AA71</f>
        <v>1035</v>
      </c>
      <c r="E69" s="201">
        <f t="shared" ref="E69:E132" si="9">C69/D69</f>
        <v>39.053248684926842</v>
      </c>
      <c r="F69" s="366">
        <f t="shared" ref="F69:F132" si="10">E69/$E$313</f>
        <v>0.84897285797182798</v>
      </c>
      <c r="G69" s="377">
        <f t="shared" ref="G69:G132" si="11">IF(E69-$G$2&lt;0,0,E69-$G$2)</f>
        <v>0</v>
      </c>
      <c r="H69" s="374">
        <f t="shared" ref="H69:H132" si="12">IF(E69-$H$2&lt;0,0,E69-$H$2)</f>
        <v>0</v>
      </c>
      <c r="I69" s="377">
        <f t="shared" ref="I69:I132" si="13">IF(E69-$I$2&lt;0,0,E69-$I$2)</f>
        <v>0</v>
      </c>
      <c r="J69" s="374">
        <f t="shared" ref="J69:J132" si="14">IF(E69-$J$2&lt;0,0,E69-$J$2)</f>
        <v>0</v>
      </c>
      <c r="K69" s="369">
        <f t="shared" ref="K69:K132" si="15">IF(E69-$K$2&lt;0,0,E69-$K$2)</f>
        <v>0</v>
      </c>
      <c r="L69" s="373">
        <f t="shared" ref="L69:L132" si="16">(G69-H69)*$G$3+(H69-I69)*$H$3+(I69-J69)*$I$3+(J69-K69)*$J$3+(K69*$K$3)</f>
        <v>0</v>
      </c>
      <c r="M69" s="113">
        <f>L69*D69*'B) D RI'!S71</f>
        <v>0</v>
      </c>
    </row>
    <row r="70" spans="1:13" x14ac:dyDescent="0.25">
      <c r="A70" s="295">
        <f>'A) Base RI'!A72</f>
        <v>5503</v>
      </c>
      <c r="B70" s="32" t="str">
        <f>'A) Base RI'!B72</f>
        <v>Vufflens-la-Ville</v>
      </c>
      <c r="C70" s="293">
        <f>'B) D RI'!U72</f>
        <v>89557.096460669622</v>
      </c>
      <c r="D70" s="32">
        <f>'B) D RI'!AA72</f>
        <v>1295</v>
      </c>
      <c r="E70" s="201">
        <f t="shared" si="9"/>
        <v>69.156059042988119</v>
      </c>
      <c r="F70" s="366">
        <f t="shared" si="10"/>
        <v>1.5033734469945566</v>
      </c>
      <c r="G70" s="377">
        <f t="shared" si="11"/>
        <v>23.155473372647677</v>
      </c>
      <c r="H70" s="374">
        <f t="shared" si="12"/>
        <v>13.95535623857959</v>
      </c>
      <c r="I70" s="377">
        <f t="shared" si="13"/>
        <v>0.15518053747746308</v>
      </c>
      <c r="J70" s="374">
        <f t="shared" si="14"/>
        <v>0</v>
      </c>
      <c r="K70" s="369">
        <f t="shared" si="15"/>
        <v>0</v>
      </c>
      <c r="L70" s="373">
        <f t="shared" si="16"/>
        <v>6.042148352135241</v>
      </c>
      <c r="M70" s="113">
        <f>L70*D70*'B) D RI'!S72</f>
        <v>524247.0017730142</v>
      </c>
    </row>
    <row r="71" spans="1:13" x14ac:dyDescent="0.25">
      <c r="A71" s="295">
        <f>'A) Base RI'!A73</f>
        <v>5511</v>
      </c>
      <c r="B71" s="32" t="str">
        <f>'A) Base RI'!B73</f>
        <v>Assens</v>
      </c>
      <c r="C71" s="293">
        <f>'B) D RI'!U73</f>
        <v>50056.955709388079</v>
      </c>
      <c r="D71" s="32">
        <f>'B) D RI'!AA73</f>
        <v>1074</v>
      </c>
      <c r="E71" s="201">
        <f t="shared" si="9"/>
        <v>46.607966209858546</v>
      </c>
      <c r="F71" s="366">
        <f t="shared" si="10"/>
        <v>1.0132037566623793</v>
      </c>
      <c r="G71" s="377">
        <f t="shared" si="11"/>
        <v>0.607380539518104</v>
      </c>
      <c r="H71" s="374">
        <f t="shared" si="12"/>
        <v>0</v>
      </c>
      <c r="I71" s="377">
        <f t="shared" si="13"/>
        <v>0</v>
      </c>
      <c r="J71" s="374">
        <f t="shared" si="14"/>
        <v>0</v>
      </c>
      <c r="K71" s="369">
        <f t="shared" si="15"/>
        <v>0</v>
      </c>
      <c r="L71" s="373">
        <f t="shared" si="16"/>
        <v>0.1214761079036208</v>
      </c>
      <c r="M71" s="113">
        <f>L71*D71*'B) D RI'!S73</f>
        <v>9132.5737921942127</v>
      </c>
    </row>
    <row r="72" spans="1:13" x14ac:dyDescent="0.25">
      <c r="A72" s="295">
        <f>'A) Base RI'!A74</f>
        <v>5512</v>
      </c>
      <c r="B72" s="32" t="str">
        <f>'A) Base RI'!B74</f>
        <v>Bercher</v>
      </c>
      <c r="C72" s="293">
        <f>'B) D RI'!U74</f>
        <v>40014.173696623147</v>
      </c>
      <c r="D72" s="32">
        <f>'B) D RI'!AA74</f>
        <v>1280</v>
      </c>
      <c r="E72" s="201">
        <f t="shared" si="9"/>
        <v>31.261073200486834</v>
      </c>
      <c r="F72" s="366">
        <f t="shared" si="10"/>
        <v>0.67957989544995889</v>
      </c>
      <c r="G72" s="377">
        <f t="shared" si="11"/>
        <v>0</v>
      </c>
      <c r="H72" s="374">
        <f t="shared" si="12"/>
        <v>0</v>
      </c>
      <c r="I72" s="377">
        <f t="shared" si="13"/>
        <v>0</v>
      </c>
      <c r="J72" s="374">
        <f t="shared" si="14"/>
        <v>0</v>
      </c>
      <c r="K72" s="369">
        <f t="shared" si="15"/>
        <v>0</v>
      </c>
      <c r="L72" s="373">
        <f t="shared" si="16"/>
        <v>0</v>
      </c>
      <c r="M72" s="113">
        <f>L72*D72*'B) D RI'!S74</f>
        <v>0</v>
      </c>
    </row>
    <row r="73" spans="1:13" x14ac:dyDescent="0.25">
      <c r="A73" s="295">
        <f>'A) Base RI'!A75</f>
        <v>5513</v>
      </c>
      <c r="B73" s="32" t="str">
        <f>'A) Base RI'!B75</f>
        <v>Bioley-Orjulaz</v>
      </c>
      <c r="C73" s="293">
        <f>'B) D RI'!U75</f>
        <v>21084.156158347432</v>
      </c>
      <c r="D73" s="32">
        <f>'B) D RI'!AA75</f>
        <v>521</v>
      </c>
      <c r="E73" s="201">
        <f t="shared" si="9"/>
        <v>40.468629862471076</v>
      </c>
      <c r="F73" s="366">
        <f t="shared" si="10"/>
        <v>0.87974162225860142</v>
      </c>
      <c r="G73" s="377">
        <f t="shared" si="11"/>
        <v>0</v>
      </c>
      <c r="H73" s="374">
        <f t="shared" si="12"/>
        <v>0</v>
      </c>
      <c r="I73" s="377">
        <f t="shared" si="13"/>
        <v>0</v>
      </c>
      <c r="J73" s="374">
        <f t="shared" si="14"/>
        <v>0</v>
      </c>
      <c r="K73" s="369">
        <f t="shared" si="15"/>
        <v>0</v>
      </c>
      <c r="L73" s="373">
        <f t="shared" si="16"/>
        <v>0</v>
      </c>
      <c r="M73" s="113">
        <f>L73*D73*'B) D RI'!S75</f>
        <v>0</v>
      </c>
    </row>
    <row r="74" spans="1:13" x14ac:dyDescent="0.25">
      <c r="A74" s="295">
        <f>'A) Base RI'!A76</f>
        <v>5514</v>
      </c>
      <c r="B74" s="32" t="str">
        <f>'A) Base RI'!B76</f>
        <v>Bottens</v>
      </c>
      <c r="C74" s="293">
        <f>'B) D RI'!U76</f>
        <v>40808.475827283124</v>
      </c>
      <c r="D74" s="32">
        <f>'B) D RI'!AA76</f>
        <v>1299</v>
      </c>
      <c r="E74" s="201">
        <f t="shared" si="9"/>
        <v>31.415300867808408</v>
      </c>
      <c r="F74" s="366">
        <f t="shared" si="10"/>
        <v>0.68293262813964317</v>
      </c>
      <c r="G74" s="377">
        <f t="shared" si="11"/>
        <v>0</v>
      </c>
      <c r="H74" s="374">
        <f t="shared" si="12"/>
        <v>0</v>
      </c>
      <c r="I74" s="377">
        <f t="shared" si="13"/>
        <v>0</v>
      </c>
      <c r="J74" s="374">
        <f t="shared" si="14"/>
        <v>0</v>
      </c>
      <c r="K74" s="369">
        <f t="shared" si="15"/>
        <v>0</v>
      </c>
      <c r="L74" s="373">
        <f t="shared" si="16"/>
        <v>0</v>
      </c>
      <c r="M74" s="113">
        <f>L74*D74*'B) D RI'!S76</f>
        <v>0</v>
      </c>
    </row>
    <row r="75" spans="1:13" x14ac:dyDescent="0.25">
      <c r="A75" s="295">
        <f>'A) Base RI'!A77</f>
        <v>5515</v>
      </c>
      <c r="B75" s="32" t="str">
        <f>'A) Base RI'!B77</f>
        <v>Bretigny-sur-Morrens</v>
      </c>
      <c r="C75" s="293">
        <f>'B) D RI'!U77</f>
        <v>28817.325490208266</v>
      </c>
      <c r="D75" s="32">
        <f>'B) D RI'!AA77</f>
        <v>861</v>
      </c>
      <c r="E75" s="201">
        <f t="shared" si="9"/>
        <v>33.469599872483471</v>
      </c>
      <c r="F75" s="366">
        <f t="shared" si="10"/>
        <v>0.72759073356893134</v>
      </c>
      <c r="G75" s="377">
        <f t="shared" si="11"/>
        <v>0</v>
      </c>
      <c r="H75" s="374">
        <f t="shared" si="12"/>
        <v>0</v>
      </c>
      <c r="I75" s="377">
        <f t="shared" si="13"/>
        <v>0</v>
      </c>
      <c r="J75" s="374">
        <f t="shared" si="14"/>
        <v>0</v>
      </c>
      <c r="K75" s="369">
        <f t="shared" si="15"/>
        <v>0</v>
      </c>
      <c r="L75" s="373">
        <f t="shared" si="16"/>
        <v>0</v>
      </c>
      <c r="M75" s="113">
        <f>L75*D75*'B) D RI'!S77</f>
        <v>0</v>
      </c>
    </row>
    <row r="76" spans="1:13" x14ac:dyDescent="0.25">
      <c r="A76" s="295">
        <f>'A) Base RI'!A78</f>
        <v>5516</v>
      </c>
      <c r="B76" s="32" t="str">
        <f>'A) Base RI'!B78</f>
        <v>Cugy</v>
      </c>
      <c r="C76" s="293">
        <f>'B) D RI'!U78</f>
        <v>110914.83940385764</v>
      </c>
      <c r="D76" s="32">
        <f>'B) D RI'!AA78</f>
        <v>2768</v>
      </c>
      <c r="E76" s="201">
        <f t="shared" si="9"/>
        <v>40.070389958041055</v>
      </c>
      <c r="F76" s="366">
        <f t="shared" si="10"/>
        <v>0.87108434325602579</v>
      </c>
      <c r="G76" s="377">
        <f t="shared" si="11"/>
        <v>0</v>
      </c>
      <c r="H76" s="374">
        <f t="shared" si="12"/>
        <v>0</v>
      </c>
      <c r="I76" s="377">
        <f t="shared" si="13"/>
        <v>0</v>
      </c>
      <c r="J76" s="374">
        <f t="shared" si="14"/>
        <v>0</v>
      </c>
      <c r="K76" s="369">
        <f t="shared" si="15"/>
        <v>0</v>
      </c>
      <c r="L76" s="373">
        <f t="shared" si="16"/>
        <v>0</v>
      </c>
      <c r="M76" s="113">
        <f>L76*D76*'B) D RI'!S78</f>
        <v>0</v>
      </c>
    </row>
    <row r="77" spans="1:13" x14ac:dyDescent="0.25">
      <c r="A77" s="295">
        <f>'A) Base RI'!A79</f>
        <v>5518</v>
      </c>
      <c r="B77" s="32" t="str">
        <f>'A) Base RI'!B79</f>
        <v>Echallens</v>
      </c>
      <c r="C77" s="293">
        <f>'B) D RI'!U79</f>
        <v>185740.88420378894</v>
      </c>
      <c r="D77" s="32">
        <f>'B) D RI'!AA79</f>
        <v>5725</v>
      </c>
      <c r="E77" s="201">
        <f t="shared" si="9"/>
        <v>32.443822568347414</v>
      </c>
      <c r="F77" s="366">
        <f t="shared" si="10"/>
        <v>0.70529151087017683</v>
      </c>
      <c r="G77" s="377">
        <f t="shared" si="11"/>
        <v>0</v>
      </c>
      <c r="H77" s="374">
        <f t="shared" si="12"/>
        <v>0</v>
      </c>
      <c r="I77" s="377">
        <f t="shared" si="13"/>
        <v>0</v>
      </c>
      <c r="J77" s="374">
        <f t="shared" si="14"/>
        <v>0</v>
      </c>
      <c r="K77" s="369">
        <f t="shared" si="15"/>
        <v>0</v>
      </c>
      <c r="L77" s="373">
        <f t="shared" si="16"/>
        <v>0</v>
      </c>
      <c r="M77" s="113">
        <f>L77*D77*'B) D RI'!S79</f>
        <v>0</v>
      </c>
    </row>
    <row r="78" spans="1:13" x14ac:dyDescent="0.25">
      <c r="A78" s="295">
        <f>'A) Base RI'!A80</f>
        <v>5520</v>
      </c>
      <c r="B78" s="32" t="str">
        <f>'A) Base RI'!B80</f>
        <v>Essertines-sur-Yverdon</v>
      </c>
      <c r="C78" s="293">
        <f>'B) D RI'!U80</f>
        <v>29832.653259959214</v>
      </c>
      <c r="D78" s="32">
        <f>'B) D RI'!AA80</f>
        <v>1030</v>
      </c>
      <c r="E78" s="201">
        <f t="shared" si="9"/>
        <v>28.963741029086616</v>
      </c>
      <c r="F78" s="366">
        <f t="shared" si="10"/>
        <v>0.62963852757556127</v>
      </c>
      <c r="G78" s="377">
        <f t="shared" si="11"/>
        <v>0</v>
      </c>
      <c r="H78" s="374">
        <f t="shared" si="12"/>
        <v>0</v>
      </c>
      <c r="I78" s="377">
        <f t="shared" si="13"/>
        <v>0</v>
      </c>
      <c r="J78" s="374">
        <f t="shared" si="14"/>
        <v>0</v>
      </c>
      <c r="K78" s="369">
        <f t="shared" si="15"/>
        <v>0</v>
      </c>
      <c r="L78" s="373">
        <f t="shared" si="16"/>
        <v>0</v>
      </c>
      <c r="M78" s="113">
        <f>L78*D78*'B) D RI'!S80</f>
        <v>0</v>
      </c>
    </row>
    <row r="79" spans="1:13" x14ac:dyDescent="0.25">
      <c r="A79" s="295">
        <f>'A) Base RI'!A81</f>
        <v>5521</v>
      </c>
      <c r="B79" s="32" t="str">
        <f>'A) Base RI'!B81</f>
        <v>Etagnières</v>
      </c>
      <c r="C79" s="293">
        <f>'B) D RI'!U81</f>
        <v>48092.453261297029</v>
      </c>
      <c r="D79" s="32">
        <f>'B) D RI'!AA81</f>
        <v>1143</v>
      </c>
      <c r="E79" s="201">
        <f t="shared" si="9"/>
        <v>42.075637148991277</v>
      </c>
      <c r="F79" s="366">
        <f t="shared" si="10"/>
        <v>0.9146761184851645</v>
      </c>
      <c r="G79" s="377">
        <f t="shared" si="11"/>
        <v>0</v>
      </c>
      <c r="H79" s="374">
        <f t="shared" si="12"/>
        <v>0</v>
      </c>
      <c r="I79" s="377">
        <f t="shared" si="13"/>
        <v>0</v>
      </c>
      <c r="J79" s="374">
        <f t="shared" si="14"/>
        <v>0</v>
      </c>
      <c r="K79" s="369">
        <f t="shared" si="15"/>
        <v>0</v>
      </c>
      <c r="L79" s="373">
        <f t="shared" si="16"/>
        <v>0</v>
      </c>
      <c r="M79" s="113">
        <f>L79*D79*'B) D RI'!S81</f>
        <v>0</v>
      </c>
    </row>
    <row r="80" spans="1:13" x14ac:dyDescent="0.25">
      <c r="A80" s="295">
        <f>'A) Base RI'!A82</f>
        <v>5522</v>
      </c>
      <c r="B80" s="32" t="str">
        <f>'A) Base RI'!B82</f>
        <v>Fey</v>
      </c>
      <c r="C80" s="293">
        <f>'B) D RI'!U82</f>
        <v>22665.113066666665</v>
      </c>
      <c r="D80" s="32">
        <f>'B) D RI'!AA82</f>
        <v>751</v>
      </c>
      <c r="E80" s="201">
        <f t="shared" si="9"/>
        <v>30.179910874389702</v>
      </c>
      <c r="F80" s="366">
        <f t="shared" si="10"/>
        <v>0.65607666586403146</v>
      </c>
      <c r="G80" s="377">
        <f t="shared" si="11"/>
        <v>0</v>
      </c>
      <c r="H80" s="374">
        <f t="shared" si="12"/>
        <v>0</v>
      </c>
      <c r="I80" s="377">
        <f t="shared" si="13"/>
        <v>0</v>
      </c>
      <c r="J80" s="374">
        <f t="shared" si="14"/>
        <v>0</v>
      </c>
      <c r="K80" s="369">
        <f t="shared" si="15"/>
        <v>0</v>
      </c>
      <c r="L80" s="373">
        <f t="shared" si="16"/>
        <v>0</v>
      </c>
      <c r="M80" s="113">
        <f>L80*D80*'B) D RI'!S82</f>
        <v>0</v>
      </c>
    </row>
    <row r="81" spans="1:13" x14ac:dyDescent="0.25">
      <c r="A81" s="295">
        <f>'A) Base RI'!A83</f>
        <v>5523</v>
      </c>
      <c r="B81" s="32" t="str">
        <f>'A) Base RI'!B83</f>
        <v>Froideville</v>
      </c>
      <c r="C81" s="293">
        <f>'B) D RI'!U83</f>
        <v>89135.106646646644</v>
      </c>
      <c r="D81" s="32">
        <f>'B) D RI'!AA83</f>
        <v>2638</v>
      </c>
      <c r="E81" s="201">
        <f t="shared" si="9"/>
        <v>33.788895620411921</v>
      </c>
      <c r="F81" s="366">
        <f t="shared" si="10"/>
        <v>0.73453185710628488</v>
      </c>
      <c r="G81" s="377">
        <f t="shared" si="11"/>
        <v>0</v>
      </c>
      <c r="H81" s="374">
        <f t="shared" si="12"/>
        <v>0</v>
      </c>
      <c r="I81" s="377">
        <f t="shared" si="13"/>
        <v>0</v>
      </c>
      <c r="J81" s="374">
        <f t="shared" si="14"/>
        <v>0</v>
      </c>
      <c r="K81" s="369">
        <f t="shared" si="15"/>
        <v>0</v>
      </c>
      <c r="L81" s="373">
        <f t="shared" si="16"/>
        <v>0</v>
      </c>
      <c r="M81" s="113">
        <f>L81*D81*'B) D RI'!S83</f>
        <v>0</v>
      </c>
    </row>
    <row r="82" spans="1:13" x14ac:dyDescent="0.25">
      <c r="A82" s="295">
        <f>'A) Base RI'!A84</f>
        <v>5527</v>
      </c>
      <c r="B82" s="32" t="str">
        <f>'A) Base RI'!B84</f>
        <v>Morrens</v>
      </c>
      <c r="C82" s="293">
        <f>'B) D RI'!U84</f>
        <v>40159.939986831349</v>
      </c>
      <c r="D82" s="32">
        <f>'B) D RI'!AA84</f>
        <v>1126</v>
      </c>
      <c r="E82" s="201">
        <f t="shared" si="9"/>
        <v>35.666021302692137</v>
      </c>
      <c r="F82" s="366">
        <f t="shared" si="10"/>
        <v>0.77533841760819866</v>
      </c>
      <c r="G82" s="377">
        <f t="shared" si="11"/>
        <v>0</v>
      </c>
      <c r="H82" s="374">
        <f t="shared" si="12"/>
        <v>0</v>
      </c>
      <c r="I82" s="377">
        <f t="shared" si="13"/>
        <v>0</v>
      </c>
      <c r="J82" s="374">
        <f t="shared" si="14"/>
        <v>0</v>
      </c>
      <c r="K82" s="369">
        <f t="shared" si="15"/>
        <v>0</v>
      </c>
      <c r="L82" s="373">
        <f t="shared" si="16"/>
        <v>0</v>
      </c>
      <c r="M82" s="113">
        <f>L82*D82*'B) D RI'!S84</f>
        <v>0</v>
      </c>
    </row>
    <row r="83" spans="1:13" x14ac:dyDescent="0.25">
      <c r="A83" s="295">
        <f>'A) Base RI'!A85</f>
        <v>5529</v>
      </c>
      <c r="B83" s="32" t="str">
        <f>'A) Base RI'!B85</f>
        <v>Oulens-sous-Echallens</v>
      </c>
      <c r="C83" s="293">
        <f>'B) D RI'!U85</f>
        <v>21598.779787193034</v>
      </c>
      <c r="D83" s="32">
        <f>'B) D RI'!AA85</f>
        <v>615</v>
      </c>
      <c r="E83" s="201">
        <f t="shared" si="9"/>
        <v>35.119967133647208</v>
      </c>
      <c r="F83" s="366">
        <f t="shared" si="10"/>
        <v>0.76346782593881901</v>
      </c>
      <c r="G83" s="377">
        <f t="shared" si="11"/>
        <v>0</v>
      </c>
      <c r="H83" s="374">
        <f t="shared" si="12"/>
        <v>0</v>
      </c>
      <c r="I83" s="377">
        <f t="shared" si="13"/>
        <v>0</v>
      </c>
      <c r="J83" s="374">
        <f t="shared" si="14"/>
        <v>0</v>
      </c>
      <c r="K83" s="369">
        <f t="shared" si="15"/>
        <v>0</v>
      </c>
      <c r="L83" s="373">
        <f t="shared" si="16"/>
        <v>0</v>
      </c>
      <c r="M83" s="113">
        <f>L83*D83*'B) D RI'!S85</f>
        <v>0</v>
      </c>
    </row>
    <row r="84" spans="1:13" x14ac:dyDescent="0.25">
      <c r="A84" s="295">
        <f>'A) Base RI'!A86</f>
        <v>5530</v>
      </c>
      <c r="B84" s="32" t="str">
        <f>'A) Base RI'!B86</f>
        <v>Pailly</v>
      </c>
      <c r="C84" s="293">
        <f>'B) D RI'!U86</f>
        <v>17606.249882733009</v>
      </c>
      <c r="D84" s="32">
        <f>'B) D RI'!AA86</f>
        <v>563</v>
      </c>
      <c r="E84" s="201">
        <f t="shared" si="9"/>
        <v>31.272202278389003</v>
      </c>
      <c r="F84" s="366">
        <f t="shared" si="10"/>
        <v>0.67982182884580566</v>
      </c>
      <c r="G84" s="377">
        <f t="shared" si="11"/>
        <v>0</v>
      </c>
      <c r="H84" s="374">
        <f t="shared" si="12"/>
        <v>0</v>
      </c>
      <c r="I84" s="377">
        <f t="shared" si="13"/>
        <v>0</v>
      </c>
      <c r="J84" s="374">
        <f t="shared" si="14"/>
        <v>0</v>
      </c>
      <c r="K84" s="369">
        <f t="shared" si="15"/>
        <v>0</v>
      </c>
      <c r="L84" s="373">
        <f t="shared" si="16"/>
        <v>0</v>
      </c>
      <c r="M84" s="113">
        <f>L84*D84*'B) D RI'!S86</f>
        <v>0</v>
      </c>
    </row>
    <row r="85" spans="1:13" x14ac:dyDescent="0.25">
      <c r="A85" s="295">
        <f>'A) Base RI'!A87</f>
        <v>5531</v>
      </c>
      <c r="B85" s="32" t="str">
        <f>'A) Base RI'!B87</f>
        <v>Penthéréaz</v>
      </c>
      <c r="C85" s="293">
        <f>'B) D RI'!U87</f>
        <v>14646.364779076894</v>
      </c>
      <c r="D85" s="32">
        <f>'B) D RI'!AA87</f>
        <v>421</v>
      </c>
      <c r="E85" s="201">
        <f t="shared" si="9"/>
        <v>34.789465033436805</v>
      </c>
      <c r="F85" s="366">
        <f t="shared" si="10"/>
        <v>0.75628308914918507</v>
      </c>
      <c r="G85" s="377">
        <f t="shared" si="11"/>
        <v>0</v>
      </c>
      <c r="H85" s="374">
        <f t="shared" si="12"/>
        <v>0</v>
      </c>
      <c r="I85" s="377">
        <f t="shared" si="13"/>
        <v>0</v>
      </c>
      <c r="J85" s="374">
        <f t="shared" si="14"/>
        <v>0</v>
      </c>
      <c r="K85" s="369">
        <f t="shared" si="15"/>
        <v>0</v>
      </c>
      <c r="L85" s="373">
        <f t="shared" si="16"/>
        <v>0</v>
      </c>
      <c r="M85" s="113">
        <f>L85*D85*'B) D RI'!S87</f>
        <v>0</v>
      </c>
    </row>
    <row r="86" spans="1:13" x14ac:dyDescent="0.25">
      <c r="A86" s="295">
        <f>'A) Base RI'!A88</f>
        <v>5533</v>
      </c>
      <c r="B86" s="32" t="str">
        <f>'A) Base RI'!B88</f>
        <v>Poliez-Pittet</v>
      </c>
      <c r="C86" s="293">
        <f>'B) D RI'!U88</f>
        <v>22519.70890410959</v>
      </c>
      <c r="D86" s="32">
        <f>'B) D RI'!AA88</f>
        <v>829</v>
      </c>
      <c r="E86" s="201">
        <f t="shared" si="9"/>
        <v>27.164908207611084</v>
      </c>
      <c r="F86" s="366">
        <f t="shared" si="10"/>
        <v>0.59053396411702774</v>
      </c>
      <c r="G86" s="377">
        <f t="shared" si="11"/>
        <v>0</v>
      </c>
      <c r="H86" s="374">
        <f t="shared" si="12"/>
        <v>0</v>
      </c>
      <c r="I86" s="377">
        <f t="shared" si="13"/>
        <v>0</v>
      </c>
      <c r="J86" s="374">
        <f t="shared" si="14"/>
        <v>0</v>
      </c>
      <c r="K86" s="369">
        <f t="shared" si="15"/>
        <v>0</v>
      </c>
      <c r="L86" s="373">
        <f t="shared" si="16"/>
        <v>0</v>
      </c>
      <c r="M86" s="113">
        <f>L86*D86*'B) D RI'!S88</f>
        <v>0</v>
      </c>
    </row>
    <row r="87" spans="1:13" x14ac:dyDescent="0.25">
      <c r="A87" s="295">
        <f>'A) Base RI'!A89</f>
        <v>5534</v>
      </c>
      <c r="B87" s="32" t="str">
        <f>'A) Base RI'!B89</f>
        <v>Rueyres</v>
      </c>
      <c r="C87" s="293">
        <f>'B) D RI'!U89</f>
        <v>10356.386166784428</v>
      </c>
      <c r="D87" s="32">
        <f>'B) D RI'!AA89</f>
        <v>265</v>
      </c>
      <c r="E87" s="201">
        <f t="shared" si="9"/>
        <v>39.080702516167655</v>
      </c>
      <c r="F87" s="366">
        <f t="shared" si="10"/>
        <v>0.84956967279148177</v>
      </c>
      <c r="G87" s="377">
        <f t="shared" si="11"/>
        <v>0</v>
      </c>
      <c r="H87" s="374">
        <f t="shared" si="12"/>
        <v>0</v>
      </c>
      <c r="I87" s="377">
        <f t="shared" si="13"/>
        <v>0</v>
      </c>
      <c r="J87" s="374">
        <f t="shared" si="14"/>
        <v>0</v>
      </c>
      <c r="K87" s="369">
        <f t="shared" si="15"/>
        <v>0</v>
      </c>
      <c r="L87" s="373">
        <f t="shared" si="16"/>
        <v>0</v>
      </c>
      <c r="M87" s="113">
        <f>L87*D87*'B) D RI'!S89</f>
        <v>0</v>
      </c>
    </row>
    <row r="88" spans="1:13" x14ac:dyDescent="0.25">
      <c r="A88" s="295">
        <f>'A) Base RI'!A90</f>
        <v>5535</v>
      </c>
      <c r="B88" s="32" t="str">
        <f>'A) Base RI'!B90</f>
        <v>Saint-Barthélemy</v>
      </c>
      <c r="C88" s="293">
        <f>'B) D RI'!U90</f>
        <v>22444.916025525185</v>
      </c>
      <c r="D88" s="32">
        <f>'B) D RI'!AA90</f>
        <v>791</v>
      </c>
      <c r="E88" s="201">
        <f t="shared" si="9"/>
        <v>28.375367921017933</v>
      </c>
      <c r="F88" s="366">
        <f t="shared" si="10"/>
        <v>0.61684797068384656</v>
      </c>
      <c r="G88" s="377">
        <f t="shared" si="11"/>
        <v>0</v>
      </c>
      <c r="H88" s="374">
        <f t="shared" si="12"/>
        <v>0</v>
      </c>
      <c r="I88" s="377">
        <f t="shared" si="13"/>
        <v>0</v>
      </c>
      <c r="J88" s="374">
        <f t="shared" si="14"/>
        <v>0</v>
      </c>
      <c r="K88" s="369">
        <f t="shared" si="15"/>
        <v>0</v>
      </c>
      <c r="L88" s="373">
        <f t="shared" si="16"/>
        <v>0</v>
      </c>
      <c r="M88" s="113">
        <f>L88*D88*'B) D RI'!S90</f>
        <v>0</v>
      </c>
    </row>
    <row r="89" spans="1:13" x14ac:dyDescent="0.25">
      <c r="A89" s="295">
        <f>'A) Base RI'!A91</f>
        <v>5537</v>
      </c>
      <c r="B89" s="32" t="str">
        <f>'A) Base RI'!B91</f>
        <v>Villars-le-Terroir</v>
      </c>
      <c r="C89" s="293">
        <f>'B) D RI'!U91</f>
        <v>36279.342540673366</v>
      </c>
      <c r="D89" s="32">
        <f>'B) D RI'!AA91</f>
        <v>1228</v>
      </c>
      <c r="E89" s="201">
        <f t="shared" si="9"/>
        <v>29.543438551036942</v>
      </c>
      <c r="F89" s="366">
        <f t="shared" si="10"/>
        <v>0.64224048717026472</v>
      </c>
      <c r="G89" s="377">
        <f t="shared" si="11"/>
        <v>0</v>
      </c>
      <c r="H89" s="374">
        <f t="shared" si="12"/>
        <v>0</v>
      </c>
      <c r="I89" s="377">
        <f t="shared" si="13"/>
        <v>0</v>
      </c>
      <c r="J89" s="374">
        <f t="shared" si="14"/>
        <v>0</v>
      </c>
      <c r="K89" s="369">
        <f t="shared" si="15"/>
        <v>0</v>
      </c>
      <c r="L89" s="373">
        <f t="shared" si="16"/>
        <v>0</v>
      </c>
      <c r="M89" s="113">
        <f>L89*D89*'B) D RI'!S91</f>
        <v>0</v>
      </c>
    </row>
    <row r="90" spans="1:13" x14ac:dyDescent="0.25">
      <c r="A90" s="295">
        <f>'A) Base RI'!A92</f>
        <v>5539</v>
      </c>
      <c r="B90" s="32" t="str">
        <f>'A) Base RI'!B92</f>
        <v>Vuarrens</v>
      </c>
      <c r="C90" s="293">
        <f>'B) D RI'!U92</f>
        <v>30001.761907299908</v>
      </c>
      <c r="D90" s="32">
        <f>'B) D RI'!AA92</f>
        <v>1054</v>
      </c>
      <c r="E90" s="201">
        <f t="shared" si="9"/>
        <v>28.464669741271258</v>
      </c>
      <c r="F90" s="366">
        <f t="shared" si="10"/>
        <v>0.61878928988559112</v>
      </c>
      <c r="G90" s="377">
        <f t="shared" si="11"/>
        <v>0</v>
      </c>
      <c r="H90" s="374">
        <f t="shared" si="12"/>
        <v>0</v>
      </c>
      <c r="I90" s="377">
        <f t="shared" si="13"/>
        <v>0</v>
      </c>
      <c r="J90" s="374">
        <f t="shared" si="14"/>
        <v>0</v>
      </c>
      <c r="K90" s="369">
        <f t="shared" si="15"/>
        <v>0</v>
      </c>
      <c r="L90" s="373">
        <f t="shared" si="16"/>
        <v>0</v>
      </c>
      <c r="M90" s="113">
        <f>L90*D90*'B) D RI'!S92</f>
        <v>0</v>
      </c>
    </row>
    <row r="91" spans="1:13" x14ac:dyDescent="0.25">
      <c r="A91" s="295">
        <f>'A) Base RI'!A93</f>
        <v>5540</v>
      </c>
      <c r="B91" s="32" t="str">
        <f>'A) Base RI'!B93</f>
        <v>Montilliez</v>
      </c>
      <c r="C91" s="293">
        <f>'B) D RI'!U93</f>
        <v>64637.646238645939</v>
      </c>
      <c r="D91" s="32">
        <f>'B) D RI'!AA93</f>
        <v>1819</v>
      </c>
      <c r="E91" s="201">
        <f t="shared" si="9"/>
        <v>35.534714809590952</v>
      </c>
      <c r="F91" s="366">
        <f t="shared" si="10"/>
        <v>0.77248396497052607</v>
      </c>
      <c r="G91" s="377">
        <f t="shared" si="11"/>
        <v>0</v>
      </c>
      <c r="H91" s="374">
        <f t="shared" si="12"/>
        <v>0</v>
      </c>
      <c r="I91" s="377">
        <f t="shared" si="13"/>
        <v>0</v>
      </c>
      <c r="J91" s="374">
        <f t="shared" si="14"/>
        <v>0</v>
      </c>
      <c r="K91" s="369">
        <f t="shared" si="15"/>
        <v>0</v>
      </c>
      <c r="L91" s="373">
        <f t="shared" si="16"/>
        <v>0</v>
      </c>
      <c r="M91" s="113">
        <f>L91*D91*'B) D RI'!S93</f>
        <v>0</v>
      </c>
    </row>
    <row r="92" spans="1:13" x14ac:dyDescent="0.25">
      <c r="A92" s="295">
        <f>'A) Base RI'!A94</f>
        <v>5541</v>
      </c>
      <c r="B92" s="32" t="str">
        <f>'A) Base RI'!B94</f>
        <v>Goumoëns</v>
      </c>
      <c r="C92" s="293">
        <f>'B) D RI'!U94</f>
        <v>37288.389369533332</v>
      </c>
      <c r="D92" s="32">
        <f>'B) D RI'!AA94</f>
        <v>1140</v>
      </c>
      <c r="E92" s="201">
        <f t="shared" si="9"/>
        <v>32.709113482046781</v>
      </c>
      <c r="F92" s="366">
        <f t="shared" si="10"/>
        <v>0.71105863121948176</v>
      </c>
      <c r="G92" s="377">
        <f t="shared" si="11"/>
        <v>0</v>
      </c>
      <c r="H92" s="374">
        <f t="shared" si="12"/>
        <v>0</v>
      </c>
      <c r="I92" s="377">
        <f t="shared" si="13"/>
        <v>0</v>
      </c>
      <c r="J92" s="374">
        <f t="shared" si="14"/>
        <v>0</v>
      </c>
      <c r="K92" s="369">
        <f t="shared" si="15"/>
        <v>0</v>
      </c>
      <c r="L92" s="373">
        <f t="shared" si="16"/>
        <v>0</v>
      </c>
      <c r="M92" s="113">
        <f>L92*D92*'B) D RI'!S94</f>
        <v>0</v>
      </c>
    </row>
    <row r="93" spans="1:13" x14ac:dyDescent="0.25">
      <c r="A93" s="295">
        <f>'A) Base RI'!A95</f>
        <v>5551</v>
      </c>
      <c r="B93" s="32" t="str">
        <f>'A) Base RI'!B95</f>
        <v>Bonvillars</v>
      </c>
      <c r="C93" s="293">
        <f>'B) D RI'!U95</f>
        <v>18267.607293736826</v>
      </c>
      <c r="D93" s="32">
        <f>'B) D RI'!AA95</f>
        <v>490</v>
      </c>
      <c r="E93" s="201">
        <f t="shared" si="9"/>
        <v>37.280831211707806</v>
      </c>
      <c r="F93" s="366">
        <f t="shared" si="10"/>
        <v>0.81044253390332754</v>
      </c>
      <c r="G93" s="377">
        <f t="shared" si="11"/>
        <v>0</v>
      </c>
      <c r="H93" s="374">
        <f t="shared" si="12"/>
        <v>0</v>
      </c>
      <c r="I93" s="377">
        <f t="shared" si="13"/>
        <v>0</v>
      </c>
      <c r="J93" s="374">
        <f t="shared" si="14"/>
        <v>0</v>
      </c>
      <c r="K93" s="369">
        <f t="shared" si="15"/>
        <v>0</v>
      </c>
      <c r="L93" s="373">
        <f t="shared" si="16"/>
        <v>0</v>
      </c>
      <c r="M93" s="113">
        <f>L93*D93*'B) D RI'!S95</f>
        <v>0</v>
      </c>
    </row>
    <row r="94" spans="1:13" x14ac:dyDescent="0.25">
      <c r="A94" s="295">
        <f>'A) Base RI'!A96</f>
        <v>5552</v>
      </c>
      <c r="B94" s="32" t="str">
        <f>'A) Base RI'!B96</f>
        <v>Bullet</v>
      </c>
      <c r="C94" s="293">
        <f>'B) D RI'!U96</f>
        <v>18370.265732879256</v>
      </c>
      <c r="D94" s="32">
        <f>'B) D RI'!AA96</f>
        <v>657</v>
      </c>
      <c r="E94" s="201">
        <f t="shared" si="9"/>
        <v>27.960830643651835</v>
      </c>
      <c r="F94" s="366">
        <f t="shared" si="10"/>
        <v>0.60783640547602846</v>
      </c>
      <c r="G94" s="377">
        <f t="shared" si="11"/>
        <v>0</v>
      </c>
      <c r="H94" s="374">
        <f t="shared" si="12"/>
        <v>0</v>
      </c>
      <c r="I94" s="377">
        <f t="shared" si="13"/>
        <v>0</v>
      </c>
      <c r="J94" s="374">
        <f t="shared" si="14"/>
        <v>0</v>
      </c>
      <c r="K94" s="369">
        <f t="shared" si="15"/>
        <v>0</v>
      </c>
      <c r="L94" s="373">
        <f t="shared" si="16"/>
        <v>0</v>
      </c>
      <c r="M94" s="113">
        <f>L94*D94*'B) D RI'!S96</f>
        <v>0</v>
      </c>
    </row>
    <row r="95" spans="1:13" x14ac:dyDescent="0.25">
      <c r="A95" s="295">
        <f>'A) Base RI'!A97</f>
        <v>5553</v>
      </c>
      <c r="B95" s="32" t="str">
        <f>'A) Base RI'!B97</f>
        <v>Champagne</v>
      </c>
      <c r="C95" s="293">
        <f>'B) D RI'!U97</f>
        <v>37727.892502871691</v>
      </c>
      <c r="D95" s="32">
        <f>'B) D RI'!AA97</f>
        <v>1059</v>
      </c>
      <c r="E95" s="201">
        <f t="shared" si="9"/>
        <v>35.625960814798574</v>
      </c>
      <c r="F95" s="366">
        <f t="shared" si="10"/>
        <v>0.77446754852447319</v>
      </c>
      <c r="G95" s="377">
        <f t="shared" si="11"/>
        <v>0</v>
      </c>
      <c r="H95" s="374">
        <f t="shared" si="12"/>
        <v>0</v>
      </c>
      <c r="I95" s="377">
        <f t="shared" si="13"/>
        <v>0</v>
      </c>
      <c r="J95" s="374">
        <f t="shared" si="14"/>
        <v>0</v>
      </c>
      <c r="K95" s="369">
        <f t="shared" si="15"/>
        <v>0</v>
      </c>
      <c r="L95" s="373">
        <f t="shared" si="16"/>
        <v>0</v>
      </c>
      <c r="M95" s="113">
        <f>L95*D95*'B) D RI'!S97</f>
        <v>0</v>
      </c>
    </row>
    <row r="96" spans="1:13" x14ac:dyDescent="0.25">
      <c r="A96" s="295">
        <f>'A) Base RI'!A98</f>
        <v>5554</v>
      </c>
      <c r="B96" s="32" t="str">
        <f>'A) Base RI'!B98</f>
        <v>Concise</v>
      </c>
      <c r="C96" s="293">
        <f>'B) D RI'!U98</f>
        <v>33273.512128706279</v>
      </c>
      <c r="D96" s="32">
        <f>'B) D RI'!AA98</f>
        <v>1025</v>
      </c>
      <c r="E96" s="201">
        <f t="shared" si="9"/>
        <v>32.461963052396371</v>
      </c>
      <c r="F96" s="366">
        <f t="shared" si="10"/>
        <v>0.70568586419817481</v>
      </c>
      <c r="G96" s="377">
        <f t="shared" si="11"/>
        <v>0</v>
      </c>
      <c r="H96" s="374">
        <f t="shared" si="12"/>
        <v>0</v>
      </c>
      <c r="I96" s="377">
        <f t="shared" si="13"/>
        <v>0</v>
      </c>
      <c r="J96" s="374">
        <f t="shared" si="14"/>
        <v>0</v>
      </c>
      <c r="K96" s="369">
        <f t="shared" si="15"/>
        <v>0</v>
      </c>
      <c r="L96" s="373">
        <f t="shared" si="16"/>
        <v>0</v>
      </c>
      <c r="M96" s="113">
        <f>L96*D96*'B) D RI'!S98</f>
        <v>0</v>
      </c>
    </row>
    <row r="97" spans="1:13" x14ac:dyDescent="0.25">
      <c r="A97" s="295">
        <f>'A) Base RI'!A99</f>
        <v>5555</v>
      </c>
      <c r="B97" s="32" t="str">
        <f>'A) Base RI'!B99</f>
        <v>Corcelles-près-Concise</v>
      </c>
      <c r="C97" s="293">
        <f>'B) D RI'!U99</f>
        <v>13532.861505055624</v>
      </c>
      <c r="D97" s="32">
        <f>'B) D RI'!AA99</f>
        <v>401</v>
      </c>
      <c r="E97" s="201">
        <f t="shared" si="9"/>
        <v>33.747784301884352</v>
      </c>
      <c r="F97" s="366">
        <f t="shared" si="10"/>
        <v>0.73363814416918904</v>
      </c>
      <c r="G97" s="377">
        <f t="shared" si="11"/>
        <v>0</v>
      </c>
      <c r="H97" s="374">
        <f t="shared" si="12"/>
        <v>0</v>
      </c>
      <c r="I97" s="377">
        <f t="shared" si="13"/>
        <v>0</v>
      </c>
      <c r="J97" s="374">
        <f t="shared" si="14"/>
        <v>0</v>
      </c>
      <c r="K97" s="369">
        <f t="shared" si="15"/>
        <v>0</v>
      </c>
      <c r="L97" s="373">
        <f t="shared" si="16"/>
        <v>0</v>
      </c>
      <c r="M97" s="113">
        <f>L97*D97*'B) D RI'!S99</f>
        <v>0</v>
      </c>
    </row>
    <row r="98" spans="1:13" x14ac:dyDescent="0.25">
      <c r="A98" s="295">
        <f>'A) Base RI'!A100</f>
        <v>5556</v>
      </c>
      <c r="B98" s="32" t="str">
        <f>'A) Base RI'!B100</f>
        <v>Fiez</v>
      </c>
      <c r="C98" s="293">
        <f>'B) D RI'!U100</f>
        <v>13065.326581020432</v>
      </c>
      <c r="D98" s="32">
        <f>'B) D RI'!AA100</f>
        <v>445</v>
      </c>
      <c r="E98" s="201">
        <f t="shared" si="9"/>
        <v>29.360284451731307</v>
      </c>
      <c r="F98" s="366">
        <f t="shared" si="10"/>
        <v>0.63825892700887465</v>
      </c>
      <c r="G98" s="377">
        <f t="shared" si="11"/>
        <v>0</v>
      </c>
      <c r="H98" s="374">
        <f t="shared" si="12"/>
        <v>0</v>
      </c>
      <c r="I98" s="377">
        <f t="shared" si="13"/>
        <v>0</v>
      </c>
      <c r="J98" s="374">
        <f t="shared" si="14"/>
        <v>0</v>
      </c>
      <c r="K98" s="369">
        <f t="shared" si="15"/>
        <v>0</v>
      </c>
      <c r="L98" s="373">
        <f t="shared" si="16"/>
        <v>0</v>
      </c>
      <c r="M98" s="113">
        <f>L98*D98*'B) D RI'!S100</f>
        <v>0</v>
      </c>
    </row>
    <row r="99" spans="1:13" x14ac:dyDescent="0.25">
      <c r="A99" s="295">
        <f>'A) Base RI'!A101</f>
        <v>5557</v>
      </c>
      <c r="B99" s="32" t="str">
        <f>'A) Base RI'!B101</f>
        <v>Fontaines-sur-Grandson</v>
      </c>
      <c r="C99" s="293">
        <f>'B) D RI'!U101</f>
        <v>6528.2227757093106</v>
      </c>
      <c r="D99" s="32">
        <f>'B) D RI'!AA101</f>
        <v>215</v>
      </c>
      <c r="E99" s="201">
        <f t="shared" si="9"/>
        <v>30.363826863764235</v>
      </c>
      <c r="F99" s="366">
        <f t="shared" si="10"/>
        <v>0.66007478864213165</v>
      </c>
      <c r="G99" s="377">
        <f t="shared" si="11"/>
        <v>0</v>
      </c>
      <c r="H99" s="374">
        <f t="shared" si="12"/>
        <v>0</v>
      </c>
      <c r="I99" s="377">
        <f t="shared" si="13"/>
        <v>0</v>
      </c>
      <c r="J99" s="374">
        <f t="shared" si="14"/>
        <v>0</v>
      </c>
      <c r="K99" s="369">
        <f t="shared" si="15"/>
        <v>0</v>
      </c>
      <c r="L99" s="373">
        <f t="shared" si="16"/>
        <v>0</v>
      </c>
      <c r="M99" s="113">
        <f>L99*D99*'B) D RI'!S101</f>
        <v>0</v>
      </c>
    </row>
    <row r="100" spans="1:13" x14ac:dyDescent="0.25">
      <c r="A100" s="295">
        <f>'A) Base RI'!A102</f>
        <v>5559</v>
      </c>
      <c r="B100" s="32" t="str">
        <f>'A) Base RI'!B102</f>
        <v>Giez</v>
      </c>
      <c r="C100" s="293">
        <f>'B) D RI'!U102</f>
        <v>20929.407833065721</v>
      </c>
      <c r="D100" s="32">
        <f>'B) D RI'!AA102</f>
        <v>414</v>
      </c>
      <c r="E100" s="201">
        <f t="shared" si="9"/>
        <v>50.554125200641842</v>
      </c>
      <c r="F100" s="366">
        <f t="shared" si="10"/>
        <v>1.0989887294682286</v>
      </c>
      <c r="G100" s="377">
        <f t="shared" si="11"/>
        <v>4.5535395303013999</v>
      </c>
      <c r="H100" s="374">
        <f t="shared" si="12"/>
        <v>0</v>
      </c>
      <c r="I100" s="377">
        <f t="shared" si="13"/>
        <v>0</v>
      </c>
      <c r="J100" s="374">
        <f t="shared" si="14"/>
        <v>0</v>
      </c>
      <c r="K100" s="369">
        <f t="shared" si="15"/>
        <v>0</v>
      </c>
      <c r="L100" s="373">
        <f t="shared" si="16"/>
        <v>0.91070790606028007</v>
      </c>
      <c r="M100" s="113">
        <f>L100*D100*'B) D RI'!S102</f>
        <v>24884.182825191092</v>
      </c>
    </row>
    <row r="101" spans="1:13" x14ac:dyDescent="0.25">
      <c r="A101" s="295">
        <f>'A) Base RI'!A103</f>
        <v>5560</v>
      </c>
      <c r="B101" s="32" t="str">
        <f>'A) Base RI'!B103</f>
        <v>Grandevent</v>
      </c>
      <c r="C101" s="293">
        <f>'B) D RI'!U103</f>
        <v>7416.8272615804444</v>
      </c>
      <c r="D101" s="32">
        <f>'B) D RI'!AA103</f>
        <v>222</v>
      </c>
      <c r="E101" s="201">
        <f t="shared" si="9"/>
        <v>33.409131808920918</v>
      </c>
      <c r="F101" s="366">
        <f t="shared" si="10"/>
        <v>0.72627622718425411</v>
      </c>
      <c r="G101" s="377">
        <f t="shared" si="11"/>
        <v>0</v>
      </c>
      <c r="H101" s="374">
        <f t="shared" si="12"/>
        <v>0</v>
      </c>
      <c r="I101" s="377">
        <f t="shared" si="13"/>
        <v>0</v>
      </c>
      <c r="J101" s="374">
        <f t="shared" si="14"/>
        <v>0</v>
      </c>
      <c r="K101" s="369">
        <f t="shared" si="15"/>
        <v>0</v>
      </c>
      <c r="L101" s="373">
        <f t="shared" si="16"/>
        <v>0</v>
      </c>
      <c r="M101" s="113">
        <f>L101*D101*'B) D RI'!S103</f>
        <v>0</v>
      </c>
    </row>
    <row r="102" spans="1:13" x14ac:dyDescent="0.25">
      <c r="A102" s="295">
        <f>'A) Base RI'!A104</f>
        <v>5561</v>
      </c>
      <c r="B102" s="32" t="str">
        <f>'A) Base RI'!B104</f>
        <v>Grandson</v>
      </c>
      <c r="C102" s="293">
        <f>'B) D RI'!U104</f>
        <v>113273.1793379919</v>
      </c>
      <c r="D102" s="32">
        <f>'B) D RI'!AA104</f>
        <v>3340</v>
      </c>
      <c r="E102" s="201">
        <f t="shared" si="9"/>
        <v>33.914125550296973</v>
      </c>
      <c r="F102" s="366">
        <f t="shared" si="10"/>
        <v>0.7372542122254675</v>
      </c>
      <c r="G102" s="377">
        <f t="shared" si="11"/>
        <v>0</v>
      </c>
      <c r="H102" s="374">
        <f t="shared" si="12"/>
        <v>0</v>
      </c>
      <c r="I102" s="377">
        <f t="shared" si="13"/>
        <v>0</v>
      </c>
      <c r="J102" s="374">
        <f t="shared" si="14"/>
        <v>0</v>
      </c>
      <c r="K102" s="369">
        <f t="shared" si="15"/>
        <v>0</v>
      </c>
      <c r="L102" s="373">
        <f t="shared" si="16"/>
        <v>0</v>
      </c>
      <c r="M102" s="113">
        <f>L102*D102*'B) D RI'!S104</f>
        <v>0</v>
      </c>
    </row>
    <row r="103" spans="1:13" x14ac:dyDescent="0.25">
      <c r="A103" s="295">
        <f>'A) Base RI'!A105</f>
        <v>5562</v>
      </c>
      <c r="B103" s="32" t="str">
        <f>'A) Base RI'!B105</f>
        <v>Mauborget</v>
      </c>
      <c r="C103" s="293">
        <f>'B) D RI'!U105</f>
        <v>5481.8555000000006</v>
      </c>
      <c r="D103" s="32">
        <f>'B) D RI'!AA105</f>
        <v>120</v>
      </c>
      <c r="E103" s="201">
        <f t="shared" si="9"/>
        <v>45.68212916666667</v>
      </c>
      <c r="F103" s="366">
        <f t="shared" si="10"/>
        <v>0.99307712067068088</v>
      </c>
      <c r="G103" s="377">
        <f t="shared" si="11"/>
        <v>0</v>
      </c>
      <c r="H103" s="374">
        <f t="shared" si="12"/>
        <v>0</v>
      </c>
      <c r="I103" s="377">
        <f t="shared" si="13"/>
        <v>0</v>
      </c>
      <c r="J103" s="374">
        <f t="shared" si="14"/>
        <v>0</v>
      </c>
      <c r="K103" s="369">
        <f t="shared" si="15"/>
        <v>0</v>
      </c>
      <c r="L103" s="373">
        <f t="shared" si="16"/>
        <v>0</v>
      </c>
      <c r="M103" s="113">
        <f>L103*D103*'B) D RI'!S105</f>
        <v>0</v>
      </c>
    </row>
    <row r="104" spans="1:13" x14ac:dyDescent="0.25">
      <c r="A104" s="295">
        <f>'A) Base RI'!A106</f>
        <v>5563</v>
      </c>
      <c r="B104" s="32" t="str">
        <f>'A) Base RI'!B106</f>
        <v>Mutrux</v>
      </c>
      <c r="C104" s="293">
        <f>'B) D RI'!U106</f>
        <v>4024.138375587273</v>
      </c>
      <c r="D104" s="32">
        <f>'B) D RI'!AA106</f>
        <v>153</v>
      </c>
      <c r="E104" s="201">
        <f t="shared" si="9"/>
        <v>26.301558010374332</v>
      </c>
      <c r="F104" s="366">
        <f t="shared" si="10"/>
        <v>0.57176572052500307</v>
      </c>
      <c r="G104" s="377">
        <f t="shared" si="11"/>
        <v>0</v>
      </c>
      <c r="H104" s="374">
        <f t="shared" si="12"/>
        <v>0</v>
      </c>
      <c r="I104" s="377">
        <f t="shared" si="13"/>
        <v>0</v>
      </c>
      <c r="J104" s="374">
        <f t="shared" si="14"/>
        <v>0</v>
      </c>
      <c r="K104" s="369">
        <f t="shared" si="15"/>
        <v>0</v>
      </c>
      <c r="L104" s="373">
        <f t="shared" si="16"/>
        <v>0</v>
      </c>
      <c r="M104" s="113">
        <f>L104*D104*'B) D RI'!S106</f>
        <v>0</v>
      </c>
    </row>
    <row r="105" spans="1:13" x14ac:dyDescent="0.25">
      <c r="A105" s="295">
        <f>'A) Base RI'!A107</f>
        <v>5564</v>
      </c>
      <c r="B105" s="32" t="str">
        <f>'A) Base RI'!B107</f>
        <v>Novalles</v>
      </c>
      <c r="C105" s="293">
        <f>'B) D RI'!U107</f>
        <v>2262.9000968180799</v>
      </c>
      <c r="D105" s="32">
        <f>'B) D RI'!AA107</f>
        <v>100</v>
      </c>
      <c r="E105" s="201">
        <f t="shared" si="9"/>
        <v>22.629000968180797</v>
      </c>
      <c r="F105" s="366">
        <f t="shared" si="10"/>
        <v>0.49192854043967488</v>
      </c>
      <c r="G105" s="377">
        <f t="shared" si="11"/>
        <v>0</v>
      </c>
      <c r="H105" s="374">
        <f t="shared" si="12"/>
        <v>0</v>
      </c>
      <c r="I105" s="377">
        <f t="shared" si="13"/>
        <v>0</v>
      </c>
      <c r="J105" s="374">
        <f t="shared" si="14"/>
        <v>0</v>
      </c>
      <c r="K105" s="369">
        <f t="shared" si="15"/>
        <v>0</v>
      </c>
      <c r="L105" s="373">
        <f t="shared" si="16"/>
        <v>0</v>
      </c>
      <c r="M105" s="113">
        <f>L105*D105*'B) D RI'!S107</f>
        <v>0</v>
      </c>
    </row>
    <row r="106" spans="1:13" x14ac:dyDescent="0.25">
      <c r="A106" s="295">
        <f>'A) Base RI'!A108</f>
        <v>5565</v>
      </c>
      <c r="B106" s="32" t="str">
        <f>'A) Base RI'!B108</f>
        <v>Onnens</v>
      </c>
      <c r="C106" s="293">
        <f>'B) D RI'!U108</f>
        <v>18662.496602351366</v>
      </c>
      <c r="D106" s="32">
        <f>'B) D RI'!AA108</f>
        <v>497</v>
      </c>
      <c r="E106" s="201">
        <f t="shared" si="9"/>
        <v>37.550294974550035</v>
      </c>
      <c r="F106" s="366">
        <f t="shared" si="10"/>
        <v>0.81630036720947974</v>
      </c>
      <c r="G106" s="377">
        <f t="shared" si="11"/>
        <v>0</v>
      </c>
      <c r="H106" s="374">
        <f t="shared" si="12"/>
        <v>0</v>
      </c>
      <c r="I106" s="377">
        <f t="shared" si="13"/>
        <v>0</v>
      </c>
      <c r="J106" s="374">
        <f t="shared" si="14"/>
        <v>0</v>
      </c>
      <c r="K106" s="369">
        <f t="shared" si="15"/>
        <v>0</v>
      </c>
      <c r="L106" s="373">
        <f t="shared" si="16"/>
        <v>0</v>
      </c>
      <c r="M106" s="113">
        <f>L106*D106*'B) D RI'!S108</f>
        <v>0</v>
      </c>
    </row>
    <row r="107" spans="1:13" x14ac:dyDescent="0.25">
      <c r="A107" s="295">
        <f>'A) Base RI'!A109</f>
        <v>5566</v>
      </c>
      <c r="B107" s="32" t="str">
        <f>'A) Base RI'!B109</f>
        <v>Provence</v>
      </c>
      <c r="C107" s="293">
        <f>'B) D RI'!U109</f>
        <v>8507.523402669327</v>
      </c>
      <c r="D107" s="32">
        <f>'B) D RI'!AA109</f>
        <v>379</v>
      </c>
      <c r="E107" s="201">
        <f t="shared" si="9"/>
        <v>22.447291299919069</v>
      </c>
      <c r="F107" s="366">
        <f t="shared" si="10"/>
        <v>0.48797838055336529</v>
      </c>
      <c r="G107" s="377">
        <f t="shared" si="11"/>
        <v>0</v>
      </c>
      <c r="H107" s="374">
        <f t="shared" si="12"/>
        <v>0</v>
      </c>
      <c r="I107" s="377">
        <f t="shared" si="13"/>
        <v>0</v>
      </c>
      <c r="J107" s="374">
        <f t="shared" si="14"/>
        <v>0</v>
      </c>
      <c r="K107" s="369">
        <f t="shared" si="15"/>
        <v>0</v>
      </c>
      <c r="L107" s="373">
        <f t="shared" si="16"/>
        <v>0</v>
      </c>
      <c r="M107" s="113">
        <f>L107*D107*'B) D RI'!S109</f>
        <v>0</v>
      </c>
    </row>
    <row r="108" spans="1:13" x14ac:dyDescent="0.25">
      <c r="A108" s="295">
        <f>'A) Base RI'!A110</f>
        <v>5568</v>
      </c>
      <c r="B108" s="32" t="str">
        <f>'A) Base RI'!B110</f>
        <v>Sainte-Croix</v>
      </c>
      <c r="C108" s="293">
        <f>'B) D RI'!U110</f>
        <v>109442.50057575936</v>
      </c>
      <c r="D108" s="32">
        <f>'B) D RI'!AA110</f>
        <v>4888</v>
      </c>
      <c r="E108" s="201">
        <f t="shared" si="9"/>
        <v>22.390036942667628</v>
      </c>
      <c r="F108" s="366">
        <f t="shared" si="10"/>
        <v>0.48673373645988022</v>
      </c>
      <c r="G108" s="377">
        <f t="shared" si="11"/>
        <v>0</v>
      </c>
      <c r="H108" s="374">
        <f t="shared" si="12"/>
        <v>0</v>
      </c>
      <c r="I108" s="377">
        <f t="shared" si="13"/>
        <v>0</v>
      </c>
      <c r="J108" s="374">
        <f t="shared" si="14"/>
        <v>0</v>
      </c>
      <c r="K108" s="369">
        <f t="shared" si="15"/>
        <v>0</v>
      </c>
      <c r="L108" s="373">
        <f t="shared" si="16"/>
        <v>0</v>
      </c>
      <c r="M108" s="113">
        <f>L108*D108*'B) D RI'!S110</f>
        <v>0</v>
      </c>
    </row>
    <row r="109" spans="1:13" x14ac:dyDescent="0.25">
      <c r="A109" s="295">
        <f>'A) Base RI'!A111</f>
        <v>5571</v>
      </c>
      <c r="B109" s="32" t="str">
        <f>'A) Base RI'!B111</f>
        <v>Tévenon</v>
      </c>
      <c r="C109" s="293">
        <f>'B) D RI'!U111</f>
        <v>24814.739648311806</v>
      </c>
      <c r="D109" s="32">
        <f>'B) D RI'!AA111</f>
        <v>896</v>
      </c>
      <c r="E109" s="201">
        <f t="shared" si="9"/>
        <v>27.695021928919427</v>
      </c>
      <c r="F109" s="366">
        <f t="shared" si="10"/>
        <v>0.60205802872584302</v>
      </c>
      <c r="G109" s="377">
        <f t="shared" si="11"/>
        <v>0</v>
      </c>
      <c r="H109" s="374">
        <f t="shared" si="12"/>
        <v>0</v>
      </c>
      <c r="I109" s="377">
        <f t="shared" si="13"/>
        <v>0</v>
      </c>
      <c r="J109" s="374">
        <f t="shared" si="14"/>
        <v>0</v>
      </c>
      <c r="K109" s="369">
        <f t="shared" si="15"/>
        <v>0</v>
      </c>
      <c r="L109" s="373">
        <f t="shared" si="16"/>
        <v>0</v>
      </c>
      <c r="M109" s="113">
        <f>L109*D109*'B) D RI'!S111</f>
        <v>0</v>
      </c>
    </row>
    <row r="110" spans="1:13" x14ac:dyDescent="0.25">
      <c r="A110" s="295">
        <f>'A) Base RI'!A112</f>
        <v>5581</v>
      </c>
      <c r="B110" s="32" t="str">
        <f>'A) Base RI'!B112</f>
        <v>Belmont-sur-Lausanne</v>
      </c>
      <c r="C110" s="293">
        <f>'B) D RI'!U112</f>
        <v>187390.297037037</v>
      </c>
      <c r="D110" s="32">
        <f>'B) D RI'!AA112</f>
        <v>3773</v>
      </c>
      <c r="E110" s="201">
        <f t="shared" si="9"/>
        <v>49.666126964494303</v>
      </c>
      <c r="F110" s="366">
        <f t="shared" si="10"/>
        <v>1.0796846657654029</v>
      </c>
      <c r="G110" s="377">
        <f t="shared" si="11"/>
        <v>3.6655412941538614</v>
      </c>
      <c r="H110" s="374">
        <f t="shared" si="12"/>
        <v>0</v>
      </c>
      <c r="I110" s="377">
        <f t="shared" si="13"/>
        <v>0</v>
      </c>
      <c r="J110" s="374">
        <f t="shared" si="14"/>
        <v>0</v>
      </c>
      <c r="K110" s="369">
        <f t="shared" si="15"/>
        <v>0</v>
      </c>
      <c r="L110" s="373">
        <f t="shared" si="16"/>
        <v>0.73310825883077235</v>
      </c>
      <c r="M110" s="113">
        <f>L110*D110*'B) D RI'!S112</f>
        <v>199153.25716093229</v>
      </c>
    </row>
    <row r="111" spans="1:13" x14ac:dyDescent="0.25">
      <c r="A111" s="295">
        <f>'A) Base RI'!A113</f>
        <v>5582</v>
      </c>
      <c r="B111" s="32" t="str">
        <f>'A) Base RI'!B113</f>
        <v>Cheseaux-sur-Lausanne</v>
      </c>
      <c r="C111" s="293">
        <f>'B) D RI'!U113</f>
        <v>165596.20409124478</v>
      </c>
      <c r="D111" s="32">
        <f>'B) D RI'!AA113</f>
        <v>4339</v>
      </c>
      <c r="E111" s="201">
        <f t="shared" si="9"/>
        <v>38.164601081181097</v>
      </c>
      <c r="F111" s="366">
        <f t="shared" si="10"/>
        <v>0.82965467776181567</v>
      </c>
      <c r="G111" s="377">
        <f t="shared" si="11"/>
        <v>0</v>
      </c>
      <c r="H111" s="374">
        <f t="shared" si="12"/>
        <v>0</v>
      </c>
      <c r="I111" s="377">
        <f t="shared" si="13"/>
        <v>0</v>
      </c>
      <c r="J111" s="374">
        <f t="shared" si="14"/>
        <v>0</v>
      </c>
      <c r="K111" s="369">
        <f t="shared" si="15"/>
        <v>0</v>
      </c>
      <c r="L111" s="373">
        <f t="shared" si="16"/>
        <v>0</v>
      </c>
      <c r="M111" s="113">
        <f>L111*D111*'B) D RI'!S113</f>
        <v>0</v>
      </c>
    </row>
    <row r="112" spans="1:13" x14ac:dyDescent="0.25">
      <c r="A112" s="295">
        <f>'A) Base RI'!A114</f>
        <v>5583</v>
      </c>
      <c r="B112" s="32" t="str">
        <f>'A) Base RI'!B114</f>
        <v>Crissier</v>
      </c>
      <c r="C112" s="293">
        <f>'B) D RI'!U114</f>
        <v>307386.12106978399</v>
      </c>
      <c r="D112" s="32">
        <f>'B) D RI'!AA114</f>
        <v>7944</v>
      </c>
      <c r="E112" s="201">
        <f t="shared" si="9"/>
        <v>38.694124001735148</v>
      </c>
      <c r="F112" s="366">
        <f t="shared" si="10"/>
        <v>0.84116589903949324</v>
      </c>
      <c r="G112" s="377">
        <f t="shared" si="11"/>
        <v>0</v>
      </c>
      <c r="H112" s="374">
        <f t="shared" si="12"/>
        <v>0</v>
      </c>
      <c r="I112" s="377">
        <f t="shared" si="13"/>
        <v>0</v>
      </c>
      <c r="J112" s="374">
        <f t="shared" si="14"/>
        <v>0</v>
      </c>
      <c r="K112" s="369">
        <f t="shared" si="15"/>
        <v>0</v>
      </c>
      <c r="L112" s="373">
        <f t="shared" si="16"/>
        <v>0</v>
      </c>
      <c r="M112" s="113">
        <f>L112*D112*'B) D RI'!S114</f>
        <v>0</v>
      </c>
    </row>
    <row r="113" spans="1:13" x14ac:dyDescent="0.25">
      <c r="A113" s="295">
        <f>'A) Base RI'!A115</f>
        <v>5584</v>
      </c>
      <c r="B113" s="32" t="str">
        <f>'A) Base RI'!B115</f>
        <v>Epalinges</v>
      </c>
      <c r="C113" s="293">
        <f>'B) D RI'!U115</f>
        <v>474209.93693948264</v>
      </c>
      <c r="D113" s="32">
        <f>'B) D RI'!AA115</f>
        <v>9701</v>
      </c>
      <c r="E113" s="201">
        <f t="shared" si="9"/>
        <v>48.88258292335663</v>
      </c>
      <c r="F113" s="366">
        <f t="shared" si="10"/>
        <v>1.0626513165217024</v>
      </c>
      <c r="G113" s="377">
        <f t="shared" si="11"/>
        <v>2.8819972530161877</v>
      </c>
      <c r="H113" s="374">
        <f t="shared" si="12"/>
        <v>0</v>
      </c>
      <c r="I113" s="377">
        <f t="shared" si="13"/>
        <v>0</v>
      </c>
      <c r="J113" s="374">
        <f t="shared" si="14"/>
        <v>0</v>
      </c>
      <c r="K113" s="369">
        <f t="shared" si="15"/>
        <v>0</v>
      </c>
      <c r="L113" s="373">
        <f t="shared" si="16"/>
        <v>0.57639945060323761</v>
      </c>
      <c r="M113" s="113">
        <f>L113*D113*'B) D RI'!S115</f>
        <v>369048.97063993249</v>
      </c>
    </row>
    <row r="114" spans="1:13" x14ac:dyDescent="0.25">
      <c r="A114" s="295">
        <f>'A) Base RI'!A116</f>
        <v>5585</v>
      </c>
      <c r="B114" s="32" t="str">
        <f>'A) Base RI'!B116</f>
        <v>Jouxtens-Mézery</v>
      </c>
      <c r="C114" s="293">
        <f>'B) D RI'!U116</f>
        <v>229667.26461667338</v>
      </c>
      <c r="D114" s="32">
        <f>'B) D RI'!AA116</f>
        <v>1423</v>
      </c>
      <c r="E114" s="201">
        <f t="shared" si="9"/>
        <v>161.39653170532213</v>
      </c>
      <c r="F114" s="366">
        <f t="shared" si="10"/>
        <v>3.508575583405777</v>
      </c>
      <c r="G114" s="377">
        <f t="shared" si="11"/>
        <v>115.39594603498169</v>
      </c>
      <c r="H114" s="374">
        <f t="shared" si="12"/>
        <v>106.1958289009136</v>
      </c>
      <c r="I114" s="377">
        <f t="shared" si="13"/>
        <v>92.395653199811477</v>
      </c>
      <c r="J114" s="374">
        <f t="shared" si="14"/>
        <v>69.395360364641249</v>
      </c>
      <c r="K114" s="369">
        <f t="shared" si="15"/>
        <v>23.394774694300821</v>
      </c>
      <c r="L114" s="373">
        <f t="shared" si="16"/>
        <v>52.21735092296305</v>
      </c>
      <c r="M114" s="113">
        <f>L114*D114*'B) D RI'!S116</f>
        <v>4384012.131439209</v>
      </c>
    </row>
    <row r="115" spans="1:13" x14ac:dyDescent="0.25">
      <c r="A115" s="295">
        <f>'A) Base RI'!A117</f>
        <v>5586</v>
      </c>
      <c r="B115" s="32" t="str">
        <f>'A) Base RI'!B117</f>
        <v>Lausanne</v>
      </c>
      <c r="C115" s="293">
        <f>'B) D RI'!U117</f>
        <v>5921149.2978412546</v>
      </c>
      <c r="D115" s="32">
        <f>'B) D RI'!AA117</f>
        <v>139726</v>
      </c>
      <c r="E115" s="201">
        <f t="shared" si="9"/>
        <v>42.376861127071948</v>
      </c>
      <c r="F115" s="366">
        <f t="shared" si="10"/>
        <v>0.92122438246248362</v>
      </c>
      <c r="G115" s="377">
        <f t="shared" si="11"/>
        <v>0</v>
      </c>
      <c r="H115" s="374">
        <f t="shared" si="12"/>
        <v>0</v>
      </c>
      <c r="I115" s="377">
        <f t="shared" si="13"/>
        <v>0</v>
      </c>
      <c r="J115" s="374">
        <f t="shared" si="14"/>
        <v>0</v>
      </c>
      <c r="K115" s="369">
        <f t="shared" si="15"/>
        <v>0</v>
      </c>
      <c r="L115" s="373">
        <f t="shared" si="16"/>
        <v>0</v>
      </c>
      <c r="M115" s="113">
        <f>L115*D115*'B) D RI'!S117</f>
        <v>0</v>
      </c>
    </row>
    <row r="116" spans="1:13" x14ac:dyDescent="0.25">
      <c r="A116" s="295">
        <f>'A) Base RI'!A118</f>
        <v>5587</v>
      </c>
      <c r="B116" s="32" t="str">
        <f>'A) Base RI'!B118</f>
        <v>Le Mont-sur-Lausanne</v>
      </c>
      <c r="C116" s="293">
        <f>'B) D RI'!U118</f>
        <v>435325.60080081096</v>
      </c>
      <c r="D116" s="32">
        <f>'B) D RI'!AA118</f>
        <v>8991</v>
      </c>
      <c r="E116" s="201">
        <f t="shared" si="9"/>
        <v>48.417929129219324</v>
      </c>
      <c r="F116" s="366">
        <f t="shared" si="10"/>
        <v>1.0525502756900225</v>
      </c>
      <c r="G116" s="377">
        <f t="shared" si="11"/>
        <v>2.4173434588788822</v>
      </c>
      <c r="H116" s="374">
        <f t="shared" si="12"/>
        <v>0</v>
      </c>
      <c r="I116" s="377">
        <f t="shared" si="13"/>
        <v>0</v>
      </c>
      <c r="J116" s="374">
        <f t="shared" si="14"/>
        <v>0</v>
      </c>
      <c r="K116" s="369">
        <f t="shared" si="15"/>
        <v>0</v>
      </c>
      <c r="L116" s="373">
        <f t="shared" si="16"/>
        <v>0.48346869177577645</v>
      </c>
      <c r="M116" s="113">
        <f>L116*D116*'B) D RI'!S118</f>
        <v>326015.02558170049</v>
      </c>
    </row>
    <row r="117" spans="1:13" x14ac:dyDescent="0.25">
      <c r="A117" s="295">
        <f>'A) Base RI'!A119</f>
        <v>5588</v>
      </c>
      <c r="B117" s="32" t="str">
        <f>'A) Base RI'!B119</f>
        <v>Paudex</v>
      </c>
      <c r="C117" s="293">
        <f>'B) D RI'!U119</f>
        <v>133190.693055262</v>
      </c>
      <c r="D117" s="32">
        <f>'B) D RI'!AA119</f>
        <v>1532</v>
      </c>
      <c r="E117" s="201">
        <f t="shared" si="9"/>
        <v>86.939094683591392</v>
      </c>
      <c r="F117" s="366">
        <f t="shared" si="10"/>
        <v>1.8899562563536372</v>
      </c>
      <c r="G117" s="377">
        <f t="shared" si="11"/>
        <v>40.93850901325095</v>
      </c>
      <c r="H117" s="374">
        <f t="shared" si="12"/>
        <v>31.738391879182863</v>
      </c>
      <c r="I117" s="377">
        <f t="shared" si="13"/>
        <v>17.938216178080737</v>
      </c>
      <c r="J117" s="374">
        <f t="shared" si="14"/>
        <v>0</v>
      </c>
      <c r="K117" s="369">
        <f t="shared" si="15"/>
        <v>0</v>
      </c>
      <c r="L117" s="373">
        <f t="shared" si="16"/>
        <v>13.155362608376549</v>
      </c>
      <c r="M117" s="113">
        <f>L117*D117*'B) D RI'!S119</f>
        <v>1370473.0550902353</v>
      </c>
    </row>
    <row r="118" spans="1:13" x14ac:dyDescent="0.25">
      <c r="A118" s="295">
        <f>'A) Base RI'!A120</f>
        <v>5589</v>
      </c>
      <c r="B118" s="32" t="str">
        <f>'A) Base RI'!B120</f>
        <v>Prilly</v>
      </c>
      <c r="C118" s="293">
        <f>'B) D RI'!U120</f>
        <v>406505.26778654603</v>
      </c>
      <c r="D118" s="32">
        <f>'B) D RI'!AA120</f>
        <v>12423</v>
      </c>
      <c r="E118" s="201">
        <f t="shared" si="9"/>
        <v>32.721988874389922</v>
      </c>
      <c r="F118" s="366">
        <f t="shared" si="10"/>
        <v>0.71133852748939908</v>
      </c>
      <c r="G118" s="377">
        <f t="shared" si="11"/>
        <v>0</v>
      </c>
      <c r="H118" s="374">
        <f t="shared" si="12"/>
        <v>0</v>
      </c>
      <c r="I118" s="377">
        <f t="shared" si="13"/>
        <v>0</v>
      </c>
      <c r="J118" s="374">
        <f t="shared" si="14"/>
        <v>0</v>
      </c>
      <c r="K118" s="369">
        <f t="shared" si="15"/>
        <v>0</v>
      </c>
      <c r="L118" s="373">
        <f t="shared" si="16"/>
        <v>0</v>
      </c>
      <c r="M118" s="113">
        <f>L118*D118*'B) D RI'!S120</f>
        <v>0</v>
      </c>
    </row>
    <row r="119" spans="1:13" x14ac:dyDescent="0.25">
      <c r="A119" s="295">
        <f>'A) Base RI'!A121</f>
        <v>5590</v>
      </c>
      <c r="B119" s="32" t="str">
        <f>'A) Base RI'!B121</f>
        <v>Pully</v>
      </c>
      <c r="C119" s="293">
        <f>'B) D RI'!U121</f>
        <v>1525137.1517209217</v>
      </c>
      <c r="D119" s="32">
        <f>'B) D RI'!AA121</f>
        <v>18495</v>
      </c>
      <c r="E119" s="201">
        <f t="shared" si="9"/>
        <v>82.462133101969272</v>
      </c>
      <c r="F119" s="366">
        <f t="shared" si="10"/>
        <v>1.7926322437050612</v>
      </c>
      <c r="G119" s="377">
        <f t="shared" si="11"/>
        <v>36.46154743162883</v>
      </c>
      <c r="H119" s="374">
        <f t="shared" si="12"/>
        <v>27.261430297560743</v>
      </c>
      <c r="I119" s="377">
        <f t="shared" si="13"/>
        <v>13.461254596458616</v>
      </c>
      <c r="J119" s="374">
        <f t="shared" si="14"/>
        <v>0</v>
      </c>
      <c r="K119" s="369">
        <f t="shared" si="15"/>
        <v>0</v>
      </c>
      <c r="L119" s="373">
        <f t="shared" si="16"/>
        <v>11.364577975727702</v>
      </c>
      <c r="M119" s="113">
        <f>L119*D119*'B) D RI'!S121</f>
        <v>12821460.049326114</v>
      </c>
    </row>
    <row r="120" spans="1:13" x14ac:dyDescent="0.25">
      <c r="A120" s="295">
        <f>'A) Base RI'!A122</f>
        <v>5591</v>
      </c>
      <c r="B120" s="32" t="str">
        <f>'A) Base RI'!B122</f>
        <v>Renens</v>
      </c>
      <c r="C120" s="293">
        <f>'B) D RI'!U122</f>
        <v>560894.98850347521</v>
      </c>
      <c r="D120" s="32">
        <f>'B) D RI'!AA122</f>
        <v>20928</v>
      </c>
      <c r="E120" s="201">
        <f t="shared" si="9"/>
        <v>26.801174909378595</v>
      </c>
      <c r="F120" s="366">
        <f t="shared" si="10"/>
        <v>0.58262681917676207</v>
      </c>
      <c r="G120" s="377">
        <f t="shared" si="11"/>
        <v>0</v>
      </c>
      <c r="H120" s="374">
        <f t="shared" si="12"/>
        <v>0</v>
      </c>
      <c r="I120" s="377">
        <f t="shared" si="13"/>
        <v>0</v>
      </c>
      <c r="J120" s="374">
        <f t="shared" si="14"/>
        <v>0</v>
      </c>
      <c r="K120" s="369">
        <f t="shared" si="15"/>
        <v>0</v>
      </c>
      <c r="L120" s="373">
        <f t="shared" si="16"/>
        <v>0</v>
      </c>
      <c r="M120" s="113">
        <f>L120*D120*'B) D RI'!S122</f>
        <v>0</v>
      </c>
    </row>
    <row r="121" spans="1:13" x14ac:dyDescent="0.25">
      <c r="A121" s="295">
        <f>'A) Base RI'!A123</f>
        <v>5592</v>
      </c>
      <c r="B121" s="32" t="str">
        <f>'A) Base RI'!B123</f>
        <v>Romanel-sur-Lausanne</v>
      </c>
      <c r="C121" s="293">
        <f>'B) D RI'!U123</f>
        <v>112590.71279371857</v>
      </c>
      <c r="D121" s="32">
        <f>'B) D RI'!AA123</f>
        <v>3294</v>
      </c>
      <c r="E121" s="201">
        <f t="shared" si="9"/>
        <v>34.180544260388153</v>
      </c>
      <c r="F121" s="366">
        <f t="shared" si="10"/>
        <v>0.74304584957548847</v>
      </c>
      <c r="G121" s="377">
        <f t="shared" si="11"/>
        <v>0</v>
      </c>
      <c r="H121" s="374">
        <f t="shared" si="12"/>
        <v>0</v>
      </c>
      <c r="I121" s="377">
        <f t="shared" si="13"/>
        <v>0</v>
      </c>
      <c r="J121" s="374">
        <f t="shared" si="14"/>
        <v>0</v>
      </c>
      <c r="K121" s="369">
        <f t="shared" si="15"/>
        <v>0</v>
      </c>
      <c r="L121" s="373">
        <f t="shared" si="16"/>
        <v>0</v>
      </c>
      <c r="M121" s="113">
        <f>L121*D121*'B) D RI'!S123</f>
        <v>0</v>
      </c>
    </row>
    <row r="122" spans="1:13" x14ac:dyDescent="0.25">
      <c r="A122" s="295">
        <f>'A) Base RI'!A124</f>
        <v>5601</v>
      </c>
      <c r="B122" s="32" t="str">
        <f>'A) Base RI'!B124</f>
        <v>Chexbres</v>
      </c>
      <c r="C122" s="293">
        <f>'B) D RI'!U124</f>
        <v>103283.91611303072</v>
      </c>
      <c r="D122" s="32">
        <f>'B) D RI'!AA124</f>
        <v>2235</v>
      </c>
      <c r="E122" s="201">
        <f t="shared" si="9"/>
        <v>46.212043003593159</v>
      </c>
      <c r="F122" s="366">
        <f t="shared" si="10"/>
        <v>1.0045968400221708</v>
      </c>
      <c r="G122" s="377">
        <f t="shared" si="11"/>
        <v>0.21145733325271721</v>
      </c>
      <c r="H122" s="374">
        <f t="shared" si="12"/>
        <v>0</v>
      </c>
      <c r="I122" s="377">
        <f t="shared" si="13"/>
        <v>0</v>
      </c>
      <c r="J122" s="374">
        <f t="shared" si="14"/>
        <v>0</v>
      </c>
      <c r="K122" s="369">
        <f t="shared" si="15"/>
        <v>0</v>
      </c>
      <c r="L122" s="373">
        <f t="shared" si="16"/>
        <v>4.2291466650543445E-2</v>
      </c>
      <c r="M122" s="113">
        <f>L122*D122*'B) D RI'!S124</f>
        <v>6521.9785295135571</v>
      </c>
    </row>
    <row r="123" spans="1:13" x14ac:dyDescent="0.25">
      <c r="A123" s="295">
        <f>'A) Base RI'!A125</f>
        <v>5604</v>
      </c>
      <c r="B123" s="32" t="str">
        <f>'A) Base RI'!B125</f>
        <v>Forel (Lavaux)</v>
      </c>
      <c r="C123" s="293">
        <f>'B) D RI'!U125</f>
        <v>73662.582961552936</v>
      </c>
      <c r="D123" s="32">
        <f>'B) D RI'!AA125</f>
        <v>2064</v>
      </c>
      <c r="E123" s="201">
        <f t="shared" si="9"/>
        <v>35.68923593098495</v>
      </c>
      <c r="F123" s="366">
        <f t="shared" si="10"/>
        <v>0.77584307701534572</v>
      </c>
      <c r="G123" s="377">
        <f t="shared" si="11"/>
        <v>0</v>
      </c>
      <c r="H123" s="374">
        <f t="shared" si="12"/>
        <v>0</v>
      </c>
      <c r="I123" s="377">
        <f t="shared" si="13"/>
        <v>0</v>
      </c>
      <c r="J123" s="374">
        <f t="shared" si="14"/>
        <v>0</v>
      </c>
      <c r="K123" s="369">
        <f t="shared" si="15"/>
        <v>0</v>
      </c>
      <c r="L123" s="373">
        <f t="shared" si="16"/>
        <v>0</v>
      </c>
      <c r="M123" s="113">
        <f>L123*D123*'B) D RI'!S125</f>
        <v>0</v>
      </c>
    </row>
    <row r="124" spans="1:13" x14ac:dyDescent="0.25">
      <c r="A124" s="295">
        <f>'A) Base RI'!A126</f>
        <v>5606</v>
      </c>
      <c r="B124" s="32" t="str">
        <f>'A) Base RI'!B126</f>
        <v>Lutry</v>
      </c>
      <c r="C124" s="293">
        <f>'B) D RI'!U126</f>
        <v>807933.92151435383</v>
      </c>
      <c r="D124" s="32">
        <f>'B) D RI'!AA126</f>
        <v>10357</v>
      </c>
      <c r="E124" s="201">
        <f t="shared" si="9"/>
        <v>78.008489090890592</v>
      </c>
      <c r="F124" s="366">
        <f t="shared" si="10"/>
        <v>1.6958151283101537</v>
      </c>
      <c r="G124" s="377">
        <f t="shared" si="11"/>
        <v>32.00790342055015</v>
      </c>
      <c r="H124" s="374">
        <f t="shared" si="12"/>
        <v>22.807786286482063</v>
      </c>
      <c r="I124" s="377">
        <f t="shared" si="13"/>
        <v>9.0076105853799362</v>
      </c>
      <c r="J124" s="374">
        <f t="shared" si="14"/>
        <v>0</v>
      </c>
      <c r="K124" s="369">
        <f t="shared" si="15"/>
        <v>0</v>
      </c>
      <c r="L124" s="373">
        <f t="shared" si="16"/>
        <v>9.5831203712962303</v>
      </c>
      <c r="M124" s="113">
        <f>L124*D124*'B) D RI'!S126</f>
        <v>5508506.9615460848</v>
      </c>
    </row>
    <row r="125" spans="1:13" x14ac:dyDescent="0.25">
      <c r="A125" s="295">
        <f>'A) Base RI'!A127</f>
        <v>5607</v>
      </c>
      <c r="B125" s="32" t="str">
        <f>'A) Base RI'!B127</f>
        <v>Puidoux</v>
      </c>
      <c r="C125" s="293">
        <f>'B) D RI'!U127</f>
        <v>99930.249355206179</v>
      </c>
      <c r="D125" s="32">
        <f>'B) D RI'!AA127</f>
        <v>2881</v>
      </c>
      <c r="E125" s="201">
        <f t="shared" si="9"/>
        <v>34.685959512393673</v>
      </c>
      <c r="F125" s="366">
        <f t="shared" si="10"/>
        <v>0.75403299777459043</v>
      </c>
      <c r="G125" s="377">
        <f t="shared" si="11"/>
        <v>0</v>
      </c>
      <c r="H125" s="374">
        <f t="shared" si="12"/>
        <v>0</v>
      </c>
      <c r="I125" s="377">
        <f t="shared" si="13"/>
        <v>0</v>
      </c>
      <c r="J125" s="374">
        <f t="shared" si="14"/>
        <v>0</v>
      </c>
      <c r="K125" s="369">
        <f t="shared" si="15"/>
        <v>0</v>
      </c>
      <c r="L125" s="373">
        <f t="shared" si="16"/>
        <v>0</v>
      </c>
      <c r="M125" s="113">
        <f>L125*D125*'B) D RI'!S127</f>
        <v>0</v>
      </c>
    </row>
    <row r="126" spans="1:13" x14ac:dyDescent="0.25">
      <c r="A126" s="295">
        <f>'A) Base RI'!A128</f>
        <v>5609</v>
      </c>
      <c r="B126" s="32" t="str">
        <f>'A) Base RI'!B128</f>
        <v>Rivaz</v>
      </c>
      <c r="C126" s="293">
        <f>'B) D RI'!U128</f>
        <v>13671.143301269074</v>
      </c>
      <c r="D126" s="32">
        <f>'B) D RI'!AA128</f>
        <v>342</v>
      </c>
      <c r="E126" s="201">
        <f t="shared" si="9"/>
        <v>39.974103220085013</v>
      </c>
      <c r="F126" s="366">
        <f t="shared" si="10"/>
        <v>0.86899117995053932</v>
      </c>
      <c r="G126" s="377">
        <f t="shared" si="11"/>
        <v>0</v>
      </c>
      <c r="H126" s="374">
        <f t="shared" si="12"/>
        <v>0</v>
      </c>
      <c r="I126" s="377">
        <f t="shared" si="13"/>
        <v>0</v>
      </c>
      <c r="J126" s="374">
        <f t="shared" si="14"/>
        <v>0</v>
      </c>
      <c r="K126" s="369">
        <f t="shared" si="15"/>
        <v>0</v>
      </c>
      <c r="L126" s="373">
        <f t="shared" si="16"/>
        <v>0</v>
      </c>
      <c r="M126" s="113">
        <f>L126*D126*'B) D RI'!S128</f>
        <v>0</v>
      </c>
    </row>
    <row r="127" spans="1:13" x14ac:dyDescent="0.25">
      <c r="A127" s="295">
        <f>'A) Base RI'!A129</f>
        <v>5610</v>
      </c>
      <c r="B127" s="32" t="str">
        <f>'A) Base RI'!B129</f>
        <v>St-Saphorin (Lavaux)</v>
      </c>
      <c r="C127" s="293">
        <f>'B) D RI'!U129</f>
        <v>22273.105318410097</v>
      </c>
      <c r="D127" s="32">
        <f>'B) D RI'!AA129</f>
        <v>384</v>
      </c>
      <c r="E127" s="201">
        <f t="shared" si="9"/>
        <v>58.002878433359626</v>
      </c>
      <c r="F127" s="366">
        <f t="shared" si="10"/>
        <v>1.2609160859175286</v>
      </c>
      <c r="G127" s="377">
        <f t="shared" si="11"/>
        <v>12.002292763019184</v>
      </c>
      <c r="H127" s="374">
        <f t="shared" si="12"/>
        <v>2.8021756289510975</v>
      </c>
      <c r="I127" s="377">
        <f t="shared" si="13"/>
        <v>0</v>
      </c>
      <c r="J127" s="374">
        <f t="shared" si="14"/>
        <v>0</v>
      </c>
      <c r="K127" s="369">
        <f t="shared" si="15"/>
        <v>0</v>
      </c>
      <c r="L127" s="373">
        <f t="shared" si="16"/>
        <v>2.6806761154989469</v>
      </c>
      <c r="M127" s="113">
        <f>L127*D127*'B) D RI'!S129</f>
        <v>72056.573984611692</v>
      </c>
    </row>
    <row r="128" spans="1:13" x14ac:dyDescent="0.25">
      <c r="A128" s="295">
        <f>'A) Base RI'!A130</f>
        <v>5611</v>
      </c>
      <c r="B128" s="32" t="str">
        <f>'A) Base RI'!B130</f>
        <v>Savigny</v>
      </c>
      <c r="C128" s="293">
        <f>'B) D RI'!U130</f>
        <v>134511.88344270343</v>
      </c>
      <c r="D128" s="32">
        <f>'B) D RI'!AA130</f>
        <v>3359</v>
      </c>
      <c r="E128" s="201">
        <f t="shared" si="9"/>
        <v>40.045216862966193</v>
      </c>
      <c r="F128" s="366">
        <f t="shared" si="10"/>
        <v>0.8705371090261127</v>
      </c>
      <c r="G128" s="377">
        <f t="shared" si="11"/>
        <v>0</v>
      </c>
      <c r="H128" s="374">
        <f t="shared" si="12"/>
        <v>0</v>
      </c>
      <c r="I128" s="377">
        <f t="shared" si="13"/>
        <v>0</v>
      </c>
      <c r="J128" s="374">
        <f t="shared" si="14"/>
        <v>0</v>
      </c>
      <c r="K128" s="369">
        <f t="shared" si="15"/>
        <v>0</v>
      </c>
      <c r="L128" s="373">
        <f t="shared" si="16"/>
        <v>0</v>
      </c>
      <c r="M128" s="113">
        <f>L128*D128*'B) D RI'!S130</f>
        <v>0</v>
      </c>
    </row>
    <row r="129" spans="1:13" x14ac:dyDescent="0.25">
      <c r="A129" s="295">
        <f>'A) Base RI'!A131</f>
        <v>5613</v>
      </c>
      <c r="B129" s="32" t="str">
        <f>'A) Base RI'!B131</f>
        <v>Bourg-en-Lavaux</v>
      </c>
      <c r="C129" s="293">
        <f>'B) D RI'!U131</f>
        <v>332932.37553055235</v>
      </c>
      <c r="D129" s="32">
        <f>'B) D RI'!AA131</f>
        <v>5345</v>
      </c>
      <c r="E129" s="201">
        <f t="shared" si="9"/>
        <v>62.28856417783954</v>
      </c>
      <c r="F129" s="366">
        <f t="shared" si="10"/>
        <v>1.3540819811344491</v>
      </c>
      <c r="G129" s="377">
        <f t="shared" si="11"/>
        <v>16.287978507499098</v>
      </c>
      <c r="H129" s="374">
        <f t="shared" si="12"/>
        <v>7.0878613734310107</v>
      </c>
      <c r="I129" s="377">
        <f t="shared" si="13"/>
        <v>0</v>
      </c>
      <c r="J129" s="374">
        <f t="shared" si="14"/>
        <v>0</v>
      </c>
      <c r="K129" s="369">
        <f t="shared" si="15"/>
        <v>0</v>
      </c>
      <c r="L129" s="373">
        <f t="shared" si="16"/>
        <v>3.9663818388429206</v>
      </c>
      <c r="M129" s="113">
        <f>L129*D129*'B) D RI'!S131</f>
        <v>1356819.8994313863</v>
      </c>
    </row>
    <row r="130" spans="1:13" x14ac:dyDescent="0.25">
      <c r="A130" s="295">
        <f>'A) Base RI'!A132</f>
        <v>5621</v>
      </c>
      <c r="B130" s="32" t="str">
        <f>'A) Base RI'!B132</f>
        <v>Aclens</v>
      </c>
      <c r="C130" s="293">
        <f>'B) D RI'!U132</f>
        <v>27011.410978345568</v>
      </c>
      <c r="D130" s="32">
        <f>'B) D RI'!AA132</f>
        <v>539</v>
      </c>
      <c r="E130" s="201">
        <f t="shared" si="9"/>
        <v>50.113935024759868</v>
      </c>
      <c r="F130" s="366">
        <f t="shared" si="10"/>
        <v>1.0894194996537092</v>
      </c>
      <c r="G130" s="377">
        <f t="shared" si="11"/>
        <v>4.1133493544194266</v>
      </c>
      <c r="H130" s="374">
        <f t="shared" si="12"/>
        <v>0</v>
      </c>
      <c r="I130" s="377">
        <f t="shared" si="13"/>
        <v>0</v>
      </c>
      <c r="J130" s="374">
        <f t="shared" si="14"/>
        <v>0</v>
      </c>
      <c r="K130" s="369">
        <f t="shared" si="15"/>
        <v>0</v>
      </c>
      <c r="L130" s="373">
        <f t="shared" si="16"/>
        <v>0.82266987088388532</v>
      </c>
      <c r="M130" s="113">
        <f>L130*D130*'B) D RI'!S132</f>
        <v>27491.981745197681</v>
      </c>
    </row>
    <row r="131" spans="1:13" x14ac:dyDescent="0.25">
      <c r="A131" s="295">
        <f>'A) Base RI'!A133</f>
        <v>5622</v>
      </c>
      <c r="B131" s="32" t="str">
        <f>'A) Base RI'!B133</f>
        <v>Bremblens</v>
      </c>
      <c r="C131" s="293">
        <f>'B) D RI'!U133</f>
        <v>26937.345606060608</v>
      </c>
      <c r="D131" s="32">
        <f>'B) D RI'!AA133</f>
        <v>577</v>
      </c>
      <c r="E131" s="201">
        <f t="shared" si="9"/>
        <v>46.68517436059031</v>
      </c>
      <c r="F131" s="366">
        <f t="shared" si="10"/>
        <v>1.0148821733522246</v>
      </c>
      <c r="G131" s="377">
        <f t="shared" si="11"/>
        <v>0.68458869024986768</v>
      </c>
      <c r="H131" s="374">
        <f t="shared" si="12"/>
        <v>0</v>
      </c>
      <c r="I131" s="377">
        <f t="shared" si="13"/>
        <v>0</v>
      </c>
      <c r="J131" s="374">
        <f t="shared" si="14"/>
        <v>0</v>
      </c>
      <c r="K131" s="369">
        <f t="shared" si="15"/>
        <v>0</v>
      </c>
      <c r="L131" s="373">
        <f t="shared" si="16"/>
        <v>0.13691773804997354</v>
      </c>
      <c r="M131" s="113">
        <f>L131*D131*'B) D RI'!S133</f>
        <v>5214.1013004190918</v>
      </c>
    </row>
    <row r="132" spans="1:13" x14ac:dyDescent="0.25">
      <c r="A132" s="295">
        <f>'A) Base RI'!A134</f>
        <v>5623</v>
      </c>
      <c r="B132" s="32" t="str">
        <f>'A) Base RI'!B134</f>
        <v>Buchillon</v>
      </c>
      <c r="C132" s="293">
        <f>'B) D RI'!U134</f>
        <v>89461.877418085525</v>
      </c>
      <c r="D132" s="32">
        <f>'B) D RI'!AA134</f>
        <v>686</v>
      </c>
      <c r="E132" s="201">
        <f t="shared" si="9"/>
        <v>130.41090002636375</v>
      </c>
      <c r="F132" s="366">
        <f t="shared" si="10"/>
        <v>2.8349834708832438</v>
      </c>
      <c r="G132" s="377">
        <f t="shared" si="11"/>
        <v>84.410314356023306</v>
      </c>
      <c r="H132" s="374">
        <f t="shared" si="12"/>
        <v>75.210197221955212</v>
      </c>
      <c r="I132" s="377">
        <f t="shared" si="13"/>
        <v>61.410021520853093</v>
      </c>
      <c r="J132" s="374">
        <f t="shared" si="14"/>
        <v>38.409728685682865</v>
      </c>
      <c r="K132" s="369">
        <f t="shared" si="15"/>
        <v>0</v>
      </c>
      <c r="L132" s="373">
        <f t="shared" si="16"/>
        <v>34.385057614053778</v>
      </c>
      <c r="M132" s="113">
        <f>L132*D132*'B) D RI'!S134</f>
        <v>1250171.9247317673</v>
      </c>
    </row>
    <row r="133" spans="1:13" x14ac:dyDescent="0.25">
      <c r="A133" s="295">
        <f>'A) Base RI'!A135</f>
        <v>5624</v>
      </c>
      <c r="B133" s="32" t="str">
        <f>'A) Base RI'!B135</f>
        <v>Bussigny</v>
      </c>
      <c r="C133" s="293">
        <f>'B) D RI'!U135</f>
        <v>400390.10765672859</v>
      </c>
      <c r="D133" s="32">
        <f>'B) D RI'!AA135</f>
        <v>8962</v>
      </c>
      <c r="E133" s="201">
        <f t="shared" ref="E133:E196" si="17">C133/D133</f>
        <v>44.676423527865275</v>
      </c>
      <c r="F133" s="366">
        <f t="shared" ref="F133:F196" si="18">E133/$E$313</f>
        <v>0.97121423296727849</v>
      </c>
      <c r="G133" s="377">
        <f t="shared" ref="G133:G196" si="19">IF(E133-$G$2&lt;0,0,E133-$G$2)</f>
        <v>0</v>
      </c>
      <c r="H133" s="374">
        <f t="shared" ref="H133:H196" si="20">IF(E133-$H$2&lt;0,0,E133-$H$2)</f>
        <v>0</v>
      </c>
      <c r="I133" s="377">
        <f t="shared" ref="I133:I196" si="21">IF(E133-$I$2&lt;0,0,E133-$I$2)</f>
        <v>0</v>
      </c>
      <c r="J133" s="374">
        <f t="shared" ref="J133:J196" si="22">IF(E133-$J$2&lt;0,0,E133-$J$2)</f>
        <v>0</v>
      </c>
      <c r="K133" s="369">
        <f t="shared" ref="K133:K196" si="23">IF(E133-$K$2&lt;0,0,E133-$K$2)</f>
        <v>0</v>
      </c>
      <c r="L133" s="373">
        <f t="shared" ref="L133:L196" si="24">(G133-H133)*$G$3+(H133-I133)*$H$3+(I133-J133)*$I$3+(J133-K133)*$J$3+(K133*$K$3)</f>
        <v>0</v>
      </c>
      <c r="M133" s="113">
        <f>L133*D133*'B) D RI'!S135</f>
        <v>0</v>
      </c>
    </row>
    <row r="134" spans="1:13" x14ac:dyDescent="0.25">
      <c r="A134" s="295">
        <f>'A) Base RI'!A136</f>
        <v>5625</v>
      </c>
      <c r="B134" s="32" t="str">
        <f>'A) Base RI'!B136</f>
        <v>Bussy-Chardonney</v>
      </c>
      <c r="C134" s="293">
        <f>'B) D RI'!U136</f>
        <v>16815.127999439792</v>
      </c>
      <c r="D134" s="32">
        <f>'B) D RI'!AA136</f>
        <v>384</v>
      </c>
      <c r="E134" s="201">
        <f t="shared" si="17"/>
        <v>43.789395831874458</v>
      </c>
      <c r="F134" s="366">
        <f t="shared" si="18"/>
        <v>0.95193126769488756</v>
      </c>
      <c r="G134" s="377">
        <f t="shared" si="19"/>
        <v>0</v>
      </c>
      <c r="H134" s="374">
        <f t="shared" si="20"/>
        <v>0</v>
      </c>
      <c r="I134" s="377">
        <f t="shared" si="21"/>
        <v>0</v>
      </c>
      <c r="J134" s="374">
        <f t="shared" si="22"/>
        <v>0</v>
      </c>
      <c r="K134" s="369">
        <f t="shared" si="23"/>
        <v>0</v>
      </c>
      <c r="L134" s="373">
        <f t="shared" si="24"/>
        <v>0</v>
      </c>
      <c r="M134" s="113">
        <f>L134*D134*'B) D RI'!S136</f>
        <v>0</v>
      </c>
    </row>
    <row r="135" spans="1:13" x14ac:dyDescent="0.25">
      <c r="A135" s="295">
        <f>'A) Base RI'!A137</f>
        <v>5627</v>
      </c>
      <c r="B135" s="32" t="str">
        <f>'A) Base RI'!B137</f>
        <v>Chavannes-près-Renens</v>
      </c>
      <c r="C135" s="293">
        <f>'B) D RI'!U137</f>
        <v>214338.77376035714</v>
      </c>
      <c r="D135" s="32">
        <f>'B) D RI'!AA137</f>
        <v>7887</v>
      </c>
      <c r="E135" s="201">
        <f t="shared" si="17"/>
        <v>27.176210696127445</v>
      </c>
      <c r="F135" s="366">
        <f t="shared" si="18"/>
        <v>0.59077966726083897</v>
      </c>
      <c r="G135" s="377">
        <f t="shared" si="19"/>
        <v>0</v>
      </c>
      <c r="H135" s="374">
        <f t="shared" si="20"/>
        <v>0</v>
      </c>
      <c r="I135" s="377">
        <f t="shared" si="21"/>
        <v>0</v>
      </c>
      <c r="J135" s="374">
        <f t="shared" si="22"/>
        <v>0</v>
      </c>
      <c r="K135" s="369">
        <f t="shared" si="23"/>
        <v>0</v>
      </c>
      <c r="L135" s="373">
        <f t="shared" si="24"/>
        <v>0</v>
      </c>
      <c r="M135" s="113">
        <f>L135*D135*'B) D RI'!S137</f>
        <v>0</v>
      </c>
    </row>
    <row r="136" spans="1:13" x14ac:dyDescent="0.25">
      <c r="A136" s="295">
        <f>'A) Base RI'!A138</f>
        <v>5628</v>
      </c>
      <c r="B136" s="32" t="str">
        <f>'A) Base RI'!B138</f>
        <v>Chigny</v>
      </c>
      <c r="C136" s="293">
        <f>'B) D RI'!U138</f>
        <v>22372.02129032258</v>
      </c>
      <c r="D136" s="32">
        <f>'B) D RI'!AA138</f>
        <v>382</v>
      </c>
      <c r="E136" s="201">
        <f t="shared" si="17"/>
        <v>58.565500760006756</v>
      </c>
      <c r="F136" s="366">
        <f t="shared" si="18"/>
        <v>1.27314685034038</v>
      </c>
      <c r="G136" s="377">
        <f t="shared" si="19"/>
        <v>12.564915089666314</v>
      </c>
      <c r="H136" s="374">
        <f t="shared" si="20"/>
        <v>3.3647979555982275</v>
      </c>
      <c r="I136" s="377">
        <f t="shared" si="21"/>
        <v>0</v>
      </c>
      <c r="J136" s="374">
        <f t="shared" si="22"/>
        <v>0</v>
      </c>
      <c r="K136" s="369">
        <f t="shared" si="23"/>
        <v>0</v>
      </c>
      <c r="L136" s="373">
        <f t="shared" si="24"/>
        <v>2.8494628134930857</v>
      </c>
      <c r="M136" s="113">
        <f>L136*D136*'B) D RI'!S138</f>
        <v>67486.677274770249</v>
      </c>
    </row>
    <row r="137" spans="1:13" x14ac:dyDescent="0.25">
      <c r="A137" s="295">
        <f>'A) Base RI'!A139</f>
        <v>5629</v>
      </c>
      <c r="B137" s="32" t="str">
        <f>'A) Base RI'!B139</f>
        <v>Clarmont</v>
      </c>
      <c r="C137" s="293">
        <f>'B) D RI'!U139</f>
        <v>6749.9170666666651</v>
      </c>
      <c r="D137" s="32">
        <f>'B) D RI'!AA139</f>
        <v>191</v>
      </c>
      <c r="E137" s="201">
        <f t="shared" si="17"/>
        <v>35.339879930191962</v>
      </c>
      <c r="F137" s="366">
        <f t="shared" si="18"/>
        <v>0.76824847804009311</v>
      </c>
      <c r="G137" s="377">
        <f t="shared" si="19"/>
        <v>0</v>
      </c>
      <c r="H137" s="374">
        <f t="shared" si="20"/>
        <v>0</v>
      </c>
      <c r="I137" s="377">
        <f t="shared" si="21"/>
        <v>0</v>
      </c>
      <c r="J137" s="374">
        <f t="shared" si="22"/>
        <v>0</v>
      </c>
      <c r="K137" s="369">
        <f t="shared" si="23"/>
        <v>0</v>
      </c>
      <c r="L137" s="373">
        <f t="shared" si="24"/>
        <v>0</v>
      </c>
      <c r="M137" s="113">
        <f>L137*D137*'B) D RI'!S139</f>
        <v>0</v>
      </c>
    </row>
    <row r="138" spans="1:13" x14ac:dyDescent="0.25">
      <c r="A138" s="295">
        <f>'A) Base RI'!A140</f>
        <v>5631</v>
      </c>
      <c r="B138" s="32" t="str">
        <f>'A) Base RI'!B140</f>
        <v>Denens</v>
      </c>
      <c r="C138" s="293">
        <f>'B) D RI'!U140</f>
        <v>51374.095571428574</v>
      </c>
      <c r="D138" s="32">
        <f>'B) D RI'!AA140</f>
        <v>742</v>
      </c>
      <c r="E138" s="201">
        <f t="shared" si="17"/>
        <v>69.23732556796304</v>
      </c>
      <c r="F138" s="366">
        <f t="shared" si="18"/>
        <v>1.5051400880881574</v>
      </c>
      <c r="G138" s="377">
        <f t="shared" si="19"/>
        <v>23.236739897622599</v>
      </c>
      <c r="H138" s="374">
        <f t="shared" si="20"/>
        <v>14.036622763554512</v>
      </c>
      <c r="I138" s="377">
        <f t="shared" si="21"/>
        <v>0.23644706245238467</v>
      </c>
      <c r="J138" s="374">
        <f t="shared" si="22"/>
        <v>0</v>
      </c>
      <c r="K138" s="369">
        <f t="shared" si="23"/>
        <v>0</v>
      </c>
      <c r="L138" s="373">
        <f t="shared" si="24"/>
        <v>6.0746549621252095</v>
      </c>
      <c r="M138" s="113">
        <f>L138*D138*'B) D RI'!S140</f>
        <v>315517.57873278338</v>
      </c>
    </row>
    <row r="139" spans="1:13" x14ac:dyDescent="0.25">
      <c r="A139" s="295">
        <f>'A) Base RI'!A141</f>
        <v>5632</v>
      </c>
      <c r="B139" s="32" t="str">
        <f>'A) Base RI'!B141</f>
        <v>Denges</v>
      </c>
      <c r="C139" s="293">
        <f>'B) D RI'!U141</f>
        <v>73160.20406689003</v>
      </c>
      <c r="D139" s="32">
        <f>'B) D RI'!AA141</f>
        <v>1609</v>
      </c>
      <c r="E139" s="201">
        <f t="shared" si="17"/>
        <v>45.469362378427611</v>
      </c>
      <c r="F139" s="366">
        <f t="shared" si="18"/>
        <v>0.98845181459819231</v>
      </c>
      <c r="G139" s="377">
        <f t="shared" si="19"/>
        <v>0</v>
      </c>
      <c r="H139" s="374">
        <f t="shared" si="20"/>
        <v>0</v>
      </c>
      <c r="I139" s="377">
        <f t="shared" si="21"/>
        <v>0</v>
      </c>
      <c r="J139" s="374">
        <f t="shared" si="22"/>
        <v>0</v>
      </c>
      <c r="K139" s="369">
        <f t="shared" si="23"/>
        <v>0</v>
      </c>
      <c r="L139" s="373">
        <f t="shared" si="24"/>
        <v>0</v>
      </c>
      <c r="M139" s="113">
        <f>L139*D139*'B) D RI'!S141</f>
        <v>0</v>
      </c>
    </row>
    <row r="140" spans="1:13" x14ac:dyDescent="0.25">
      <c r="A140" s="295">
        <f>'A) Base RI'!A142</f>
        <v>5633</v>
      </c>
      <c r="B140" s="32" t="str">
        <f>'A) Base RI'!B142</f>
        <v>Echandens</v>
      </c>
      <c r="C140" s="293">
        <f>'B) D RI'!U142</f>
        <v>160114.83181506293</v>
      </c>
      <c r="D140" s="32">
        <f>'B) D RI'!AA142</f>
        <v>2739</v>
      </c>
      <c r="E140" s="201">
        <f t="shared" si="17"/>
        <v>58.457404824776539</v>
      </c>
      <c r="F140" s="366">
        <f t="shared" si="18"/>
        <v>1.2707969686235498</v>
      </c>
      <c r="G140" s="377">
        <f t="shared" si="19"/>
        <v>12.456819154436097</v>
      </c>
      <c r="H140" s="374">
        <f t="shared" si="20"/>
        <v>3.2567020203680102</v>
      </c>
      <c r="I140" s="377">
        <f t="shared" si="21"/>
        <v>0</v>
      </c>
      <c r="J140" s="374">
        <f t="shared" si="22"/>
        <v>0</v>
      </c>
      <c r="K140" s="369">
        <f t="shared" si="23"/>
        <v>0</v>
      </c>
      <c r="L140" s="373">
        <f t="shared" si="24"/>
        <v>2.8170340329240204</v>
      </c>
      <c r="M140" s="113">
        <f>L140*D140*'B) D RI'!S142</f>
        <v>478383.08540309133</v>
      </c>
    </row>
    <row r="141" spans="1:13" x14ac:dyDescent="0.25">
      <c r="A141" s="295">
        <f>'A) Base RI'!A143</f>
        <v>5634</v>
      </c>
      <c r="B141" s="32" t="str">
        <f>'A) Base RI'!B143</f>
        <v>Echichens</v>
      </c>
      <c r="C141" s="293">
        <f>'B) D RI'!U143</f>
        <v>173888.96393435504</v>
      </c>
      <c r="D141" s="32">
        <f>'B) D RI'!AA143</f>
        <v>3077</v>
      </c>
      <c r="E141" s="201">
        <f t="shared" si="17"/>
        <v>56.512500466153732</v>
      </c>
      <c r="F141" s="366">
        <f t="shared" si="18"/>
        <v>1.2285169773955944</v>
      </c>
      <c r="G141" s="377">
        <f t="shared" si="19"/>
        <v>10.51191479581329</v>
      </c>
      <c r="H141" s="374">
        <f t="shared" si="20"/>
        <v>1.311797661745203</v>
      </c>
      <c r="I141" s="377">
        <f t="shared" si="21"/>
        <v>0</v>
      </c>
      <c r="J141" s="374">
        <f t="shared" si="22"/>
        <v>0</v>
      </c>
      <c r="K141" s="369">
        <f t="shared" si="23"/>
        <v>0</v>
      </c>
      <c r="L141" s="373">
        <f t="shared" si="24"/>
        <v>2.2335627253371784</v>
      </c>
      <c r="M141" s="113">
        <f>L141*D141*'B) D RI'!S143</f>
        <v>467341.73039864987</v>
      </c>
    </row>
    <row r="142" spans="1:13" x14ac:dyDescent="0.25">
      <c r="A142" s="295">
        <f>'A) Base RI'!A144</f>
        <v>5635</v>
      </c>
      <c r="B142" s="32" t="str">
        <f>'A) Base RI'!B144</f>
        <v>Ecublens</v>
      </c>
      <c r="C142" s="293">
        <f>'B) D RI'!U144</f>
        <v>488507.72683115519</v>
      </c>
      <c r="D142" s="32">
        <f>'B) D RI'!AA144</f>
        <v>13089</v>
      </c>
      <c r="E142" s="201">
        <f t="shared" si="17"/>
        <v>37.322005258702362</v>
      </c>
      <c r="F142" s="366">
        <f t="shared" si="18"/>
        <v>0.81133761048538733</v>
      </c>
      <c r="G142" s="377">
        <f t="shared" si="19"/>
        <v>0</v>
      </c>
      <c r="H142" s="374">
        <f t="shared" si="20"/>
        <v>0</v>
      </c>
      <c r="I142" s="377">
        <f t="shared" si="21"/>
        <v>0</v>
      </c>
      <c r="J142" s="374">
        <f t="shared" si="22"/>
        <v>0</v>
      </c>
      <c r="K142" s="369">
        <f t="shared" si="23"/>
        <v>0</v>
      </c>
      <c r="L142" s="373">
        <f t="shared" si="24"/>
        <v>0</v>
      </c>
      <c r="M142" s="113">
        <f>L142*D142*'B) D RI'!S144</f>
        <v>0</v>
      </c>
    </row>
    <row r="143" spans="1:13" x14ac:dyDescent="0.25">
      <c r="A143" s="295">
        <f>'A) Base RI'!A145</f>
        <v>5636</v>
      </c>
      <c r="B143" s="32" t="str">
        <f>'A) Base RI'!B145</f>
        <v>Etoy</v>
      </c>
      <c r="C143" s="293">
        <f>'B) D RI'!U145</f>
        <v>176831.6240274295</v>
      </c>
      <c r="D143" s="32">
        <f>'B) D RI'!AA145</f>
        <v>2933</v>
      </c>
      <c r="E143" s="201">
        <f t="shared" si="17"/>
        <v>60.290359368370098</v>
      </c>
      <c r="F143" s="366">
        <f t="shared" si="18"/>
        <v>1.3106432992057142</v>
      </c>
      <c r="G143" s="377">
        <f t="shared" si="19"/>
        <v>14.289773698029656</v>
      </c>
      <c r="H143" s="374">
        <f t="shared" si="20"/>
        <v>5.0896565639615687</v>
      </c>
      <c r="I143" s="377">
        <f t="shared" si="21"/>
        <v>0</v>
      </c>
      <c r="J143" s="374">
        <f t="shared" si="22"/>
        <v>0</v>
      </c>
      <c r="K143" s="369">
        <f t="shared" si="23"/>
        <v>0</v>
      </c>
      <c r="L143" s="373">
        <f t="shared" si="24"/>
        <v>3.3669203960020884</v>
      </c>
      <c r="M143" s="113">
        <f>L143*D143*'B) D RI'!S145</f>
        <v>602385.82880992163</v>
      </c>
    </row>
    <row r="144" spans="1:13" x14ac:dyDescent="0.25">
      <c r="A144" s="295">
        <f>'A) Base RI'!A146</f>
        <v>5637</v>
      </c>
      <c r="B144" s="32" t="str">
        <f>'A) Base RI'!B146</f>
        <v>Lavigny</v>
      </c>
      <c r="C144" s="293">
        <f>'B) D RI'!U146</f>
        <v>37137.682399987621</v>
      </c>
      <c r="D144" s="32">
        <f>'B) D RI'!AA146</f>
        <v>992</v>
      </c>
      <c r="E144" s="201">
        <f t="shared" si="17"/>
        <v>37.437179838697197</v>
      </c>
      <c r="F144" s="366">
        <f t="shared" si="18"/>
        <v>0.81384137382484179</v>
      </c>
      <c r="G144" s="377">
        <f t="shared" si="19"/>
        <v>0</v>
      </c>
      <c r="H144" s="374">
        <f t="shared" si="20"/>
        <v>0</v>
      </c>
      <c r="I144" s="377">
        <f t="shared" si="21"/>
        <v>0</v>
      </c>
      <c r="J144" s="374">
        <f t="shared" si="22"/>
        <v>0</v>
      </c>
      <c r="K144" s="369">
        <f t="shared" si="23"/>
        <v>0</v>
      </c>
      <c r="L144" s="373">
        <f t="shared" si="24"/>
        <v>0</v>
      </c>
      <c r="M144" s="113">
        <f>L144*D144*'B) D RI'!S146</f>
        <v>0</v>
      </c>
    </row>
    <row r="145" spans="1:13" x14ac:dyDescent="0.25">
      <c r="A145" s="295">
        <f>'A) Base RI'!A147</f>
        <v>5638</v>
      </c>
      <c r="B145" s="32" t="str">
        <f>'A) Base RI'!B147</f>
        <v>Lonay</v>
      </c>
      <c r="C145" s="293">
        <f>'B) D RI'!U147</f>
        <v>154797.39129324263</v>
      </c>
      <c r="D145" s="32">
        <f>'B) D RI'!AA147</f>
        <v>2676</v>
      </c>
      <c r="E145" s="201">
        <f t="shared" si="17"/>
        <v>57.846558779238649</v>
      </c>
      <c r="F145" s="366">
        <f t="shared" si="18"/>
        <v>1.2575178758329608</v>
      </c>
      <c r="G145" s="377">
        <f t="shared" si="19"/>
        <v>11.845973108898207</v>
      </c>
      <c r="H145" s="374">
        <f t="shared" si="20"/>
        <v>2.6458559748301198</v>
      </c>
      <c r="I145" s="377">
        <f t="shared" si="21"/>
        <v>0</v>
      </c>
      <c r="J145" s="374">
        <f t="shared" si="22"/>
        <v>0</v>
      </c>
      <c r="K145" s="369">
        <f t="shared" si="23"/>
        <v>0</v>
      </c>
      <c r="L145" s="373">
        <f t="shared" si="24"/>
        <v>2.6337802192626536</v>
      </c>
      <c r="M145" s="113">
        <f>L145*D145*'B) D RI'!S147</f>
        <v>387639.77267107734</v>
      </c>
    </row>
    <row r="146" spans="1:13" x14ac:dyDescent="0.25">
      <c r="A146" s="295">
        <f>'A) Base RI'!A148</f>
        <v>5639</v>
      </c>
      <c r="B146" s="32" t="str">
        <f>'A) Base RI'!B148</f>
        <v>Lully</v>
      </c>
      <c r="C146" s="293">
        <f>'B) D RI'!U148</f>
        <v>46990.489786222082</v>
      </c>
      <c r="D146" s="32">
        <f>'B) D RI'!AA148</f>
        <v>818</v>
      </c>
      <c r="E146" s="201">
        <f t="shared" si="17"/>
        <v>57.44558653572382</v>
      </c>
      <c r="F146" s="366">
        <f t="shared" si="18"/>
        <v>1.2488011989108807</v>
      </c>
      <c r="G146" s="377">
        <f t="shared" si="19"/>
        <v>11.445000865383378</v>
      </c>
      <c r="H146" s="374">
        <f t="shared" si="20"/>
        <v>2.2448837313152907</v>
      </c>
      <c r="I146" s="377">
        <f t="shared" si="21"/>
        <v>0</v>
      </c>
      <c r="J146" s="374">
        <f t="shared" si="22"/>
        <v>0</v>
      </c>
      <c r="K146" s="369">
        <f t="shared" si="23"/>
        <v>0</v>
      </c>
      <c r="L146" s="373">
        <f t="shared" si="24"/>
        <v>2.5134885462082046</v>
      </c>
      <c r="M146" s="113">
        <f>L146*D146*'B) D RI'!S148</f>
        <v>125418.05147869699</v>
      </c>
    </row>
    <row r="147" spans="1:13" x14ac:dyDescent="0.25">
      <c r="A147" s="295">
        <f>'A) Base RI'!A149</f>
        <v>5640</v>
      </c>
      <c r="B147" s="32" t="str">
        <f>'A) Base RI'!B149</f>
        <v>Lussy-sur-Morges</v>
      </c>
      <c r="C147" s="293">
        <f>'B) D RI'!U149</f>
        <v>60932.654829076157</v>
      </c>
      <c r="D147" s="32">
        <f>'B) D RI'!AA149</f>
        <v>696</v>
      </c>
      <c r="E147" s="201">
        <f t="shared" si="17"/>
        <v>87.546917857868038</v>
      </c>
      <c r="F147" s="366">
        <f t="shared" si="18"/>
        <v>1.9031696353882557</v>
      </c>
      <c r="G147" s="377">
        <f t="shared" si="19"/>
        <v>41.546332187527597</v>
      </c>
      <c r="H147" s="374">
        <f t="shared" si="20"/>
        <v>32.34621505345951</v>
      </c>
      <c r="I147" s="377">
        <f t="shared" si="21"/>
        <v>18.546039352357383</v>
      </c>
      <c r="J147" s="374">
        <f t="shared" si="22"/>
        <v>0</v>
      </c>
      <c r="K147" s="369">
        <f t="shared" si="23"/>
        <v>0</v>
      </c>
      <c r="L147" s="373">
        <f t="shared" si="24"/>
        <v>13.39849187808721</v>
      </c>
      <c r="M147" s="113">
        <f>L147*D147*'B) D RI'!S149</f>
        <v>615473.12291181413</v>
      </c>
    </row>
    <row r="148" spans="1:13" x14ac:dyDescent="0.25">
      <c r="A148" s="295">
        <f>'A) Base RI'!A150</f>
        <v>5642</v>
      </c>
      <c r="B148" s="32" t="str">
        <f>'A) Base RI'!B150</f>
        <v>Morges</v>
      </c>
      <c r="C148" s="293">
        <f>'B) D RI'!U150</f>
        <v>860073.47085290938</v>
      </c>
      <c r="D148" s="32">
        <f>'B) D RI'!AA150</f>
        <v>15862</v>
      </c>
      <c r="E148" s="201">
        <f t="shared" si="17"/>
        <v>54.222258911417818</v>
      </c>
      <c r="F148" s="366">
        <f t="shared" si="18"/>
        <v>1.1787297513991963</v>
      </c>
      <c r="G148" s="377">
        <f t="shared" si="19"/>
        <v>8.2216732410773758</v>
      </c>
      <c r="H148" s="374">
        <f t="shared" si="20"/>
        <v>0</v>
      </c>
      <c r="I148" s="377">
        <f t="shared" si="21"/>
        <v>0</v>
      </c>
      <c r="J148" s="374">
        <f t="shared" si="22"/>
        <v>0</v>
      </c>
      <c r="K148" s="369">
        <f t="shared" si="23"/>
        <v>0</v>
      </c>
      <c r="L148" s="373">
        <f t="shared" si="24"/>
        <v>1.6443346482154753</v>
      </c>
      <c r="M148" s="113">
        <f>L148*D148*'B) D RI'!S150</f>
        <v>1786646.87901458</v>
      </c>
    </row>
    <row r="149" spans="1:13" x14ac:dyDescent="0.25">
      <c r="A149" s="295">
        <f>'A) Base RI'!A151</f>
        <v>5643</v>
      </c>
      <c r="B149" s="32" t="str">
        <f>'A) Base RI'!B151</f>
        <v>Préverenges</v>
      </c>
      <c r="C149" s="293">
        <f>'B) D RI'!U151</f>
        <v>258751.58879529274</v>
      </c>
      <c r="D149" s="32">
        <f>'B) D RI'!AA151</f>
        <v>5243</v>
      </c>
      <c r="E149" s="201">
        <f t="shared" si="17"/>
        <v>49.351819339174661</v>
      </c>
      <c r="F149" s="366">
        <f t="shared" si="18"/>
        <v>1.0728519782954629</v>
      </c>
      <c r="G149" s="377">
        <f t="shared" si="19"/>
        <v>3.3512336688342188</v>
      </c>
      <c r="H149" s="374">
        <f t="shared" si="20"/>
        <v>0</v>
      </c>
      <c r="I149" s="377">
        <f t="shared" si="21"/>
        <v>0</v>
      </c>
      <c r="J149" s="374">
        <f t="shared" si="22"/>
        <v>0</v>
      </c>
      <c r="K149" s="369">
        <f t="shared" si="23"/>
        <v>0</v>
      </c>
      <c r="L149" s="373">
        <f t="shared" si="24"/>
        <v>0.67024673376684385</v>
      </c>
      <c r="M149" s="113">
        <f>L149*D149*'B) D RI'!S151</f>
        <v>224902.63200893198</v>
      </c>
    </row>
    <row r="150" spans="1:13" x14ac:dyDescent="0.25">
      <c r="A150" s="295">
        <f>'A) Base RI'!A152</f>
        <v>5644</v>
      </c>
      <c r="B150" s="32" t="str">
        <f>'A) Base RI'!B152</f>
        <v>Reverolle</v>
      </c>
      <c r="C150" s="293">
        <f>'B) D RI'!U152</f>
        <v>16806.032344441897</v>
      </c>
      <c r="D150" s="32">
        <f>'B) D RI'!AA152</f>
        <v>413</v>
      </c>
      <c r="E150" s="201">
        <f t="shared" si="17"/>
        <v>40.692572262571183</v>
      </c>
      <c r="F150" s="366">
        <f t="shared" si="18"/>
        <v>0.88460987332185903</v>
      </c>
      <c r="G150" s="377">
        <f t="shared" si="19"/>
        <v>0</v>
      </c>
      <c r="H150" s="374">
        <f t="shared" si="20"/>
        <v>0</v>
      </c>
      <c r="I150" s="377">
        <f t="shared" si="21"/>
        <v>0</v>
      </c>
      <c r="J150" s="374">
        <f t="shared" si="22"/>
        <v>0</v>
      </c>
      <c r="K150" s="369">
        <f t="shared" si="23"/>
        <v>0</v>
      </c>
      <c r="L150" s="373">
        <f t="shared" si="24"/>
        <v>0</v>
      </c>
      <c r="M150" s="113">
        <f>L150*D150*'B) D RI'!S152</f>
        <v>0</v>
      </c>
    </row>
    <row r="151" spans="1:13" x14ac:dyDescent="0.25">
      <c r="A151" s="295">
        <f>'A) Base RI'!A153</f>
        <v>5645</v>
      </c>
      <c r="B151" s="32" t="str">
        <f>'A) Base RI'!B153</f>
        <v>Romanel-sur-Morges</v>
      </c>
      <c r="C151" s="293">
        <f>'B) D RI'!U153</f>
        <v>30104.624556076433</v>
      </c>
      <c r="D151" s="32">
        <f>'B) D RI'!AA153</f>
        <v>470</v>
      </c>
      <c r="E151" s="201">
        <f t="shared" si="17"/>
        <v>64.052392672503046</v>
      </c>
      <c r="F151" s="366">
        <f t="shared" si="18"/>
        <v>1.3924255906550724</v>
      </c>
      <c r="G151" s="377">
        <f t="shared" si="19"/>
        <v>18.051807002162604</v>
      </c>
      <c r="H151" s="374">
        <f t="shared" si="20"/>
        <v>8.8516898680945175</v>
      </c>
      <c r="I151" s="377">
        <f t="shared" si="21"/>
        <v>0</v>
      </c>
      <c r="J151" s="374">
        <f t="shared" si="22"/>
        <v>0</v>
      </c>
      <c r="K151" s="369">
        <f t="shared" si="23"/>
        <v>0</v>
      </c>
      <c r="L151" s="373">
        <f t="shared" si="24"/>
        <v>4.4955303872419723</v>
      </c>
      <c r="M151" s="113">
        <f>L151*D151*'B) D RI'!S153</f>
        <v>118322.35979220871</v>
      </c>
    </row>
    <row r="152" spans="1:13" x14ac:dyDescent="0.25">
      <c r="A152" s="295">
        <f>'A) Base RI'!A154</f>
        <v>5646</v>
      </c>
      <c r="B152" s="32" t="str">
        <f>'A) Base RI'!B154</f>
        <v>Saint-Prex</v>
      </c>
      <c r="C152" s="293">
        <f>'B) D RI'!U154</f>
        <v>410896.75287158613</v>
      </c>
      <c r="D152" s="32">
        <f>'B) D RI'!AA154</f>
        <v>5774</v>
      </c>
      <c r="E152" s="201">
        <f t="shared" si="17"/>
        <v>71.163275523308997</v>
      </c>
      <c r="F152" s="366">
        <f t="shared" si="18"/>
        <v>1.5470080323171314</v>
      </c>
      <c r="G152" s="377">
        <f t="shared" si="19"/>
        <v>25.162689852968555</v>
      </c>
      <c r="H152" s="374">
        <f t="shared" si="20"/>
        <v>15.962572718900468</v>
      </c>
      <c r="I152" s="377">
        <f t="shared" si="21"/>
        <v>2.1623970177983409</v>
      </c>
      <c r="J152" s="374">
        <f t="shared" si="22"/>
        <v>0</v>
      </c>
      <c r="K152" s="369">
        <f t="shared" si="23"/>
        <v>0</v>
      </c>
      <c r="L152" s="373">
        <f t="shared" si="24"/>
        <v>6.8450349442635918</v>
      </c>
      <c r="M152" s="113">
        <f>L152*D152*'B) D RI'!S154</f>
        <v>2173777.7472497891</v>
      </c>
    </row>
    <row r="153" spans="1:13" x14ac:dyDescent="0.25">
      <c r="A153" s="295">
        <f>'A) Base RI'!A155</f>
        <v>5648</v>
      </c>
      <c r="B153" s="32" t="str">
        <f>'A) Base RI'!B155</f>
        <v>Saint-Sulpice</v>
      </c>
      <c r="C153" s="293">
        <f>'B) D RI'!U155</f>
        <v>382700.93610668415</v>
      </c>
      <c r="D153" s="32">
        <f>'B) D RI'!AA155</f>
        <v>4717</v>
      </c>
      <c r="E153" s="201">
        <f t="shared" si="17"/>
        <v>81.132273925521332</v>
      </c>
      <c r="F153" s="366">
        <f t="shared" si="18"/>
        <v>1.7637226296845296</v>
      </c>
      <c r="G153" s="377">
        <f t="shared" si="19"/>
        <v>35.13168825518089</v>
      </c>
      <c r="H153" s="374">
        <f t="shared" si="20"/>
        <v>25.931571121112803</v>
      </c>
      <c r="I153" s="377">
        <f t="shared" si="21"/>
        <v>12.131395420010676</v>
      </c>
      <c r="J153" s="374">
        <f t="shared" si="22"/>
        <v>0</v>
      </c>
      <c r="K153" s="369">
        <f t="shared" si="23"/>
        <v>0</v>
      </c>
      <c r="L153" s="373">
        <f t="shared" si="24"/>
        <v>10.832634305148527</v>
      </c>
      <c r="M153" s="113">
        <f>L153*D153*'B) D RI'!S155</f>
        <v>2810364.480956208</v>
      </c>
    </row>
    <row r="154" spans="1:13" x14ac:dyDescent="0.25">
      <c r="A154" s="295">
        <f>'A) Base RI'!A156</f>
        <v>5649</v>
      </c>
      <c r="B154" s="32" t="str">
        <f>'A) Base RI'!B156</f>
        <v>Tolochenaz</v>
      </c>
      <c r="C154" s="293">
        <f>'B) D RI'!U156</f>
        <v>102752.22096213103</v>
      </c>
      <c r="D154" s="32">
        <f>'B) D RI'!AA156</f>
        <v>1907</v>
      </c>
      <c r="E154" s="201">
        <f t="shared" si="17"/>
        <v>53.881605119103845</v>
      </c>
      <c r="F154" s="366">
        <f t="shared" si="18"/>
        <v>1.1713243284605572</v>
      </c>
      <c r="G154" s="377">
        <f t="shared" si="19"/>
        <v>7.8810194487634035</v>
      </c>
      <c r="H154" s="374">
        <f t="shared" si="20"/>
        <v>0</v>
      </c>
      <c r="I154" s="377">
        <f t="shared" si="21"/>
        <v>0</v>
      </c>
      <c r="J154" s="374">
        <f t="shared" si="22"/>
        <v>0</v>
      </c>
      <c r="K154" s="369">
        <f t="shared" si="23"/>
        <v>0</v>
      </c>
      <c r="L154" s="373">
        <f t="shared" si="24"/>
        <v>1.5762038897526809</v>
      </c>
      <c r="M154" s="113">
        <f>L154*D154*'B) D RI'!S156</f>
        <v>195378.35315429355</v>
      </c>
    </row>
    <row r="155" spans="1:13" x14ac:dyDescent="0.25">
      <c r="A155" s="295">
        <f>'A) Base RI'!A157</f>
        <v>5650</v>
      </c>
      <c r="B155" s="32" t="str">
        <f>'A) Base RI'!B157</f>
        <v>Vaux-sur-Morges</v>
      </c>
      <c r="C155" s="293">
        <f>'B) D RI'!U157</f>
        <v>91360.78017857144</v>
      </c>
      <c r="D155" s="32">
        <f>'B) D RI'!AA157</f>
        <v>196</v>
      </c>
      <c r="E155" s="201">
        <f t="shared" si="17"/>
        <v>466.12642948250732</v>
      </c>
      <c r="F155" s="366">
        <f t="shared" si="18"/>
        <v>10.133054235938767</v>
      </c>
      <c r="G155" s="377">
        <f t="shared" si="19"/>
        <v>420.12584381216686</v>
      </c>
      <c r="H155" s="374">
        <f t="shared" si="20"/>
        <v>410.92572667809878</v>
      </c>
      <c r="I155" s="377">
        <f t="shared" si="21"/>
        <v>397.12555097699669</v>
      </c>
      <c r="J155" s="374">
        <f t="shared" si="22"/>
        <v>374.12525814182641</v>
      </c>
      <c r="K155" s="369">
        <f t="shared" si="23"/>
        <v>328.12467247148601</v>
      </c>
      <c r="L155" s="373">
        <f t="shared" si="24"/>
        <v>235.05528958927414</v>
      </c>
      <c r="M155" s="113">
        <f>L155*D155*'B) D RI'!S157</f>
        <v>2579966.8585318727</v>
      </c>
    </row>
    <row r="156" spans="1:13" x14ac:dyDescent="0.25">
      <c r="A156" s="295">
        <f>'A) Base RI'!A158</f>
        <v>5651</v>
      </c>
      <c r="B156" s="32" t="str">
        <f>'A) Base RI'!B158</f>
        <v>Villars-Sainte-Croix</v>
      </c>
      <c r="C156" s="293">
        <f>'B) D RI'!U158</f>
        <v>58663.104123472025</v>
      </c>
      <c r="D156" s="32">
        <f>'B) D RI'!AA158</f>
        <v>973</v>
      </c>
      <c r="E156" s="201">
        <f t="shared" si="17"/>
        <v>60.290960044678343</v>
      </c>
      <c r="F156" s="366">
        <f t="shared" si="18"/>
        <v>1.310656357220074</v>
      </c>
      <c r="G156" s="377">
        <f t="shared" si="19"/>
        <v>14.290374374337901</v>
      </c>
      <c r="H156" s="374">
        <f t="shared" si="20"/>
        <v>5.0902572402698141</v>
      </c>
      <c r="I156" s="377">
        <f t="shared" si="21"/>
        <v>0</v>
      </c>
      <c r="J156" s="374">
        <f t="shared" si="22"/>
        <v>0</v>
      </c>
      <c r="K156" s="369">
        <f t="shared" si="23"/>
        <v>0</v>
      </c>
      <c r="L156" s="373">
        <f t="shared" si="24"/>
        <v>3.3671005988945617</v>
      </c>
      <c r="M156" s="113">
        <f>L156*D156*'B) D RI'!S158</f>
        <v>203123.71072891331</v>
      </c>
    </row>
    <row r="157" spans="1:13" x14ac:dyDescent="0.25">
      <c r="A157" s="295">
        <f>'A) Base RI'!A159</f>
        <v>5652</v>
      </c>
      <c r="B157" s="32" t="str">
        <f>'A) Base RI'!B159</f>
        <v>Villars-sous-Yens</v>
      </c>
      <c r="C157" s="293">
        <f>'B) D RI'!U159</f>
        <v>32914.720873332524</v>
      </c>
      <c r="D157" s="32">
        <f>'B) D RI'!AA159</f>
        <v>603</v>
      </c>
      <c r="E157" s="201">
        <f t="shared" si="17"/>
        <v>54.584943405194899</v>
      </c>
      <c r="F157" s="366">
        <f t="shared" si="18"/>
        <v>1.1866140965328915</v>
      </c>
      <c r="G157" s="377">
        <f t="shared" si="19"/>
        <v>8.5843577348544571</v>
      </c>
      <c r="H157" s="374">
        <f t="shared" si="20"/>
        <v>0</v>
      </c>
      <c r="I157" s="377">
        <f t="shared" si="21"/>
        <v>0</v>
      </c>
      <c r="J157" s="374">
        <f t="shared" si="22"/>
        <v>0</v>
      </c>
      <c r="K157" s="369">
        <f t="shared" si="23"/>
        <v>0</v>
      </c>
      <c r="L157" s="373">
        <f t="shared" si="24"/>
        <v>1.7168715469708915</v>
      </c>
      <c r="M157" s="113">
        <f>L157*D157*'B) D RI'!S159</f>
        <v>78680.789254582007</v>
      </c>
    </row>
    <row r="158" spans="1:13" x14ac:dyDescent="0.25">
      <c r="A158" s="295">
        <f>'A) Base RI'!A160</f>
        <v>5653</v>
      </c>
      <c r="B158" s="32" t="str">
        <f>'A) Base RI'!B160</f>
        <v>Vufflens-le-Château</v>
      </c>
      <c r="C158" s="293">
        <f>'B) D RI'!U160</f>
        <v>71945.00670599271</v>
      </c>
      <c r="D158" s="32">
        <f>'B) D RI'!AA160</f>
        <v>883</v>
      </c>
      <c r="E158" s="201">
        <f t="shared" si="17"/>
        <v>81.477923789346221</v>
      </c>
      <c r="F158" s="366">
        <f t="shared" si="18"/>
        <v>1.7712366614906019</v>
      </c>
      <c r="G158" s="377">
        <f t="shared" si="19"/>
        <v>35.477338119005779</v>
      </c>
      <c r="H158" s="374">
        <f t="shared" si="20"/>
        <v>26.277220984937692</v>
      </c>
      <c r="I158" s="377">
        <f t="shared" si="21"/>
        <v>12.477045283835565</v>
      </c>
      <c r="J158" s="374">
        <f t="shared" si="22"/>
        <v>0</v>
      </c>
      <c r="K158" s="369">
        <f t="shared" si="23"/>
        <v>0</v>
      </c>
      <c r="L158" s="373">
        <f t="shared" si="24"/>
        <v>10.970894250678482</v>
      </c>
      <c r="M158" s="113">
        <f>L158*D158*'B) D RI'!S160</f>
        <v>581237.97740094597</v>
      </c>
    </row>
    <row r="159" spans="1:13" x14ac:dyDescent="0.25">
      <c r="A159" s="295">
        <f>'A) Base RI'!A161</f>
        <v>5654</v>
      </c>
      <c r="B159" s="32" t="str">
        <f>'A) Base RI'!B161</f>
        <v>Vullierens</v>
      </c>
      <c r="C159" s="293">
        <f>'B) D RI'!U161</f>
        <v>18024.22731423103</v>
      </c>
      <c r="D159" s="32">
        <f>'B) D RI'!AA161</f>
        <v>513</v>
      </c>
      <c r="E159" s="201">
        <f t="shared" si="17"/>
        <v>35.134946031639437</v>
      </c>
      <c r="F159" s="366">
        <f t="shared" si="18"/>
        <v>0.76379345001020749</v>
      </c>
      <c r="G159" s="377">
        <f t="shared" si="19"/>
        <v>0</v>
      </c>
      <c r="H159" s="374">
        <f t="shared" si="20"/>
        <v>0</v>
      </c>
      <c r="I159" s="377">
        <f t="shared" si="21"/>
        <v>0</v>
      </c>
      <c r="J159" s="374">
        <f t="shared" si="22"/>
        <v>0</v>
      </c>
      <c r="K159" s="369">
        <f t="shared" si="23"/>
        <v>0</v>
      </c>
      <c r="L159" s="373">
        <f t="shared" si="24"/>
        <v>0</v>
      </c>
      <c r="M159" s="113">
        <f>L159*D159*'B) D RI'!S161</f>
        <v>0</v>
      </c>
    </row>
    <row r="160" spans="1:13" x14ac:dyDescent="0.25">
      <c r="A160" s="295">
        <f>'A) Base RI'!A162</f>
        <v>5655</v>
      </c>
      <c r="B160" s="32" t="str">
        <f>'A) Base RI'!B162</f>
        <v>Yens</v>
      </c>
      <c r="C160" s="293">
        <f>'B) D RI'!U162</f>
        <v>77001.825217451595</v>
      </c>
      <c r="D160" s="32">
        <f>'B) D RI'!AA162</f>
        <v>1477</v>
      </c>
      <c r="E160" s="201">
        <f t="shared" si="17"/>
        <v>52.133937181754632</v>
      </c>
      <c r="F160" s="366">
        <f t="shared" si="18"/>
        <v>1.1333320309303967</v>
      </c>
      <c r="G160" s="377">
        <f t="shared" si="19"/>
        <v>6.1333515114141903</v>
      </c>
      <c r="H160" s="374">
        <f t="shared" si="20"/>
        <v>0</v>
      </c>
      <c r="I160" s="377">
        <f t="shared" si="21"/>
        <v>0</v>
      </c>
      <c r="J160" s="374">
        <f t="shared" si="22"/>
        <v>0</v>
      </c>
      <c r="K160" s="369">
        <f t="shared" si="23"/>
        <v>0</v>
      </c>
      <c r="L160" s="373">
        <f t="shared" si="24"/>
        <v>1.2266703022828382</v>
      </c>
      <c r="M160" s="113">
        <f>L160*D160*'B) D RI'!S162</f>
        <v>132260.8186624379</v>
      </c>
    </row>
    <row r="161" spans="1:13" x14ac:dyDescent="0.25">
      <c r="A161" s="295">
        <f>'A) Base RI'!A163</f>
        <v>5661</v>
      </c>
      <c r="B161" s="32" t="str">
        <f>'A) Base RI'!B163</f>
        <v>Boulens</v>
      </c>
      <c r="C161" s="293">
        <f>'B) D RI'!U163</f>
        <v>10064.101124681909</v>
      </c>
      <c r="D161" s="32">
        <f>'B) D RI'!AA163</f>
        <v>361</v>
      </c>
      <c r="E161" s="201">
        <f t="shared" si="17"/>
        <v>27.878396467262906</v>
      </c>
      <c r="F161" s="366">
        <f t="shared" si="18"/>
        <v>0.60604438097921687</v>
      </c>
      <c r="G161" s="377">
        <f t="shared" si="19"/>
        <v>0</v>
      </c>
      <c r="H161" s="374">
        <f t="shared" si="20"/>
        <v>0</v>
      </c>
      <c r="I161" s="377">
        <f t="shared" si="21"/>
        <v>0</v>
      </c>
      <c r="J161" s="374">
        <f t="shared" si="22"/>
        <v>0</v>
      </c>
      <c r="K161" s="369">
        <f t="shared" si="23"/>
        <v>0</v>
      </c>
      <c r="L161" s="373">
        <f t="shared" si="24"/>
        <v>0</v>
      </c>
      <c r="M161" s="113">
        <f>L161*D161*'B) D RI'!S163</f>
        <v>0</v>
      </c>
    </row>
    <row r="162" spans="1:13" x14ac:dyDescent="0.25">
      <c r="A162" s="295">
        <f>'A) Base RI'!A164</f>
        <v>5663</v>
      </c>
      <c r="B162" s="32" t="str">
        <f>'A) Base RI'!B164</f>
        <v>Bussy-sur-Moudon</v>
      </c>
      <c r="C162" s="293">
        <f>'B) D RI'!U164</f>
        <v>6370.1104534474161</v>
      </c>
      <c r="D162" s="32">
        <f>'B) D RI'!AA164</f>
        <v>218</v>
      </c>
      <c r="E162" s="201">
        <f t="shared" si="17"/>
        <v>29.220690153428514</v>
      </c>
      <c r="F162" s="366">
        <f t="shared" si="18"/>
        <v>0.635224306986791</v>
      </c>
      <c r="G162" s="377">
        <f t="shared" si="19"/>
        <v>0</v>
      </c>
      <c r="H162" s="374">
        <f t="shared" si="20"/>
        <v>0</v>
      </c>
      <c r="I162" s="377">
        <f t="shared" si="21"/>
        <v>0</v>
      </c>
      <c r="J162" s="374">
        <f t="shared" si="22"/>
        <v>0</v>
      </c>
      <c r="K162" s="369">
        <f t="shared" si="23"/>
        <v>0</v>
      </c>
      <c r="L162" s="373">
        <f t="shared" si="24"/>
        <v>0</v>
      </c>
      <c r="M162" s="113">
        <f>L162*D162*'B) D RI'!S164</f>
        <v>0</v>
      </c>
    </row>
    <row r="163" spans="1:13" x14ac:dyDescent="0.25">
      <c r="A163" s="295">
        <f>'A) Base RI'!A165</f>
        <v>5665</v>
      </c>
      <c r="B163" s="32" t="str">
        <f>'A) Base RI'!B165</f>
        <v>Chavannes-sur-Moudon</v>
      </c>
      <c r="C163" s="293">
        <f>'B) D RI'!U165</f>
        <v>4725.8157534246584</v>
      </c>
      <c r="D163" s="32">
        <f>'B) D RI'!AA165</f>
        <v>210</v>
      </c>
      <c r="E163" s="201">
        <f t="shared" si="17"/>
        <v>22.503884540117422</v>
      </c>
      <c r="F163" s="366">
        <f t="shared" si="18"/>
        <v>0.48920865271998343</v>
      </c>
      <c r="G163" s="377">
        <f t="shared" si="19"/>
        <v>0</v>
      </c>
      <c r="H163" s="374">
        <f t="shared" si="20"/>
        <v>0</v>
      </c>
      <c r="I163" s="377">
        <f t="shared" si="21"/>
        <v>0</v>
      </c>
      <c r="J163" s="374">
        <f t="shared" si="22"/>
        <v>0</v>
      </c>
      <c r="K163" s="369">
        <f t="shared" si="23"/>
        <v>0</v>
      </c>
      <c r="L163" s="373">
        <f t="shared" si="24"/>
        <v>0</v>
      </c>
      <c r="M163" s="113">
        <f>L163*D163*'B) D RI'!S165</f>
        <v>0</v>
      </c>
    </row>
    <row r="164" spans="1:13" x14ac:dyDescent="0.25">
      <c r="A164" s="295">
        <f>'A) Base RI'!A166</f>
        <v>5669</v>
      </c>
      <c r="B164" s="32" t="str">
        <f>'A) Base RI'!B166</f>
        <v>Curtilles</v>
      </c>
      <c r="C164" s="293">
        <f>'B) D RI'!U166</f>
        <v>9981.2313977454014</v>
      </c>
      <c r="D164" s="32">
        <f>'B) D RI'!AA166</f>
        <v>310</v>
      </c>
      <c r="E164" s="201">
        <f t="shared" si="17"/>
        <v>32.197520637888388</v>
      </c>
      <c r="F164" s="366">
        <f t="shared" si="18"/>
        <v>0.69993718924861903</v>
      </c>
      <c r="G164" s="377">
        <f t="shared" si="19"/>
        <v>0</v>
      </c>
      <c r="H164" s="374">
        <f t="shared" si="20"/>
        <v>0</v>
      </c>
      <c r="I164" s="377">
        <f t="shared" si="21"/>
        <v>0</v>
      </c>
      <c r="J164" s="374">
        <f t="shared" si="22"/>
        <v>0</v>
      </c>
      <c r="K164" s="369">
        <f t="shared" si="23"/>
        <v>0</v>
      </c>
      <c r="L164" s="373">
        <f t="shared" si="24"/>
        <v>0</v>
      </c>
      <c r="M164" s="113">
        <f>L164*D164*'B) D RI'!S166</f>
        <v>0</v>
      </c>
    </row>
    <row r="165" spans="1:13" x14ac:dyDescent="0.25">
      <c r="A165" s="295">
        <f>'A) Base RI'!A167</f>
        <v>5671</v>
      </c>
      <c r="B165" s="32" t="str">
        <f>'A) Base RI'!B167</f>
        <v>Dompierre</v>
      </c>
      <c r="C165" s="293">
        <f>'B) D RI'!U167</f>
        <v>6546.2666570185083</v>
      </c>
      <c r="D165" s="32">
        <f>'B) D RI'!AA167</f>
        <v>232</v>
      </c>
      <c r="E165" s="201">
        <f t="shared" si="17"/>
        <v>28.216666625079778</v>
      </c>
      <c r="F165" s="366">
        <f t="shared" si="18"/>
        <v>0.6133979864363529</v>
      </c>
      <c r="G165" s="377">
        <f t="shared" si="19"/>
        <v>0</v>
      </c>
      <c r="H165" s="374">
        <f t="shared" si="20"/>
        <v>0</v>
      </c>
      <c r="I165" s="377">
        <f t="shared" si="21"/>
        <v>0</v>
      </c>
      <c r="J165" s="374">
        <f t="shared" si="22"/>
        <v>0</v>
      </c>
      <c r="K165" s="369">
        <f t="shared" si="23"/>
        <v>0</v>
      </c>
      <c r="L165" s="373">
        <f t="shared" si="24"/>
        <v>0</v>
      </c>
      <c r="M165" s="113">
        <f>L165*D165*'B) D RI'!S167</f>
        <v>0</v>
      </c>
    </row>
    <row r="166" spans="1:13" x14ac:dyDescent="0.25">
      <c r="A166" s="295">
        <f>'A) Base RI'!A168</f>
        <v>5673</v>
      </c>
      <c r="B166" s="32" t="str">
        <f>'A) Base RI'!B168</f>
        <v>Hermenches</v>
      </c>
      <c r="C166" s="293">
        <f>'B) D RI'!U168</f>
        <v>9911.4858119507371</v>
      </c>
      <c r="D166" s="32">
        <f>'B) D RI'!AA168</f>
        <v>367</v>
      </c>
      <c r="E166" s="201">
        <f t="shared" si="17"/>
        <v>27.006773329566041</v>
      </c>
      <c r="F166" s="366">
        <f t="shared" si="18"/>
        <v>0.58709629314522094</v>
      </c>
      <c r="G166" s="377">
        <f t="shared" si="19"/>
        <v>0</v>
      </c>
      <c r="H166" s="374">
        <f t="shared" si="20"/>
        <v>0</v>
      </c>
      <c r="I166" s="377">
        <f t="shared" si="21"/>
        <v>0</v>
      </c>
      <c r="J166" s="374">
        <f t="shared" si="22"/>
        <v>0</v>
      </c>
      <c r="K166" s="369">
        <f t="shared" si="23"/>
        <v>0</v>
      </c>
      <c r="L166" s="373">
        <f t="shared" si="24"/>
        <v>0</v>
      </c>
      <c r="M166" s="113">
        <f>L166*D166*'B) D RI'!S168</f>
        <v>0</v>
      </c>
    </row>
    <row r="167" spans="1:13" x14ac:dyDescent="0.25">
      <c r="A167" s="295">
        <f>'A) Base RI'!A169</f>
        <v>5674</v>
      </c>
      <c r="B167" s="32" t="str">
        <f>'A) Base RI'!B169</f>
        <v>Lovatens</v>
      </c>
      <c r="C167" s="293">
        <f>'B) D RI'!U169</f>
        <v>3212.7201333333333</v>
      </c>
      <c r="D167" s="32">
        <f>'B) D RI'!AA169</f>
        <v>136</v>
      </c>
      <c r="E167" s="201">
        <f t="shared" si="17"/>
        <v>23.622942156862745</v>
      </c>
      <c r="F167" s="366">
        <f t="shared" si="18"/>
        <v>0.51353568248358161</v>
      </c>
      <c r="G167" s="377">
        <f t="shared" si="19"/>
        <v>0</v>
      </c>
      <c r="H167" s="374">
        <f t="shared" si="20"/>
        <v>0</v>
      </c>
      <c r="I167" s="377">
        <f t="shared" si="21"/>
        <v>0</v>
      </c>
      <c r="J167" s="374">
        <f t="shared" si="22"/>
        <v>0</v>
      </c>
      <c r="K167" s="369">
        <f t="shared" si="23"/>
        <v>0</v>
      </c>
      <c r="L167" s="373">
        <f t="shared" si="24"/>
        <v>0</v>
      </c>
      <c r="M167" s="113">
        <f>L167*D167*'B) D RI'!S169</f>
        <v>0</v>
      </c>
    </row>
    <row r="168" spans="1:13" x14ac:dyDescent="0.25">
      <c r="A168" s="295">
        <f>'A) Base RI'!A170</f>
        <v>5675</v>
      </c>
      <c r="B168" s="32" t="str">
        <f>'A) Base RI'!B170</f>
        <v>Lucens</v>
      </c>
      <c r="C168" s="293">
        <f>'B) D RI'!U170</f>
        <v>97171.957057014763</v>
      </c>
      <c r="D168" s="32">
        <f>'B) D RI'!AA170</f>
        <v>4220</v>
      </c>
      <c r="E168" s="201">
        <f t="shared" si="17"/>
        <v>23.026530108297337</v>
      </c>
      <c r="F168" s="366">
        <f t="shared" si="18"/>
        <v>0.50057036824085555</v>
      </c>
      <c r="G168" s="377">
        <f t="shared" si="19"/>
        <v>0</v>
      </c>
      <c r="H168" s="374">
        <f t="shared" si="20"/>
        <v>0</v>
      </c>
      <c r="I168" s="377">
        <f t="shared" si="21"/>
        <v>0</v>
      </c>
      <c r="J168" s="374">
        <f t="shared" si="22"/>
        <v>0</v>
      </c>
      <c r="K168" s="369">
        <f t="shared" si="23"/>
        <v>0</v>
      </c>
      <c r="L168" s="373">
        <f t="shared" si="24"/>
        <v>0</v>
      </c>
      <c r="M168" s="113">
        <f>L168*D168*'B) D RI'!S170</f>
        <v>0</v>
      </c>
    </row>
    <row r="169" spans="1:13" x14ac:dyDescent="0.25">
      <c r="A169" s="295">
        <f>'A) Base RI'!A171</f>
        <v>5678</v>
      </c>
      <c r="B169" s="32" t="str">
        <f>'A) Base RI'!B171</f>
        <v>Moudon</v>
      </c>
      <c r="C169" s="293">
        <f>'B) D RI'!U171</f>
        <v>124990.90700543707</v>
      </c>
      <c r="D169" s="32">
        <f>'B) D RI'!AA171</f>
        <v>6080</v>
      </c>
      <c r="E169" s="201">
        <f t="shared" si="17"/>
        <v>20.557714967999519</v>
      </c>
      <c r="F169" s="366">
        <f t="shared" si="18"/>
        <v>0.44690115720101387</v>
      </c>
      <c r="G169" s="377">
        <f t="shared" si="19"/>
        <v>0</v>
      </c>
      <c r="H169" s="374">
        <f t="shared" si="20"/>
        <v>0</v>
      </c>
      <c r="I169" s="377">
        <f t="shared" si="21"/>
        <v>0</v>
      </c>
      <c r="J169" s="374">
        <f t="shared" si="22"/>
        <v>0</v>
      </c>
      <c r="K169" s="369">
        <f t="shared" si="23"/>
        <v>0</v>
      </c>
      <c r="L169" s="373">
        <f t="shared" si="24"/>
        <v>0</v>
      </c>
      <c r="M169" s="113">
        <f>L169*D169*'B) D RI'!S171</f>
        <v>0</v>
      </c>
    </row>
    <row r="170" spans="1:13" x14ac:dyDescent="0.25">
      <c r="A170" s="295">
        <f>'A) Base RI'!A172</f>
        <v>5680</v>
      </c>
      <c r="B170" s="32" t="str">
        <f>'A) Base RI'!B172</f>
        <v>Ogens</v>
      </c>
      <c r="C170" s="293">
        <f>'B) D RI'!U172</f>
        <v>6319.984442335237</v>
      </c>
      <c r="D170" s="32">
        <f>'B) D RI'!AA172</f>
        <v>296</v>
      </c>
      <c r="E170" s="201">
        <f t="shared" si="17"/>
        <v>21.351298791673099</v>
      </c>
      <c r="F170" s="366">
        <f t="shared" si="18"/>
        <v>0.4641527598080053</v>
      </c>
      <c r="G170" s="377">
        <f t="shared" si="19"/>
        <v>0</v>
      </c>
      <c r="H170" s="374">
        <f t="shared" si="20"/>
        <v>0</v>
      </c>
      <c r="I170" s="377">
        <f t="shared" si="21"/>
        <v>0</v>
      </c>
      <c r="J170" s="374">
        <f t="shared" si="22"/>
        <v>0</v>
      </c>
      <c r="K170" s="369">
        <f t="shared" si="23"/>
        <v>0</v>
      </c>
      <c r="L170" s="373">
        <f t="shared" si="24"/>
        <v>0</v>
      </c>
      <c r="M170" s="113">
        <f>L170*D170*'B) D RI'!S172</f>
        <v>0</v>
      </c>
    </row>
    <row r="171" spans="1:13" x14ac:dyDescent="0.25">
      <c r="A171" s="295">
        <f>'A) Base RI'!A173</f>
        <v>5683</v>
      </c>
      <c r="B171" s="32" t="str">
        <f>'A) Base RI'!B173</f>
        <v>Prévonloup</v>
      </c>
      <c r="C171" s="293">
        <f>'B) D RI'!U173</f>
        <v>4554.1237837837825</v>
      </c>
      <c r="D171" s="32">
        <f>'B) D RI'!AA173</f>
        <v>194</v>
      </c>
      <c r="E171" s="201">
        <f t="shared" si="17"/>
        <v>23.474864864864859</v>
      </c>
      <c r="F171" s="366">
        <f t="shared" si="18"/>
        <v>0.51031665190299147</v>
      </c>
      <c r="G171" s="377">
        <f t="shared" si="19"/>
        <v>0</v>
      </c>
      <c r="H171" s="374">
        <f t="shared" si="20"/>
        <v>0</v>
      </c>
      <c r="I171" s="377">
        <f t="shared" si="21"/>
        <v>0</v>
      </c>
      <c r="J171" s="374">
        <f t="shared" si="22"/>
        <v>0</v>
      </c>
      <c r="K171" s="369">
        <f t="shared" si="23"/>
        <v>0</v>
      </c>
      <c r="L171" s="373">
        <f t="shared" si="24"/>
        <v>0</v>
      </c>
      <c r="M171" s="113">
        <f>L171*D171*'B) D RI'!S173</f>
        <v>0</v>
      </c>
    </row>
    <row r="172" spans="1:13" x14ac:dyDescent="0.25">
      <c r="A172" s="295">
        <f>'A) Base RI'!A174</f>
        <v>5684</v>
      </c>
      <c r="B172" s="32" t="str">
        <f>'A) Base RI'!B174</f>
        <v>Rossenges</v>
      </c>
      <c r="C172" s="293">
        <f>'B) D RI'!U174</f>
        <v>3099.5946967890927</v>
      </c>
      <c r="D172" s="32">
        <f>'B) D RI'!AA174</f>
        <v>84</v>
      </c>
      <c r="E172" s="201">
        <f t="shared" si="17"/>
        <v>36.899936866536819</v>
      </c>
      <c r="F172" s="366">
        <f t="shared" si="18"/>
        <v>0.80216232747507388</v>
      </c>
      <c r="G172" s="377">
        <f t="shared" si="19"/>
        <v>0</v>
      </c>
      <c r="H172" s="374">
        <f t="shared" si="20"/>
        <v>0</v>
      </c>
      <c r="I172" s="377">
        <f t="shared" si="21"/>
        <v>0</v>
      </c>
      <c r="J172" s="374">
        <f t="shared" si="22"/>
        <v>0</v>
      </c>
      <c r="K172" s="369">
        <f t="shared" si="23"/>
        <v>0</v>
      </c>
      <c r="L172" s="373">
        <f t="shared" si="24"/>
        <v>0</v>
      </c>
      <c r="M172" s="113">
        <f>L172*D172*'B) D RI'!S174</f>
        <v>0</v>
      </c>
    </row>
    <row r="173" spans="1:13" x14ac:dyDescent="0.25">
      <c r="A173" s="295">
        <f>'A) Base RI'!A175</f>
        <v>5688</v>
      </c>
      <c r="B173" s="32" t="str">
        <f>'A) Base RI'!B175</f>
        <v>Syens</v>
      </c>
      <c r="C173" s="293">
        <f>'B) D RI'!U175</f>
        <v>2722.3146828511958</v>
      </c>
      <c r="D173" s="32">
        <f>'B) D RI'!AA175</f>
        <v>155</v>
      </c>
      <c r="E173" s="201">
        <f t="shared" si="17"/>
        <v>17.563320534523843</v>
      </c>
      <c r="F173" s="366">
        <f t="shared" si="18"/>
        <v>0.3818064548219014</v>
      </c>
      <c r="G173" s="377">
        <f t="shared" si="19"/>
        <v>0</v>
      </c>
      <c r="H173" s="374">
        <f t="shared" si="20"/>
        <v>0</v>
      </c>
      <c r="I173" s="377">
        <f t="shared" si="21"/>
        <v>0</v>
      </c>
      <c r="J173" s="374">
        <f t="shared" si="22"/>
        <v>0</v>
      </c>
      <c r="K173" s="369">
        <f t="shared" si="23"/>
        <v>0</v>
      </c>
      <c r="L173" s="373">
        <f t="shared" si="24"/>
        <v>0</v>
      </c>
      <c r="M173" s="113">
        <f>L173*D173*'B) D RI'!S175</f>
        <v>0</v>
      </c>
    </row>
    <row r="174" spans="1:13" x14ac:dyDescent="0.25">
      <c r="A174" s="295">
        <f>'A) Base RI'!A176</f>
        <v>5690</v>
      </c>
      <c r="B174" s="32" t="str">
        <f>'A) Base RI'!B176</f>
        <v>Villars-le-Comte</v>
      </c>
      <c r="C174" s="293">
        <f>'B) D RI'!U176</f>
        <v>3015.9771931576993</v>
      </c>
      <c r="D174" s="32">
        <f>'B) D RI'!AA176</f>
        <v>122</v>
      </c>
      <c r="E174" s="201">
        <f t="shared" si="17"/>
        <v>24.721124534079504</v>
      </c>
      <c r="F174" s="366">
        <f t="shared" si="18"/>
        <v>0.53740890847002443</v>
      </c>
      <c r="G174" s="377">
        <f t="shared" si="19"/>
        <v>0</v>
      </c>
      <c r="H174" s="374">
        <f t="shared" si="20"/>
        <v>0</v>
      </c>
      <c r="I174" s="377">
        <f t="shared" si="21"/>
        <v>0</v>
      </c>
      <c r="J174" s="374">
        <f t="shared" si="22"/>
        <v>0</v>
      </c>
      <c r="K174" s="369">
        <f t="shared" si="23"/>
        <v>0</v>
      </c>
      <c r="L174" s="373">
        <f t="shared" si="24"/>
        <v>0</v>
      </c>
      <c r="M174" s="113">
        <f>L174*D174*'B) D RI'!S176</f>
        <v>0</v>
      </c>
    </row>
    <row r="175" spans="1:13" x14ac:dyDescent="0.25">
      <c r="A175" s="295">
        <f>'A) Base RI'!A177</f>
        <v>5692</v>
      </c>
      <c r="B175" s="32" t="str">
        <f>'A) Base RI'!B177</f>
        <v>Vucherens</v>
      </c>
      <c r="C175" s="293">
        <f>'B) D RI'!U177</f>
        <v>15976.51835443038</v>
      </c>
      <c r="D175" s="32">
        <f>'B) D RI'!AA177</f>
        <v>580</v>
      </c>
      <c r="E175" s="201">
        <f t="shared" si="17"/>
        <v>27.545721300742034</v>
      </c>
      <c r="F175" s="366">
        <f t="shared" si="18"/>
        <v>0.59881240421907378</v>
      </c>
      <c r="G175" s="377">
        <f t="shared" si="19"/>
        <v>0</v>
      </c>
      <c r="H175" s="374">
        <f t="shared" si="20"/>
        <v>0</v>
      </c>
      <c r="I175" s="377">
        <f t="shared" si="21"/>
        <v>0</v>
      </c>
      <c r="J175" s="374">
        <f t="shared" si="22"/>
        <v>0</v>
      </c>
      <c r="K175" s="369">
        <f t="shared" si="23"/>
        <v>0</v>
      </c>
      <c r="L175" s="373">
        <f t="shared" si="24"/>
        <v>0</v>
      </c>
      <c r="M175" s="113">
        <f>L175*D175*'B) D RI'!S177</f>
        <v>0</v>
      </c>
    </row>
    <row r="176" spans="1:13" x14ac:dyDescent="0.25">
      <c r="A176" s="295">
        <f>'A) Base RI'!A178</f>
        <v>5693</v>
      </c>
      <c r="B176" s="32" t="str">
        <f>'A) Base RI'!B178</f>
        <v>Montanaire</v>
      </c>
      <c r="C176" s="293">
        <f>'B) D RI'!U178</f>
        <v>70480.928098220116</v>
      </c>
      <c r="D176" s="32">
        <f>'B) D RI'!AA178</f>
        <v>2717</v>
      </c>
      <c r="E176" s="201">
        <f t="shared" si="17"/>
        <v>25.940717003393491</v>
      </c>
      <c r="F176" s="366">
        <f t="shared" si="18"/>
        <v>0.56392145068098887</v>
      </c>
      <c r="G176" s="377">
        <f t="shared" si="19"/>
        <v>0</v>
      </c>
      <c r="H176" s="374">
        <f t="shared" si="20"/>
        <v>0</v>
      </c>
      <c r="I176" s="377">
        <f t="shared" si="21"/>
        <v>0</v>
      </c>
      <c r="J176" s="374">
        <f t="shared" si="22"/>
        <v>0</v>
      </c>
      <c r="K176" s="369">
        <f t="shared" si="23"/>
        <v>0</v>
      </c>
      <c r="L176" s="373">
        <f t="shared" si="24"/>
        <v>0</v>
      </c>
      <c r="M176" s="113">
        <f>L176*D176*'B) D RI'!S178</f>
        <v>0</v>
      </c>
    </row>
    <row r="177" spans="1:13" x14ac:dyDescent="0.25">
      <c r="A177" s="295">
        <f>'A) Base RI'!A179</f>
        <v>5701</v>
      </c>
      <c r="B177" s="32" t="str">
        <f>'A) Base RI'!B179</f>
        <v>Arnex-sur-Nyon</v>
      </c>
      <c r="C177" s="293">
        <f>'B) D RI'!U179</f>
        <v>12114.196611371119</v>
      </c>
      <c r="D177" s="32">
        <f>'B) D RI'!AA179</f>
        <v>229</v>
      </c>
      <c r="E177" s="201">
        <f t="shared" si="17"/>
        <v>52.900421883716675</v>
      </c>
      <c r="F177" s="366">
        <f t="shared" si="18"/>
        <v>1.1499945296962817</v>
      </c>
      <c r="G177" s="377">
        <f t="shared" si="19"/>
        <v>6.8998362133762328</v>
      </c>
      <c r="H177" s="374">
        <f t="shared" si="20"/>
        <v>0</v>
      </c>
      <c r="I177" s="377">
        <f t="shared" si="21"/>
        <v>0</v>
      </c>
      <c r="J177" s="374">
        <f t="shared" si="22"/>
        <v>0</v>
      </c>
      <c r="K177" s="369">
        <f t="shared" si="23"/>
        <v>0</v>
      </c>
      <c r="L177" s="373">
        <f t="shared" si="24"/>
        <v>1.3799672426752467</v>
      </c>
      <c r="M177" s="113">
        <f>L177*D177*'B) D RI'!S179</f>
        <v>22120.874900084204</v>
      </c>
    </row>
    <row r="178" spans="1:13" x14ac:dyDescent="0.25">
      <c r="A178" s="295">
        <f>'A) Base RI'!A180</f>
        <v>5702</v>
      </c>
      <c r="B178" s="32" t="str">
        <f>'A) Base RI'!B180</f>
        <v>Arzier-Le Muids</v>
      </c>
      <c r="C178" s="293">
        <f>'B) D RI'!U180</f>
        <v>174460.56839607147</v>
      </c>
      <c r="D178" s="32">
        <f>'B) D RI'!AA180</f>
        <v>2801</v>
      </c>
      <c r="E178" s="201">
        <f t="shared" si="17"/>
        <v>62.285101176748114</v>
      </c>
      <c r="F178" s="366">
        <f t="shared" si="18"/>
        <v>1.3540066994605104</v>
      </c>
      <c r="G178" s="377">
        <f t="shared" si="19"/>
        <v>16.284515506407672</v>
      </c>
      <c r="H178" s="374">
        <f t="shared" si="20"/>
        <v>7.0843983723395851</v>
      </c>
      <c r="I178" s="377">
        <f t="shared" si="21"/>
        <v>0</v>
      </c>
      <c r="J178" s="374">
        <f t="shared" si="22"/>
        <v>0</v>
      </c>
      <c r="K178" s="369">
        <f t="shared" si="23"/>
        <v>0</v>
      </c>
      <c r="L178" s="373">
        <f t="shared" si="24"/>
        <v>3.9653429385154926</v>
      </c>
      <c r="M178" s="113">
        <f>L178*D178*'B) D RI'!S180</f>
        <v>710843.23653004121</v>
      </c>
    </row>
    <row r="179" spans="1:13" x14ac:dyDescent="0.25">
      <c r="A179" s="295">
        <f>'A) Base RI'!A181</f>
        <v>5703</v>
      </c>
      <c r="B179" s="32" t="str">
        <f>'A) Base RI'!B181</f>
        <v>Bassins</v>
      </c>
      <c r="C179" s="293">
        <f>'B) D RI'!U181</f>
        <v>58935.560453684549</v>
      </c>
      <c r="D179" s="32">
        <f>'B) D RI'!AA181</f>
        <v>1395</v>
      </c>
      <c r="E179" s="201">
        <f t="shared" si="17"/>
        <v>42.247713586870645</v>
      </c>
      <c r="F179" s="366">
        <f t="shared" si="18"/>
        <v>0.91841686298595293</v>
      </c>
      <c r="G179" s="377">
        <f t="shared" si="19"/>
        <v>0</v>
      </c>
      <c r="H179" s="374">
        <f t="shared" si="20"/>
        <v>0</v>
      </c>
      <c r="I179" s="377">
        <f t="shared" si="21"/>
        <v>0</v>
      </c>
      <c r="J179" s="374">
        <f t="shared" si="22"/>
        <v>0</v>
      </c>
      <c r="K179" s="369">
        <f t="shared" si="23"/>
        <v>0</v>
      </c>
      <c r="L179" s="373">
        <f t="shared" si="24"/>
        <v>0</v>
      </c>
      <c r="M179" s="113">
        <f>L179*D179*'B) D RI'!S181</f>
        <v>0</v>
      </c>
    </row>
    <row r="180" spans="1:13" x14ac:dyDescent="0.25">
      <c r="A180" s="295">
        <f>'A) Base RI'!A182</f>
        <v>5704</v>
      </c>
      <c r="B180" s="32" t="str">
        <f>'A) Base RI'!B182</f>
        <v>Begnins</v>
      </c>
      <c r="C180" s="293">
        <f>'B) D RI'!U182</f>
        <v>129508.82887740067</v>
      </c>
      <c r="D180" s="32">
        <f>'B) D RI'!AA182</f>
        <v>1931</v>
      </c>
      <c r="E180" s="201">
        <f t="shared" si="17"/>
        <v>67.068269744899354</v>
      </c>
      <c r="F180" s="366">
        <f t="shared" si="18"/>
        <v>1.4579873009778355</v>
      </c>
      <c r="G180" s="377">
        <f t="shared" si="19"/>
        <v>21.067684074558912</v>
      </c>
      <c r="H180" s="374">
        <f t="shared" si="20"/>
        <v>11.867566940490825</v>
      </c>
      <c r="I180" s="377">
        <f t="shared" si="21"/>
        <v>0</v>
      </c>
      <c r="J180" s="374">
        <f t="shared" si="22"/>
        <v>0</v>
      </c>
      <c r="K180" s="369">
        <f t="shared" si="23"/>
        <v>0</v>
      </c>
      <c r="L180" s="373">
        <f t="shared" si="24"/>
        <v>5.400293508960865</v>
      </c>
      <c r="M180" s="113">
        <f>L180*D180*'B) D RI'!S182</f>
        <v>667389.87301141955</v>
      </c>
    </row>
    <row r="181" spans="1:13" x14ac:dyDescent="0.25">
      <c r="A181" s="295">
        <f>'A) Base RI'!A183</f>
        <v>5705</v>
      </c>
      <c r="B181" s="32" t="str">
        <f>'A) Base RI'!B183</f>
        <v>Bogis-Bossey</v>
      </c>
      <c r="C181" s="293">
        <f>'B) D RI'!U183</f>
        <v>47399.998914219243</v>
      </c>
      <c r="D181" s="32">
        <f>'B) D RI'!AA183</f>
        <v>825</v>
      </c>
      <c r="E181" s="201">
        <f t="shared" si="17"/>
        <v>57.454544138447567</v>
      </c>
      <c r="F181" s="366">
        <f t="shared" si="18"/>
        <v>1.248995926925605</v>
      </c>
      <c r="G181" s="377">
        <f t="shared" si="19"/>
        <v>11.453958468107125</v>
      </c>
      <c r="H181" s="374">
        <f t="shared" si="20"/>
        <v>2.2538413340390377</v>
      </c>
      <c r="I181" s="377">
        <f t="shared" si="21"/>
        <v>0</v>
      </c>
      <c r="J181" s="374">
        <f t="shared" si="22"/>
        <v>0</v>
      </c>
      <c r="K181" s="369">
        <f t="shared" si="23"/>
        <v>0</v>
      </c>
      <c r="L181" s="373">
        <f t="shared" si="24"/>
        <v>2.5161758270253287</v>
      </c>
      <c r="M181" s="113">
        <f>L181*D181*'B) D RI'!S183</f>
        <v>157764.22435448813</v>
      </c>
    </row>
    <row r="182" spans="1:13" x14ac:dyDescent="0.25">
      <c r="A182" s="295">
        <f>'A) Base RI'!A184</f>
        <v>5706</v>
      </c>
      <c r="B182" s="32" t="str">
        <f>'A) Base RI'!B184</f>
        <v>Borex</v>
      </c>
      <c r="C182" s="293">
        <f>'B) D RI'!U184</f>
        <v>76732.339331916941</v>
      </c>
      <c r="D182" s="32">
        <f>'B) D RI'!AA184</f>
        <v>1132</v>
      </c>
      <c r="E182" s="201">
        <f t="shared" si="17"/>
        <v>67.784752059997302</v>
      </c>
      <c r="F182" s="366">
        <f t="shared" si="18"/>
        <v>1.4735628051732073</v>
      </c>
      <c r="G182" s="377">
        <f t="shared" si="19"/>
        <v>21.78416638965686</v>
      </c>
      <c r="H182" s="374">
        <f t="shared" si="20"/>
        <v>12.584049255588774</v>
      </c>
      <c r="I182" s="377">
        <f t="shared" si="21"/>
        <v>0</v>
      </c>
      <c r="J182" s="374">
        <f t="shared" si="22"/>
        <v>0</v>
      </c>
      <c r="K182" s="369">
        <f t="shared" si="23"/>
        <v>0</v>
      </c>
      <c r="L182" s="373">
        <f t="shared" si="24"/>
        <v>5.6152382034902493</v>
      </c>
      <c r="M182" s="113">
        <f>L182*D182*'B) D RI'!S184</f>
        <v>368674.07948835578</v>
      </c>
    </row>
    <row r="183" spans="1:13" x14ac:dyDescent="0.25">
      <c r="A183" s="295">
        <f>'A) Base RI'!A185</f>
        <v>5707</v>
      </c>
      <c r="B183" s="32" t="str">
        <f>'A) Base RI'!B185</f>
        <v>Chavannes-de-Bogis</v>
      </c>
      <c r="C183" s="293">
        <f>'B) D RI'!U185</f>
        <v>80433.672291066076</v>
      </c>
      <c r="D183" s="32">
        <f>'B) D RI'!AA185</f>
        <v>1357</v>
      </c>
      <c r="E183" s="201">
        <f t="shared" si="17"/>
        <v>59.273155704543903</v>
      </c>
      <c r="F183" s="366">
        <f t="shared" si="18"/>
        <v>1.2885304576189591</v>
      </c>
      <c r="G183" s="377">
        <f t="shared" si="19"/>
        <v>13.272570034203461</v>
      </c>
      <c r="H183" s="374">
        <f t="shared" si="20"/>
        <v>4.0724529001353744</v>
      </c>
      <c r="I183" s="377">
        <f t="shared" si="21"/>
        <v>0</v>
      </c>
      <c r="J183" s="374">
        <f t="shared" si="22"/>
        <v>0</v>
      </c>
      <c r="K183" s="369">
        <f t="shared" si="23"/>
        <v>0</v>
      </c>
      <c r="L183" s="373">
        <f t="shared" si="24"/>
        <v>3.0617592968542295</v>
      </c>
      <c r="M183" s="113">
        <f>L183*D183*'B) D RI'!S185</f>
        <v>245133.63458404018</v>
      </c>
    </row>
    <row r="184" spans="1:13" x14ac:dyDescent="0.25">
      <c r="A184" s="295">
        <f>'A) Base RI'!A186</f>
        <v>5708</v>
      </c>
      <c r="B184" s="32" t="str">
        <f>'A) Base RI'!B186</f>
        <v>Chavannes-des-Bois</v>
      </c>
      <c r="C184" s="293">
        <f>'B) D RI'!U186</f>
        <v>64673.600200081586</v>
      </c>
      <c r="D184" s="32">
        <f>'B) D RI'!AA186</f>
        <v>960</v>
      </c>
      <c r="E184" s="201">
        <f t="shared" si="17"/>
        <v>67.368333541751653</v>
      </c>
      <c r="F184" s="366">
        <f t="shared" si="18"/>
        <v>1.4645103439452161</v>
      </c>
      <c r="G184" s="377">
        <f t="shared" si="19"/>
        <v>21.367747871411211</v>
      </c>
      <c r="H184" s="374">
        <f t="shared" si="20"/>
        <v>12.167630737343124</v>
      </c>
      <c r="I184" s="377">
        <f t="shared" si="21"/>
        <v>0</v>
      </c>
      <c r="J184" s="374">
        <f t="shared" si="22"/>
        <v>0</v>
      </c>
      <c r="K184" s="369">
        <f t="shared" si="23"/>
        <v>0</v>
      </c>
      <c r="L184" s="373">
        <f t="shared" si="24"/>
        <v>5.4903126480165545</v>
      </c>
      <c r="M184" s="113">
        <f>L184*D184*'B) D RI'!S186</f>
        <v>358407.6096625207</v>
      </c>
    </row>
    <row r="185" spans="1:13" x14ac:dyDescent="0.25">
      <c r="A185" s="295">
        <f>'A) Base RI'!A187</f>
        <v>5709</v>
      </c>
      <c r="B185" s="32" t="str">
        <f>'A) Base RI'!B187</f>
        <v>Chéserex</v>
      </c>
      <c r="C185" s="293">
        <f>'B) D RI'!U187</f>
        <v>96665.564675304791</v>
      </c>
      <c r="D185" s="32">
        <f>'B) D RI'!AA187</f>
        <v>1238</v>
      </c>
      <c r="E185" s="201">
        <f t="shared" si="17"/>
        <v>78.082039317693699</v>
      </c>
      <c r="F185" s="366">
        <f t="shared" si="18"/>
        <v>1.6974140259270274</v>
      </c>
      <c r="G185" s="377">
        <f t="shared" si="19"/>
        <v>32.081453647353257</v>
      </c>
      <c r="H185" s="374">
        <f t="shared" si="20"/>
        <v>22.88133651328517</v>
      </c>
      <c r="I185" s="377">
        <f t="shared" si="21"/>
        <v>9.0811608121830432</v>
      </c>
      <c r="J185" s="374">
        <f t="shared" si="22"/>
        <v>0</v>
      </c>
      <c r="K185" s="369">
        <f t="shared" si="23"/>
        <v>0</v>
      </c>
      <c r="L185" s="373">
        <f t="shared" si="24"/>
        <v>9.6125404620174724</v>
      </c>
      <c r="M185" s="113">
        <f>L185*D185*'B) D RI'!S187</f>
        <v>678318.53024272493</v>
      </c>
    </row>
    <row r="186" spans="1:13" x14ac:dyDescent="0.25">
      <c r="A186" s="295">
        <f>'A) Base RI'!A188</f>
        <v>5710</v>
      </c>
      <c r="B186" s="32" t="str">
        <f>'A) Base RI'!B188</f>
        <v>Coinsins</v>
      </c>
      <c r="C186" s="293">
        <f>'B) D RI'!U188</f>
        <v>116722.0098047505</v>
      </c>
      <c r="D186" s="32">
        <f>'B) D RI'!AA188</f>
        <v>494</v>
      </c>
      <c r="E186" s="201">
        <f t="shared" si="17"/>
        <v>236.27937207439373</v>
      </c>
      <c r="F186" s="366">
        <f t="shared" si="18"/>
        <v>5.1364426915707373</v>
      </c>
      <c r="G186" s="377">
        <f t="shared" si="19"/>
        <v>190.27878640405328</v>
      </c>
      <c r="H186" s="374">
        <f t="shared" si="20"/>
        <v>181.0786692699852</v>
      </c>
      <c r="I186" s="377">
        <f t="shared" si="21"/>
        <v>167.27849356888308</v>
      </c>
      <c r="J186" s="374">
        <f t="shared" si="22"/>
        <v>144.27820073371285</v>
      </c>
      <c r="K186" s="369">
        <f t="shared" si="23"/>
        <v>98.277615063372423</v>
      </c>
      <c r="L186" s="373">
        <f t="shared" si="24"/>
        <v>97.147055144406011</v>
      </c>
      <c r="M186" s="113">
        <f>L186*D186*'B) D RI'!S188</f>
        <v>2447522.907308165</v>
      </c>
    </row>
    <row r="187" spans="1:13" x14ac:dyDescent="0.25">
      <c r="A187" s="295">
        <f>'A) Base RI'!A189</f>
        <v>5711</v>
      </c>
      <c r="B187" s="32" t="str">
        <f>'A) Base RI'!B189</f>
        <v>Commugny</v>
      </c>
      <c r="C187" s="293">
        <f>'B) D RI'!U189</f>
        <v>257446.98641964147</v>
      </c>
      <c r="D187" s="32">
        <f>'B) D RI'!AA189</f>
        <v>2935</v>
      </c>
      <c r="E187" s="201">
        <f t="shared" si="17"/>
        <v>87.716179359332699</v>
      </c>
      <c r="F187" s="366">
        <f t="shared" si="18"/>
        <v>1.9068491863982724</v>
      </c>
      <c r="G187" s="377">
        <f t="shared" si="19"/>
        <v>41.715593688992257</v>
      </c>
      <c r="H187" s="374">
        <f t="shared" si="20"/>
        <v>32.51547655492417</v>
      </c>
      <c r="I187" s="377">
        <f t="shared" si="21"/>
        <v>18.715300853822043</v>
      </c>
      <c r="J187" s="374">
        <f t="shared" si="22"/>
        <v>0</v>
      </c>
      <c r="K187" s="369">
        <f t="shared" si="23"/>
        <v>0</v>
      </c>
      <c r="L187" s="373">
        <f t="shared" si="24"/>
        <v>13.466196478673073</v>
      </c>
      <c r="M187" s="113">
        <f>L187*D187*'B) D RI'!S189</f>
        <v>2252827.3398996117</v>
      </c>
    </row>
    <row r="188" spans="1:13" x14ac:dyDescent="0.25">
      <c r="A188" s="295">
        <f>'A) Base RI'!A190</f>
        <v>5712</v>
      </c>
      <c r="B188" s="32" t="str">
        <f>'A) Base RI'!B190</f>
        <v>Coppet</v>
      </c>
      <c r="C188" s="293">
        <f>'B) D RI'!U190</f>
        <v>389580.29972433241</v>
      </c>
      <c r="D188" s="32">
        <f>'B) D RI'!AA190</f>
        <v>3211</v>
      </c>
      <c r="E188" s="201">
        <f t="shared" si="17"/>
        <v>121.32678284781451</v>
      </c>
      <c r="F188" s="366">
        <f t="shared" si="18"/>
        <v>2.6375051769404263</v>
      </c>
      <c r="G188" s="377">
        <f t="shared" si="19"/>
        <v>75.326197177474072</v>
      </c>
      <c r="H188" s="374">
        <f t="shared" si="20"/>
        <v>66.126080043405977</v>
      </c>
      <c r="I188" s="377">
        <f t="shared" si="21"/>
        <v>52.325904342303858</v>
      </c>
      <c r="J188" s="374">
        <f t="shared" si="22"/>
        <v>29.32561150713363</v>
      </c>
      <c r="K188" s="369">
        <f t="shared" si="23"/>
        <v>0</v>
      </c>
      <c r="L188" s="373">
        <f t="shared" si="24"/>
        <v>29.842999024779161</v>
      </c>
      <c r="M188" s="113">
        <f>L188*D188*'B) D RI'!S190</f>
        <v>5078771.1030339925</v>
      </c>
    </row>
    <row r="189" spans="1:13" x14ac:dyDescent="0.25">
      <c r="A189" s="295">
        <f>'A) Base RI'!A191</f>
        <v>5713</v>
      </c>
      <c r="B189" s="32" t="str">
        <f>'A) Base RI'!B191</f>
        <v>Crans-près-Céligny</v>
      </c>
      <c r="C189" s="293">
        <f>'B) D RI'!U191</f>
        <v>285688.37252656295</v>
      </c>
      <c r="D189" s="32">
        <f>'B) D RI'!AA191</f>
        <v>2286</v>
      </c>
      <c r="E189" s="201">
        <f t="shared" si="17"/>
        <v>124.97304135020251</v>
      </c>
      <c r="F189" s="366">
        <f t="shared" si="18"/>
        <v>2.7167706569175429</v>
      </c>
      <c r="G189" s="377">
        <f t="shared" si="19"/>
        <v>78.972455679862065</v>
      </c>
      <c r="H189" s="374">
        <f t="shared" si="20"/>
        <v>69.772338545793986</v>
      </c>
      <c r="I189" s="377">
        <f t="shared" si="21"/>
        <v>55.972162844691852</v>
      </c>
      <c r="J189" s="374">
        <f t="shared" si="22"/>
        <v>32.971870009521624</v>
      </c>
      <c r="K189" s="369">
        <f t="shared" si="23"/>
        <v>0</v>
      </c>
      <c r="L189" s="373">
        <f t="shared" si="24"/>
        <v>31.666128275973161</v>
      </c>
      <c r="M189" s="113">
        <f>L189*D189*'B) D RI'!S191</f>
        <v>4053771.0773769803</v>
      </c>
    </row>
    <row r="190" spans="1:13" x14ac:dyDescent="0.25">
      <c r="A190" s="295">
        <f>'A) Base RI'!A192</f>
        <v>5714</v>
      </c>
      <c r="B190" s="32" t="str">
        <f>'A) Base RI'!B192</f>
        <v>Crassier</v>
      </c>
      <c r="C190" s="293">
        <f>'B) D RI'!U192</f>
        <v>69464.601004636497</v>
      </c>
      <c r="D190" s="32">
        <f>'B) D RI'!AA192</f>
        <v>1169</v>
      </c>
      <c r="E190" s="201">
        <f t="shared" si="17"/>
        <v>59.422242091220269</v>
      </c>
      <c r="F190" s="366">
        <f t="shared" si="18"/>
        <v>1.2917714247610903</v>
      </c>
      <c r="G190" s="377">
        <f t="shared" si="19"/>
        <v>13.421656420879827</v>
      </c>
      <c r="H190" s="374">
        <f t="shared" si="20"/>
        <v>4.2215392868117405</v>
      </c>
      <c r="I190" s="377">
        <f t="shared" si="21"/>
        <v>0</v>
      </c>
      <c r="J190" s="374">
        <f t="shared" si="22"/>
        <v>0</v>
      </c>
      <c r="K190" s="369">
        <f t="shared" si="23"/>
        <v>0</v>
      </c>
      <c r="L190" s="373">
        <f t="shared" si="24"/>
        <v>3.1064852128571396</v>
      </c>
      <c r="M190" s="113">
        <f>L190*D190*'B) D RI'!S192</f>
        <v>246940.72254043975</v>
      </c>
    </row>
    <row r="191" spans="1:13" x14ac:dyDescent="0.25">
      <c r="A191" s="295">
        <f>'A) Base RI'!A193</f>
        <v>5715</v>
      </c>
      <c r="B191" s="32" t="str">
        <f>'A) Base RI'!B193</f>
        <v>Duillier</v>
      </c>
      <c r="C191" s="293">
        <f>'B) D RI'!U193</f>
        <v>70057.743908647069</v>
      </c>
      <c r="D191" s="32">
        <f>'B) D RI'!AA193</f>
        <v>1090</v>
      </c>
      <c r="E191" s="201">
        <f t="shared" si="17"/>
        <v>64.273159549217496</v>
      </c>
      <c r="F191" s="366">
        <f t="shared" si="18"/>
        <v>1.3972248094801665</v>
      </c>
      <c r="G191" s="377">
        <f t="shared" si="19"/>
        <v>18.272573878877054</v>
      </c>
      <c r="H191" s="374">
        <f t="shared" si="20"/>
        <v>9.0724567448089672</v>
      </c>
      <c r="I191" s="377">
        <f t="shared" si="21"/>
        <v>0</v>
      </c>
      <c r="J191" s="374">
        <f t="shared" si="22"/>
        <v>0</v>
      </c>
      <c r="K191" s="369">
        <f t="shared" si="23"/>
        <v>0</v>
      </c>
      <c r="L191" s="373">
        <f t="shared" si="24"/>
        <v>4.5617604502563074</v>
      </c>
      <c r="M191" s="113">
        <f>L191*D191*'B) D RI'!S193</f>
        <v>328173.04679143871</v>
      </c>
    </row>
    <row r="192" spans="1:13" x14ac:dyDescent="0.25">
      <c r="A192" s="295">
        <f>'A) Base RI'!A194</f>
        <v>5716</v>
      </c>
      <c r="B192" s="32" t="str">
        <f>'A) Base RI'!B194</f>
        <v>Eysins</v>
      </c>
      <c r="C192" s="293">
        <f>'B) D RI'!U194</f>
        <v>215421.00462875623</v>
      </c>
      <c r="D192" s="32">
        <f>'B) D RI'!AA194</f>
        <v>1737</v>
      </c>
      <c r="E192" s="201">
        <f t="shared" si="17"/>
        <v>124.0190009376835</v>
      </c>
      <c r="F192" s="366">
        <f t="shared" si="18"/>
        <v>2.6960309120074224</v>
      </c>
      <c r="G192" s="377">
        <f t="shared" si="19"/>
        <v>78.018415267343059</v>
      </c>
      <c r="H192" s="374">
        <f t="shared" si="20"/>
        <v>68.818298133274965</v>
      </c>
      <c r="I192" s="377">
        <f t="shared" si="21"/>
        <v>55.018122432172845</v>
      </c>
      <c r="J192" s="374">
        <f t="shared" si="22"/>
        <v>32.017829597002617</v>
      </c>
      <c r="K192" s="369">
        <f t="shared" si="23"/>
        <v>0</v>
      </c>
      <c r="L192" s="373">
        <f t="shared" si="24"/>
        <v>31.189108069713654</v>
      </c>
      <c r="M192" s="113">
        <f>L192*D192*'B) D RI'!S194</f>
        <v>3304704.3237426495</v>
      </c>
    </row>
    <row r="193" spans="1:13" x14ac:dyDescent="0.25">
      <c r="A193" s="295">
        <f>'A) Base RI'!A195</f>
        <v>5717</v>
      </c>
      <c r="B193" s="32" t="str">
        <f>'A) Base RI'!B195</f>
        <v>Founex</v>
      </c>
      <c r="C193" s="293">
        <f>'B) D RI'!U195</f>
        <v>344785.57941848523</v>
      </c>
      <c r="D193" s="32">
        <f>'B) D RI'!AA195</f>
        <v>3772</v>
      </c>
      <c r="E193" s="201">
        <f t="shared" si="17"/>
        <v>91.406569305006684</v>
      </c>
      <c r="F193" s="366">
        <f t="shared" si="18"/>
        <v>1.9870740333626322</v>
      </c>
      <c r="G193" s="377">
        <f t="shared" si="19"/>
        <v>45.405983634666242</v>
      </c>
      <c r="H193" s="374">
        <f t="shared" si="20"/>
        <v>36.205866500598155</v>
      </c>
      <c r="I193" s="377">
        <f t="shared" si="21"/>
        <v>22.405690799496028</v>
      </c>
      <c r="J193" s="374">
        <f t="shared" si="22"/>
        <v>0</v>
      </c>
      <c r="K193" s="369">
        <f t="shared" si="23"/>
        <v>0</v>
      </c>
      <c r="L193" s="373">
        <f t="shared" si="24"/>
        <v>14.942352456942666</v>
      </c>
      <c r="M193" s="113">
        <f>L193*D193*'B) D RI'!S195</f>
        <v>3212665.5476525007</v>
      </c>
    </row>
    <row r="194" spans="1:13" x14ac:dyDescent="0.25">
      <c r="A194" s="295">
        <f>'A) Base RI'!A196</f>
        <v>5718</v>
      </c>
      <c r="B194" s="32" t="str">
        <f>'A) Base RI'!B196</f>
        <v>Genolier</v>
      </c>
      <c r="C194" s="293">
        <f>'B) D RI'!U196</f>
        <v>170276.54994177341</v>
      </c>
      <c r="D194" s="32">
        <f>'B) D RI'!AA196</f>
        <v>2000</v>
      </c>
      <c r="E194" s="201">
        <f t="shared" si="17"/>
        <v>85.138274970886698</v>
      </c>
      <c r="F194" s="366">
        <f t="shared" si="18"/>
        <v>1.8508085001574417</v>
      </c>
      <c r="G194" s="377">
        <f t="shared" si="19"/>
        <v>39.137689300546256</v>
      </c>
      <c r="H194" s="374">
        <f t="shared" si="20"/>
        <v>29.937572166478169</v>
      </c>
      <c r="I194" s="377">
        <f t="shared" si="21"/>
        <v>16.137396465376042</v>
      </c>
      <c r="J194" s="374">
        <f t="shared" si="22"/>
        <v>0</v>
      </c>
      <c r="K194" s="369">
        <f t="shared" si="23"/>
        <v>0</v>
      </c>
      <c r="L194" s="373">
        <f t="shared" si="24"/>
        <v>12.435034723294674</v>
      </c>
      <c r="M194" s="113">
        <f>L194*D194*'B) D RI'!S196</f>
        <v>1367853.819562414</v>
      </c>
    </row>
    <row r="195" spans="1:13" x14ac:dyDescent="0.25">
      <c r="A195" s="295">
        <f>'A) Base RI'!A197</f>
        <v>5719</v>
      </c>
      <c r="B195" s="32" t="str">
        <f>'A) Base RI'!B197</f>
        <v>Gingins</v>
      </c>
      <c r="C195" s="293">
        <f>'B) D RI'!U197</f>
        <v>142327.02027947939</v>
      </c>
      <c r="D195" s="32">
        <f>'B) D RI'!AA197</f>
        <v>1239</v>
      </c>
      <c r="E195" s="201">
        <f t="shared" si="17"/>
        <v>114.87249417229975</v>
      </c>
      <c r="F195" s="366">
        <f t="shared" si="18"/>
        <v>2.4971963399667212</v>
      </c>
      <c r="G195" s="377">
        <f t="shared" si="19"/>
        <v>68.871908501959311</v>
      </c>
      <c r="H195" s="374">
        <f t="shared" si="20"/>
        <v>59.671791367891224</v>
      </c>
      <c r="I195" s="377">
        <f t="shared" si="21"/>
        <v>45.871615666789097</v>
      </c>
      <c r="J195" s="374">
        <f t="shared" si="22"/>
        <v>22.871322831618869</v>
      </c>
      <c r="K195" s="369">
        <f t="shared" si="23"/>
        <v>0</v>
      </c>
      <c r="L195" s="373">
        <f t="shared" si="24"/>
        <v>26.61585468702178</v>
      </c>
      <c r="M195" s="113">
        <f>L195*D195*'B) D RI'!S197</f>
        <v>1879691.505561539</v>
      </c>
    </row>
    <row r="196" spans="1:13" x14ac:dyDescent="0.25">
      <c r="A196" s="295">
        <f>'A) Base RI'!A198</f>
        <v>5720</v>
      </c>
      <c r="B196" s="32" t="str">
        <f>'A) Base RI'!B198</f>
        <v>Givrins</v>
      </c>
      <c r="C196" s="293">
        <f>'B) D RI'!U198</f>
        <v>82417.202201596621</v>
      </c>
      <c r="D196" s="32">
        <f>'B) D RI'!AA198</f>
        <v>1032</v>
      </c>
      <c r="E196" s="201">
        <f t="shared" si="17"/>
        <v>79.861630040306807</v>
      </c>
      <c r="F196" s="366">
        <f t="shared" si="18"/>
        <v>1.736100288214347</v>
      </c>
      <c r="G196" s="377">
        <f t="shared" si="19"/>
        <v>33.861044369966365</v>
      </c>
      <c r="H196" s="374">
        <f t="shared" si="20"/>
        <v>24.660927235898278</v>
      </c>
      <c r="I196" s="377">
        <f t="shared" si="21"/>
        <v>10.860751534796151</v>
      </c>
      <c r="J196" s="374">
        <f t="shared" si="22"/>
        <v>0</v>
      </c>
      <c r="K196" s="369">
        <f t="shared" si="23"/>
        <v>0</v>
      </c>
      <c r="L196" s="373">
        <f t="shared" si="24"/>
        <v>10.324376751062715</v>
      </c>
      <c r="M196" s="113">
        <f>L196*D196*'B) D RI'!S198</f>
        <v>713868.70607548044</v>
      </c>
    </row>
    <row r="197" spans="1:13" x14ac:dyDescent="0.25">
      <c r="A197" s="295">
        <f>'A) Base RI'!A199</f>
        <v>5721</v>
      </c>
      <c r="B197" s="32" t="str">
        <f>'A) Base RI'!B199</f>
        <v>Gland</v>
      </c>
      <c r="C197" s="293">
        <f>'B) D RI'!U199</f>
        <v>657906.43691215932</v>
      </c>
      <c r="D197" s="32">
        <f>'B) D RI'!AA199</f>
        <v>13194</v>
      </c>
      <c r="E197" s="201">
        <f t="shared" ref="E197:E260" si="25">C197/D197</f>
        <v>49.864062218596281</v>
      </c>
      <c r="F197" s="366">
        <f t="shared" ref="F197:F260" si="26">E197/$E$313</f>
        <v>1.0839875512877843</v>
      </c>
      <c r="G197" s="377">
        <f t="shared" ref="G197:G260" si="27">IF(E197-$G$2&lt;0,0,E197-$G$2)</f>
        <v>3.8634765482558393</v>
      </c>
      <c r="H197" s="374">
        <f t="shared" ref="H197:H260" si="28">IF(E197-$H$2&lt;0,0,E197-$H$2)</f>
        <v>0</v>
      </c>
      <c r="I197" s="377">
        <f t="shared" ref="I197:I260" si="29">IF(E197-$I$2&lt;0,0,E197-$I$2)</f>
        <v>0</v>
      </c>
      <c r="J197" s="374">
        <f t="shared" ref="J197:J260" si="30">IF(E197-$J$2&lt;0,0,E197-$J$2)</f>
        <v>0</v>
      </c>
      <c r="K197" s="369">
        <f t="shared" ref="K197:K260" si="31">IF(E197-$K$2&lt;0,0,E197-$K$2)</f>
        <v>0</v>
      </c>
      <c r="L197" s="373">
        <f t="shared" ref="L197:L260" si="32">(G197-H197)*$G$3+(H197-I197)*$H$3+(I197-J197)*$I$3+(J197-K197)*$J$3+(K197*$K$3)</f>
        <v>0.77269530965116795</v>
      </c>
      <c r="M197" s="113">
        <f>L197*D197*'B) D RI'!S199</f>
        <v>637183.86972109438</v>
      </c>
    </row>
    <row r="198" spans="1:13" x14ac:dyDescent="0.25">
      <c r="A198" s="295">
        <f>'A) Base RI'!A200</f>
        <v>5722</v>
      </c>
      <c r="B198" s="32" t="str">
        <f>'A) Base RI'!B200</f>
        <v>Grens</v>
      </c>
      <c r="C198" s="293">
        <f>'B) D RI'!U200</f>
        <v>20260.981774193551</v>
      </c>
      <c r="D198" s="32">
        <f>'B) D RI'!AA200</f>
        <v>383</v>
      </c>
      <c r="E198" s="201">
        <f t="shared" si="25"/>
        <v>52.900735702855222</v>
      </c>
      <c r="F198" s="366">
        <f t="shared" si="26"/>
        <v>1.1500013517646093</v>
      </c>
      <c r="G198" s="377">
        <f t="shared" si="27"/>
        <v>6.9001500325147802</v>
      </c>
      <c r="H198" s="374">
        <f t="shared" si="28"/>
        <v>0</v>
      </c>
      <c r="I198" s="377">
        <f t="shared" si="29"/>
        <v>0</v>
      </c>
      <c r="J198" s="374">
        <f t="shared" si="30"/>
        <v>0</v>
      </c>
      <c r="K198" s="369">
        <f t="shared" si="31"/>
        <v>0</v>
      </c>
      <c r="L198" s="373">
        <f t="shared" si="32"/>
        <v>1.380030006502956</v>
      </c>
      <c r="M198" s="113">
        <f>L198*D198*'B) D RI'!S200</f>
        <v>32770.192534419199</v>
      </c>
    </row>
    <row r="199" spans="1:13" x14ac:dyDescent="0.25">
      <c r="A199" s="295">
        <f>'A) Base RI'!A201</f>
        <v>5723</v>
      </c>
      <c r="B199" s="32" t="str">
        <f>'A) Base RI'!B201</f>
        <v>Mies</v>
      </c>
      <c r="C199" s="293">
        <f>'B) D RI'!U201</f>
        <v>196584.50934585766</v>
      </c>
      <c r="D199" s="32">
        <f>'B) D RI'!AA201</f>
        <v>2116</v>
      </c>
      <c r="E199" s="201">
        <f t="shared" si="25"/>
        <v>92.903832394072623</v>
      </c>
      <c r="F199" s="366">
        <f t="shared" si="26"/>
        <v>2.019622816541089</v>
      </c>
      <c r="G199" s="377">
        <f t="shared" si="27"/>
        <v>46.903246723732181</v>
      </c>
      <c r="H199" s="374">
        <f t="shared" si="28"/>
        <v>37.703129589664094</v>
      </c>
      <c r="I199" s="377">
        <f t="shared" si="29"/>
        <v>23.902953888561967</v>
      </c>
      <c r="J199" s="374">
        <f t="shared" si="30"/>
        <v>0.90266105339173919</v>
      </c>
      <c r="K199" s="369">
        <f t="shared" si="31"/>
        <v>0</v>
      </c>
      <c r="L199" s="373">
        <f t="shared" si="32"/>
        <v>15.631523797908217</v>
      </c>
      <c r="M199" s="113">
        <f>L199*D199*'B) D RI'!S201</f>
        <v>1753044.1308878108</v>
      </c>
    </row>
    <row r="200" spans="1:13" x14ac:dyDescent="0.25">
      <c r="A200" s="295">
        <f>'A) Base RI'!A202</f>
        <v>5724</v>
      </c>
      <c r="B200" s="32" t="str">
        <f>'A) Base RI'!B202</f>
        <v>Nyon</v>
      </c>
      <c r="C200" s="293">
        <f>'B) D RI'!U202</f>
        <v>1385271.3719392153</v>
      </c>
      <c r="D200" s="32">
        <f>'B) D RI'!AA202</f>
        <v>21416</v>
      </c>
      <c r="E200" s="201">
        <f t="shared" si="25"/>
        <v>64.683945271722791</v>
      </c>
      <c r="F200" s="366">
        <f t="shared" si="26"/>
        <v>1.4061548201858813</v>
      </c>
      <c r="G200" s="377">
        <f t="shared" si="27"/>
        <v>18.68335960138235</v>
      </c>
      <c r="H200" s="374">
        <f t="shared" si="28"/>
        <v>9.4832424673142626</v>
      </c>
      <c r="I200" s="377">
        <f t="shared" si="29"/>
        <v>0</v>
      </c>
      <c r="J200" s="374">
        <f t="shared" si="30"/>
        <v>0</v>
      </c>
      <c r="K200" s="369">
        <f t="shared" si="31"/>
        <v>0</v>
      </c>
      <c r="L200" s="373">
        <f t="shared" si="32"/>
        <v>4.6849961670078963</v>
      </c>
      <c r="M200" s="113">
        <f>L200*D200*'B) D RI'!S202</f>
        <v>6120366.5526711075</v>
      </c>
    </row>
    <row r="201" spans="1:13" x14ac:dyDescent="0.25">
      <c r="A201" s="295">
        <f>'A) Base RI'!A203</f>
        <v>5725</v>
      </c>
      <c r="B201" s="32" t="str">
        <f>'A) Base RI'!B203</f>
        <v>Prangins</v>
      </c>
      <c r="C201" s="293">
        <f>'B) D RI'!U203</f>
        <v>342757.72234116954</v>
      </c>
      <c r="D201" s="32">
        <f>'B) D RI'!AA203</f>
        <v>4088</v>
      </c>
      <c r="E201" s="201">
        <f t="shared" si="25"/>
        <v>83.844844016920149</v>
      </c>
      <c r="F201" s="366">
        <f t="shared" si="26"/>
        <v>1.8226907939343988</v>
      </c>
      <c r="G201" s="377">
        <f t="shared" si="27"/>
        <v>37.844258346579707</v>
      </c>
      <c r="H201" s="374">
        <f t="shared" si="28"/>
        <v>28.64414121251162</v>
      </c>
      <c r="I201" s="377">
        <f t="shared" si="29"/>
        <v>14.843965511409493</v>
      </c>
      <c r="J201" s="374">
        <f t="shared" si="30"/>
        <v>0</v>
      </c>
      <c r="K201" s="369">
        <f t="shared" si="31"/>
        <v>0</v>
      </c>
      <c r="L201" s="373">
        <f t="shared" si="32"/>
        <v>11.917662341708052</v>
      </c>
      <c r="M201" s="113">
        <f>L201*D201*'B) D RI'!S203</f>
        <v>2728286.604562541</v>
      </c>
    </row>
    <row r="202" spans="1:13" x14ac:dyDescent="0.25">
      <c r="A202" s="295">
        <f>'A) Base RI'!A204</f>
        <v>5726</v>
      </c>
      <c r="B202" s="32" t="str">
        <f>'A) Base RI'!B204</f>
        <v>La Rippe</v>
      </c>
      <c r="C202" s="293">
        <f>'B) D RI'!U204</f>
        <v>61259.007150466066</v>
      </c>
      <c r="D202" s="32">
        <f>'B) D RI'!AA204</f>
        <v>1136</v>
      </c>
      <c r="E202" s="201">
        <f t="shared" si="25"/>
        <v>53.925182350762384</v>
      </c>
      <c r="F202" s="366">
        <f t="shared" si="26"/>
        <v>1.1722716475223367</v>
      </c>
      <c r="G202" s="377">
        <f t="shared" si="27"/>
        <v>7.9245966804219421</v>
      </c>
      <c r="H202" s="374">
        <f t="shared" si="28"/>
        <v>0</v>
      </c>
      <c r="I202" s="377">
        <f t="shared" si="29"/>
        <v>0</v>
      </c>
      <c r="J202" s="374">
        <f t="shared" si="30"/>
        <v>0</v>
      </c>
      <c r="K202" s="369">
        <f t="shared" si="31"/>
        <v>0</v>
      </c>
      <c r="L202" s="373">
        <f t="shared" si="32"/>
        <v>1.5849193360843885</v>
      </c>
      <c r="M202" s="113">
        <f>L202*D202*'B) D RI'!S204</f>
        <v>117030.44377647125</v>
      </c>
    </row>
    <row r="203" spans="1:13" x14ac:dyDescent="0.25">
      <c r="A203" s="295">
        <f>'A) Base RI'!A205</f>
        <v>5727</v>
      </c>
      <c r="B203" s="32" t="str">
        <f>'A) Base RI'!B205</f>
        <v>Saint-Cergue</v>
      </c>
      <c r="C203" s="293">
        <f>'B) D RI'!U205</f>
        <v>96033.059668733855</v>
      </c>
      <c r="D203" s="32">
        <f>'B) D RI'!AA205</f>
        <v>2603</v>
      </c>
      <c r="E203" s="201">
        <f t="shared" si="25"/>
        <v>36.893223076732177</v>
      </c>
      <c r="F203" s="366">
        <f t="shared" si="26"/>
        <v>0.80201637738103038</v>
      </c>
      <c r="G203" s="377">
        <f t="shared" si="27"/>
        <v>0</v>
      </c>
      <c r="H203" s="374">
        <f t="shared" si="28"/>
        <v>0</v>
      </c>
      <c r="I203" s="377">
        <f t="shared" si="29"/>
        <v>0</v>
      </c>
      <c r="J203" s="374">
        <f t="shared" si="30"/>
        <v>0</v>
      </c>
      <c r="K203" s="369">
        <f t="shared" si="31"/>
        <v>0</v>
      </c>
      <c r="L203" s="373">
        <f t="shared" si="32"/>
        <v>0</v>
      </c>
      <c r="M203" s="113">
        <f>L203*D203*'B) D RI'!S205</f>
        <v>0</v>
      </c>
    </row>
    <row r="204" spans="1:13" x14ac:dyDescent="0.25">
      <c r="A204" s="295">
        <f>'A) Base RI'!A206</f>
        <v>5728</v>
      </c>
      <c r="B204" s="32" t="str">
        <f>'A) Base RI'!B206</f>
        <v>Signy-Avenex</v>
      </c>
      <c r="C204" s="293">
        <f>'B) D RI'!U206</f>
        <v>43425.016490818416</v>
      </c>
      <c r="D204" s="32">
        <f>'B) D RI'!AA206</f>
        <v>586</v>
      </c>
      <c r="E204" s="201">
        <f t="shared" si="25"/>
        <v>74.104123704468293</v>
      </c>
      <c r="F204" s="366">
        <f t="shared" si="26"/>
        <v>1.6109387005532849</v>
      </c>
      <c r="G204" s="377">
        <f t="shared" si="27"/>
        <v>28.103538034127851</v>
      </c>
      <c r="H204" s="374">
        <f t="shared" si="28"/>
        <v>18.903420900059764</v>
      </c>
      <c r="I204" s="377">
        <f t="shared" si="29"/>
        <v>5.1032451989576373</v>
      </c>
      <c r="J204" s="374">
        <f t="shared" si="30"/>
        <v>0</v>
      </c>
      <c r="K204" s="369">
        <f t="shared" si="31"/>
        <v>0</v>
      </c>
      <c r="L204" s="373">
        <f t="shared" si="32"/>
        <v>8.0213742167273097</v>
      </c>
      <c r="M204" s="113">
        <f>L204*D204*'B) D RI'!S206</f>
        <v>272630.46687812783</v>
      </c>
    </row>
    <row r="205" spans="1:13" x14ac:dyDescent="0.25">
      <c r="A205" s="295">
        <f>'A) Base RI'!A207</f>
        <v>5729</v>
      </c>
      <c r="B205" s="32" t="str">
        <f>'A) Base RI'!B207</f>
        <v>Tannay</v>
      </c>
      <c r="C205" s="293">
        <f>'B) D RI'!U207</f>
        <v>176785.12407552512</v>
      </c>
      <c r="D205" s="32">
        <f>'B) D RI'!AA207</f>
        <v>1600</v>
      </c>
      <c r="E205" s="201">
        <f t="shared" si="25"/>
        <v>110.4907025472032</v>
      </c>
      <c r="F205" s="366">
        <f t="shared" si="26"/>
        <v>2.4019412130755482</v>
      </c>
      <c r="G205" s="377">
        <f t="shared" si="27"/>
        <v>64.490116876862757</v>
      </c>
      <c r="H205" s="374">
        <f t="shared" si="28"/>
        <v>55.28999974279467</v>
      </c>
      <c r="I205" s="377">
        <f t="shared" si="29"/>
        <v>41.489824041692543</v>
      </c>
      <c r="J205" s="374">
        <f t="shared" si="30"/>
        <v>18.489531206522315</v>
      </c>
      <c r="K205" s="369">
        <f t="shared" si="31"/>
        <v>0</v>
      </c>
      <c r="L205" s="373">
        <f t="shared" si="32"/>
        <v>24.424958874473504</v>
      </c>
      <c r="M205" s="113">
        <f>L205*D205*'B) D RI'!S207</f>
        <v>2383875.986148614</v>
      </c>
    </row>
    <row r="206" spans="1:13" x14ac:dyDescent="0.25">
      <c r="A206" s="295">
        <f>'A) Base RI'!A208</f>
        <v>5730</v>
      </c>
      <c r="B206" s="32" t="str">
        <f>'A) Base RI'!B208</f>
        <v>Trélex</v>
      </c>
      <c r="C206" s="293">
        <f>'B) D RI'!U208</f>
        <v>134389.74453035684</v>
      </c>
      <c r="D206" s="32">
        <f>'B) D RI'!AA208</f>
        <v>1434</v>
      </c>
      <c r="E206" s="201">
        <f t="shared" si="25"/>
        <v>93.716697719914109</v>
      </c>
      <c r="F206" s="366">
        <f t="shared" si="26"/>
        <v>2.0372935769019858</v>
      </c>
      <c r="G206" s="377">
        <f t="shared" si="27"/>
        <v>47.716112049573667</v>
      </c>
      <c r="H206" s="374">
        <f t="shared" si="28"/>
        <v>38.51599491550558</v>
      </c>
      <c r="I206" s="377">
        <f t="shared" si="29"/>
        <v>24.715819214403453</v>
      </c>
      <c r="J206" s="374">
        <f t="shared" si="30"/>
        <v>1.7155263792332249</v>
      </c>
      <c r="K206" s="369">
        <f t="shared" si="31"/>
        <v>0</v>
      </c>
      <c r="L206" s="373">
        <f t="shared" si="32"/>
        <v>16.037956460828958</v>
      </c>
      <c r="M206" s="113">
        <f>L206*D206*'B) D RI'!S208</f>
        <v>1310910.4851952374</v>
      </c>
    </row>
    <row r="207" spans="1:13" x14ac:dyDescent="0.25">
      <c r="A207" s="295">
        <f>'A) Base RI'!A209</f>
        <v>5731</v>
      </c>
      <c r="B207" s="32" t="str">
        <f>'A) Base RI'!B209</f>
        <v>Le Vaud</v>
      </c>
      <c r="C207" s="293">
        <f>'B) D RI'!U209</f>
        <v>61951.44694342916</v>
      </c>
      <c r="D207" s="32">
        <f>'B) D RI'!AA209</f>
        <v>1362</v>
      </c>
      <c r="E207" s="201">
        <f t="shared" si="25"/>
        <v>45.485643864485432</v>
      </c>
      <c r="F207" s="366">
        <f t="shared" si="26"/>
        <v>0.98880575544091331</v>
      </c>
      <c r="G207" s="377">
        <f t="shared" si="27"/>
        <v>0</v>
      </c>
      <c r="H207" s="374">
        <f t="shared" si="28"/>
        <v>0</v>
      </c>
      <c r="I207" s="377">
        <f t="shared" si="29"/>
        <v>0</v>
      </c>
      <c r="J207" s="374">
        <f t="shared" si="30"/>
        <v>0</v>
      </c>
      <c r="K207" s="369">
        <f t="shared" si="31"/>
        <v>0</v>
      </c>
      <c r="L207" s="373">
        <f t="shared" si="32"/>
        <v>0</v>
      </c>
      <c r="M207" s="113">
        <f>L207*D207*'B) D RI'!S209</f>
        <v>0</v>
      </c>
    </row>
    <row r="208" spans="1:13" x14ac:dyDescent="0.25">
      <c r="A208" s="295">
        <f>'A) Base RI'!A210</f>
        <v>5732</v>
      </c>
      <c r="B208" s="32" t="str">
        <f>'A) Base RI'!B210</f>
        <v>Vich</v>
      </c>
      <c r="C208" s="293">
        <f>'B) D RI'!U210</f>
        <v>62590.343939393941</v>
      </c>
      <c r="D208" s="32">
        <f>'B) D RI'!AA210</f>
        <v>1083</v>
      </c>
      <c r="E208" s="201">
        <f t="shared" si="25"/>
        <v>57.793484708581666</v>
      </c>
      <c r="F208" s="366">
        <f t="shared" si="26"/>
        <v>1.2563641063779949</v>
      </c>
      <c r="G208" s="377">
        <f t="shared" si="27"/>
        <v>11.792899038241224</v>
      </c>
      <c r="H208" s="374">
        <f t="shared" si="28"/>
        <v>2.5927819041731368</v>
      </c>
      <c r="I208" s="377">
        <f t="shared" si="29"/>
        <v>0</v>
      </c>
      <c r="J208" s="374">
        <f t="shared" si="30"/>
        <v>0</v>
      </c>
      <c r="K208" s="369">
        <f t="shared" si="31"/>
        <v>0</v>
      </c>
      <c r="L208" s="373">
        <f t="shared" si="32"/>
        <v>2.6178579980655585</v>
      </c>
      <c r="M208" s="113">
        <f>L208*D208*'B) D RI'!S210</f>
        <v>187119.25398573</v>
      </c>
    </row>
    <row r="209" spans="1:13" x14ac:dyDescent="0.25">
      <c r="A209" s="295">
        <f>'A) Base RI'!A211</f>
        <v>5741</v>
      </c>
      <c r="B209" s="32" t="str">
        <f>'A) Base RI'!B211</f>
        <v>L'Abergement</v>
      </c>
      <c r="C209" s="293">
        <f>'B) D RI'!U211</f>
        <v>7136.3252688010616</v>
      </c>
      <c r="D209" s="32">
        <f>'B) D RI'!AA211</f>
        <v>244</v>
      </c>
      <c r="E209" s="201">
        <f t="shared" si="25"/>
        <v>29.247234708201074</v>
      </c>
      <c r="F209" s="366">
        <f t="shared" si="26"/>
        <v>0.63580135517836811</v>
      </c>
      <c r="G209" s="377">
        <f t="shared" si="27"/>
        <v>0</v>
      </c>
      <c r="H209" s="374">
        <f t="shared" si="28"/>
        <v>0</v>
      </c>
      <c r="I209" s="377">
        <f t="shared" si="29"/>
        <v>0</v>
      </c>
      <c r="J209" s="374">
        <f t="shared" si="30"/>
        <v>0</v>
      </c>
      <c r="K209" s="369">
        <f t="shared" si="31"/>
        <v>0</v>
      </c>
      <c r="L209" s="373">
        <f t="shared" si="32"/>
        <v>0</v>
      </c>
      <c r="M209" s="113">
        <f>L209*D209*'B) D RI'!S211</f>
        <v>0</v>
      </c>
    </row>
    <row r="210" spans="1:13" x14ac:dyDescent="0.25">
      <c r="A210" s="295">
        <f>'A) Base RI'!A212</f>
        <v>5742</v>
      </c>
      <c r="B210" s="32" t="str">
        <f>'A) Base RI'!B212</f>
        <v>Agiez</v>
      </c>
      <c r="C210" s="293">
        <f>'B) D RI'!U212</f>
        <v>9012.3275646255879</v>
      </c>
      <c r="D210" s="32">
        <f>'B) D RI'!AA212</f>
        <v>354</v>
      </c>
      <c r="E210" s="201">
        <f t="shared" si="25"/>
        <v>25.458552442445164</v>
      </c>
      <c r="F210" s="366">
        <f t="shared" si="26"/>
        <v>0.55343974585219124</v>
      </c>
      <c r="G210" s="377">
        <f t="shared" si="27"/>
        <v>0</v>
      </c>
      <c r="H210" s="374">
        <f t="shared" si="28"/>
        <v>0</v>
      </c>
      <c r="I210" s="377">
        <f t="shared" si="29"/>
        <v>0</v>
      </c>
      <c r="J210" s="374">
        <f t="shared" si="30"/>
        <v>0</v>
      </c>
      <c r="K210" s="369">
        <f t="shared" si="31"/>
        <v>0</v>
      </c>
      <c r="L210" s="373">
        <f t="shared" si="32"/>
        <v>0</v>
      </c>
      <c r="M210" s="113">
        <f>L210*D210*'B) D RI'!S212</f>
        <v>0</v>
      </c>
    </row>
    <row r="211" spans="1:13" x14ac:dyDescent="0.25">
      <c r="A211" s="295">
        <f>'A) Base RI'!A213</f>
        <v>5743</v>
      </c>
      <c r="B211" s="32" t="str">
        <f>'A) Base RI'!B213</f>
        <v>Arnex-sur-Orbe</v>
      </c>
      <c r="C211" s="293">
        <f>'B) D RI'!U213</f>
        <v>18985.341168070638</v>
      </c>
      <c r="D211" s="32">
        <f>'B) D RI'!AA213</f>
        <v>633</v>
      </c>
      <c r="E211" s="201">
        <f t="shared" si="25"/>
        <v>29.992640075940976</v>
      </c>
      <c r="F211" s="366">
        <f t="shared" si="26"/>
        <v>0.65200561338242213</v>
      </c>
      <c r="G211" s="377">
        <f t="shared" si="27"/>
        <v>0</v>
      </c>
      <c r="H211" s="374">
        <f t="shared" si="28"/>
        <v>0</v>
      </c>
      <c r="I211" s="377">
        <f t="shared" si="29"/>
        <v>0</v>
      </c>
      <c r="J211" s="374">
        <f t="shared" si="30"/>
        <v>0</v>
      </c>
      <c r="K211" s="369">
        <f t="shared" si="31"/>
        <v>0</v>
      </c>
      <c r="L211" s="373">
        <f t="shared" si="32"/>
        <v>0</v>
      </c>
      <c r="M211" s="113">
        <f>L211*D211*'B) D RI'!S213</f>
        <v>0</v>
      </c>
    </row>
    <row r="212" spans="1:13" x14ac:dyDescent="0.25">
      <c r="A212" s="295">
        <f>'A) Base RI'!A214</f>
        <v>5744</v>
      </c>
      <c r="B212" s="32" t="str">
        <f>'A) Base RI'!B214</f>
        <v>Ballaigues</v>
      </c>
      <c r="C212" s="293">
        <f>'B) D RI'!U214</f>
        <v>59853.218669078378</v>
      </c>
      <c r="D212" s="32">
        <f>'B) D RI'!AA214</f>
        <v>1108</v>
      </c>
      <c r="E212" s="201">
        <f t="shared" si="25"/>
        <v>54.019150423355939</v>
      </c>
      <c r="F212" s="366">
        <f t="shared" si="26"/>
        <v>1.1743144057008297</v>
      </c>
      <c r="G212" s="377">
        <f t="shared" si="27"/>
        <v>8.0185647530154966</v>
      </c>
      <c r="H212" s="374">
        <f t="shared" si="28"/>
        <v>0</v>
      </c>
      <c r="I212" s="377">
        <f t="shared" si="29"/>
        <v>0</v>
      </c>
      <c r="J212" s="374">
        <f t="shared" si="30"/>
        <v>0</v>
      </c>
      <c r="K212" s="369">
        <f t="shared" si="31"/>
        <v>0</v>
      </c>
      <c r="L212" s="373">
        <f t="shared" si="32"/>
        <v>1.6037129506030994</v>
      </c>
      <c r="M212" s="113">
        <f>L212*D212*'B) D RI'!S214</f>
        <v>117276.32065170346</v>
      </c>
    </row>
    <row r="213" spans="1:13" x14ac:dyDescent="0.25">
      <c r="A213" s="295">
        <f>'A) Base RI'!A215</f>
        <v>5745</v>
      </c>
      <c r="B213" s="32" t="str">
        <f>'A) Base RI'!B215</f>
        <v>Baulmes</v>
      </c>
      <c r="C213" s="293">
        <f>'B) D RI'!U215</f>
        <v>27688.42729631942</v>
      </c>
      <c r="D213" s="32">
        <f>'B) D RI'!AA215</f>
        <v>1042</v>
      </c>
      <c r="E213" s="201">
        <f t="shared" si="25"/>
        <v>26.572387040613648</v>
      </c>
      <c r="F213" s="366">
        <f t="shared" si="26"/>
        <v>0.57765323317930251</v>
      </c>
      <c r="G213" s="377">
        <f t="shared" si="27"/>
        <v>0</v>
      </c>
      <c r="H213" s="374">
        <f t="shared" si="28"/>
        <v>0</v>
      </c>
      <c r="I213" s="377">
        <f t="shared" si="29"/>
        <v>0</v>
      </c>
      <c r="J213" s="374">
        <f t="shared" si="30"/>
        <v>0</v>
      </c>
      <c r="K213" s="369">
        <f t="shared" si="31"/>
        <v>0</v>
      </c>
      <c r="L213" s="373">
        <f t="shared" si="32"/>
        <v>0</v>
      </c>
      <c r="M213" s="113">
        <f>L213*D213*'B) D RI'!S215</f>
        <v>0</v>
      </c>
    </row>
    <row r="214" spans="1:13" x14ac:dyDescent="0.25">
      <c r="A214" s="295">
        <f>'A) Base RI'!A216</f>
        <v>5746</v>
      </c>
      <c r="B214" s="32" t="str">
        <f>'A) Base RI'!B216</f>
        <v>Bavois</v>
      </c>
      <c r="C214" s="293">
        <f>'B) D RI'!U216</f>
        <v>26210.064905994277</v>
      </c>
      <c r="D214" s="32">
        <f>'B) D RI'!AA216</f>
        <v>952</v>
      </c>
      <c r="E214" s="201">
        <f t="shared" si="25"/>
        <v>27.531580783607435</v>
      </c>
      <c r="F214" s="366">
        <f t="shared" si="26"/>
        <v>0.59850500558645781</v>
      </c>
      <c r="G214" s="377">
        <f t="shared" si="27"/>
        <v>0</v>
      </c>
      <c r="H214" s="374">
        <f t="shared" si="28"/>
        <v>0</v>
      </c>
      <c r="I214" s="377">
        <f t="shared" si="29"/>
        <v>0</v>
      </c>
      <c r="J214" s="374">
        <f t="shared" si="30"/>
        <v>0</v>
      </c>
      <c r="K214" s="369">
        <f t="shared" si="31"/>
        <v>0</v>
      </c>
      <c r="L214" s="373">
        <f t="shared" si="32"/>
        <v>0</v>
      </c>
      <c r="M214" s="113">
        <f>L214*D214*'B) D RI'!S216</f>
        <v>0</v>
      </c>
    </row>
    <row r="215" spans="1:13" x14ac:dyDescent="0.25">
      <c r="A215" s="295">
        <f>'A) Base RI'!A217</f>
        <v>5747</v>
      </c>
      <c r="B215" s="32" t="str">
        <f>'A) Base RI'!B217</f>
        <v>Bofflens</v>
      </c>
      <c r="C215" s="293">
        <f>'B) D RI'!U217</f>
        <v>5918.808029883834</v>
      </c>
      <c r="D215" s="32">
        <f>'B) D RI'!AA217</f>
        <v>194</v>
      </c>
      <c r="E215" s="201">
        <f t="shared" si="25"/>
        <v>30.509319741669248</v>
      </c>
      <c r="F215" s="366">
        <f t="shared" si="26"/>
        <v>0.66323763702296912</v>
      </c>
      <c r="G215" s="377">
        <f t="shared" si="27"/>
        <v>0</v>
      </c>
      <c r="H215" s="374">
        <f t="shared" si="28"/>
        <v>0</v>
      </c>
      <c r="I215" s="377">
        <f t="shared" si="29"/>
        <v>0</v>
      </c>
      <c r="J215" s="374">
        <f t="shared" si="30"/>
        <v>0</v>
      </c>
      <c r="K215" s="369">
        <f t="shared" si="31"/>
        <v>0</v>
      </c>
      <c r="L215" s="373">
        <f t="shared" si="32"/>
        <v>0</v>
      </c>
      <c r="M215" s="113">
        <f>L215*D215*'B) D RI'!S217</f>
        <v>0</v>
      </c>
    </row>
    <row r="216" spans="1:13" x14ac:dyDescent="0.25">
      <c r="A216" s="295">
        <f>'A) Base RI'!A218</f>
        <v>5748</v>
      </c>
      <c r="B216" s="32" t="str">
        <f>'A) Base RI'!B218</f>
        <v>Bretonnières</v>
      </c>
      <c r="C216" s="293">
        <f>'B) D RI'!U218</f>
        <v>7309.8392085479882</v>
      </c>
      <c r="D216" s="32">
        <f>'B) D RI'!AA218</f>
        <v>269</v>
      </c>
      <c r="E216" s="201">
        <f t="shared" si="25"/>
        <v>27.174123451851258</v>
      </c>
      <c r="F216" s="366">
        <f t="shared" si="26"/>
        <v>0.59073429296297364</v>
      </c>
      <c r="G216" s="377">
        <f t="shared" si="27"/>
        <v>0</v>
      </c>
      <c r="H216" s="374">
        <f t="shared" si="28"/>
        <v>0</v>
      </c>
      <c r="I216" s="377">
        <f t="shared" si="29"/>
        <v>0</v>
      </c>
      <c r="J216" s="374">
        <f t="shared" si="30"/>
        <v>0</v>
      </c>
      <c r="K216" s="369">
        <f t="shared" si="31"/>
        <v>0</v>
      </c>
      <c r="L216" s="373">
        <f t="shared" si="32"/>
        <v>0</v>
      </c>
      <c r="M216" s="113">
        <f>L216*D216*'B) D RI'!S218</f>
        <v>0</v>
      </c>
    </row>
    <row r="217" spans="1:13" x14ac:dyDescent="0.25">
      <c r="A217" s="295">
        <f>'A) Base RI'!A219</f>
        <v>5749</v>
      </c>
      <c r="B217" s="32" t="str">
        <f>'A) Base RI'!B219</f>
        <v>Chavornay</v>
      </c>
      <c r="C217" s="293">
        <f>'B) D RI'!U219</f>
        <v>132437.33386463847</v>
      </c>
      <c r="D217" s="32">
        <f>'B) D RI'!AA219</f>
        <v>5135</v>
      </c>
      <c r="E217" s="201">
        <f t="shared" si="25"/>
        <v>25.791106886979254</v>
      </c>
      <c r="F217" s="366">
        <f t="shared" si="26"/>
        <v>0.56066909825473055</v>
      </c>
      <c r="G217" s="377">
        <f t="shared" si="27"/>
        <v>0</v>
      </c>
      <c r="H217" s="374">
        <f t="shared" si="28"/>
        <v>0</v>
      </c>
      <c r="I217" s="377">
        <f t="shared" si="29"/>
        <v>0</v>
      </c>
      <c r="J217" s="374">
        <f t="shared" si="30"/>
        <v>0</v>
      </c>
      <c r="K217" s="369">
        <f t="shared" si="31"/>
        <v>0</v>
      </c>
      <c r="L217" s="373">
        <f t="shared" si="32"/>
        <v>0</v>
      </c>
      <c r="M217" s="113">
        <f>L217*D217*'B) D RI'!S219</f>
        <v>0</v>
      </c>
    </row>
    <row r="218" spans="1:13" x14ac:dyDescent="0.25">
      <c r="A218" s="295">
        <f>'A) Base RI'!A220</f>
        <v>5750</v>
      </c>
      <c r="B218" s="32" t="str">
        <f>'A) Base RI'!B220</f>
        <v>Les Clées</v>
      </c>
      <c r="C218" s="293">
        <f>'B) D RI'!U220</f>
        <v>5045.6080220470376</v>
      </c>
      <c r="D218" s="32">
        <f>'B) D RI'!AA220</f>
        <v>185</v>
      </c>
      <c r="E218" s="201">
        <f t="shared" si="25"/>
        <v>27.273556875929934</v>
      </c>
      <c r="F218" s="366">
        <f t="shared" si="26"/>
        <v>0.5928958616175829</v>
      </c>
      <c r="G218" s="377">
        <f t="shared" si="27"/>
        <v>0</v>
      </c>
      <c r="H218" s="374">
        <f t="shared" si="28"/>
        <v>0</v>
      </c>
      <c r="I218" s="377">
        <f t="shared" si="29"/>
        <v>0</v>
      </c>
      <c r="J218" s="374">
        <f t="shared" si="30"/>
        <v>0</v>
      </c>
      <c r="K218" s="369">
        <f t="shared" si="31"/>
        <v>0</v>
      </c>
      <c r="L218" s="373">
        <f t="shared" si="32"/>
        <v>0</v>
      </c>
      <c r="M218" s="113">
        <f>L218*D218*'B) D RI'!S220</f>
        <v>0</v>
      </c>
    </row>
    <row r="219" spans="1:13" x14ac:dyDescent="0.25">
      <c r="A219" s="295">
        <f>'A) Base RI'!A221</f>
        <v>5752</v>
      </c>
      <c r="B219" s="32" t="str">
        <f>'A) Base RI'!B221</f>
        <v>Croy</v>
      </c>
      <c r="C219" s="293">
        <f>'B) D RI'!U221</f>
        <v>9708.3693774468666</v>
      </c>
      <c r="D219" s="32">
        <f>'B) D RI'!AA221</f>
        <v>403</v>
      </c>
      <c r="E219" s="201">
        <f t="shared" si="25"/>
        <v>24.090246594160959</v>
      </c>
      <c r="F219" s="366">
        <f t="shared" si="26"/>
        <v>0.52369434525903225</v>
      </c>
      <c r="G219" s="377">
        <f t="shared" si="27"/>
        <v>0</v>
      </c>
      <c r="H219" s="374">
        <f t="shared" si="28"/>
        <v>0</v>
      </c>
      <c r="I219" s="377">
        <f t="shared" si="29"/>
        <v>0</v>
      </c>
      <c r="J219" s="374">
        <f t="shared" si="30"/>
        <v>0</v>
      </c>
      <c r="K219" s="369">
        <f t="shared" si="31"/>
        <v>0</v>
      </c>
      <c r="L219" s="373">
        <f t="shared" si="32"/>
        <v>0</v>
      </c>
      <c r="M219" s="113">
        <f>L219*D219*'B) D RI'!S221</f>
        <v>0</v>
      </c>
    </row>
    <row r="220" spans="1:13" x14ac:dyDescent="0.25">
      <c r="A220" s="295">
        <f>'A) Base RI'!A222</f>
        <v>5754</v>
      </c>
      <c r="B220" s="32" t="str">
        <f>'A) Base RI'!B222</f>
        <v>Juriens</v>
      </c>
      <c r="C220" s="293">
        <f>'B) D RI'!U222</f>
        <v>9236.0554663405946</v>
      </c>
      <c r="D220" s="32">
        <f>'B) D RI'!AA222</f>
        <v>328</v>
      </c>
      <c r="E220" s="201">
        <f t="shared" si="25"/>
        <v>28.158705690062789</v>
      </c>
      <c r="F220" s="366">
        <f t="shared" si="26"/>
        <v>0.6121379821522257</v>
      </c>
      <c r="G220" s="377">
        <f t="shared" si="27"/>
        <v>0</v>
      </c>
      <c r="H220" s="374">
        <f t="shared" si="28"/>
        <v>0</v>
      </c>
      <c r="I220" s="377">
        <f t="shared" si="29"/>
        <v>0</v>
      </c>
      <c r="J220" s="374">
        <f t="shared" si="30"/>
        <v>0</v>
      </c>
      <c r="K220" s="369">
        <f t="shared" si="31"/>
        <v>0</v>
      </c>
      <c r="L220" s="373">
        <f t="shared" si="32"/>
        <v>0</v>
      </c>
      <c r="M220" s="113">
        <f>L220*D220*'B) D RI'!S222</f>
        <v>0</v>
      </c>
    </row>
    <row r="221" spans="1:13" x14ac:dyDescent="0.25">
      <c r="A221" s="295">
        <f>'A) Base RI'!A223</f>
        <v>5755</v>
      </c>
      <c r="B221" s="32" t="str">
        <f>'A) Base RI'!B223</f>
        <v>Lignerolle</v>
      </c>
      <c r="C221" s="293">
        <f>'B) D RI'!U223</f>
        <v>9814.7983020645443</v>
      </c>
      <c r="D221" s="32">
        <f>'B) D RI'!AA223</f>
        <v>437</v>
      </c>
      <c r="E221" s="201">
        <f t="shared" si="25"/>
        <v>22.459492682069897</v>
      </c>
      <c r="F221" s="366">
        <f t="shared" si="26"/>
        <v>0.48824362461434889</v>
      </c>
      <c r="G221" s="377">
        <f t="shared" si="27"/>
        <v>0</v>
      </c>
      <c r="H221" s="374">
        <f t="shared" si="28"/>
        <v>0</v>
      </c>
      <c r="I221" s="377">
        <f t="shared" si="29"/>
        <v>0</v>
      </c>
      <c r="J221" s="374">
        <f t="shared" si="30"/>
        <v>0</v>
      </c>
      <c r="K221" s="369">
        <f t="shared" si="31"/>
        <v>0</v>
      </c>
      <c r="L221" s="373">
        <f t="shared" si="32"/>
        <v>0</v>
      </c>
      <c r="M221" s="113">
        <f>L221*D221*'B) D RI'!S223</f>
        <v>0</v>
      </c>
    </row>
    <row r="222" spans="1:13" x14ac:dyDescent="0.25">
      <c r="A222" s="295">
        <f>'A) Base RI'!A224</f>
        <v>5756</v>
      </c>
      <c r="B222" s="32" t="str">
        <f>'A) Base RI'!B224</f>
        <v>Montcherand</v>
      </c>
      <c r="C222" s="293">
        <f>'B) D RI'!U224</f>
        <v>16245.150277777775</v>
      </c>
      <c r="D222" s="32">
        <f>'B) D RI'!AA224</f>
        <v>505</v>
      </c>
      <c r="E222" s="201">
        <f t="shared" si="25"/>
        <v>32.168614411441141</v>
      </c>
      <c r="F222" s="366">
        <f t="shared" si="26"/>
        <v>0.69930880102212112</v>
      </c>
      <c r="G222" s="377">
        <f t="shared" si="27"/>
        <v>0</v>
      </c>
      <c r="H222" s="374">
        <f t="shared" si="28"/>
        <v>0</v>
      </c>
      <c r="I222" s="377">
        <f t="shared" si="29"/>
        <v>0</v>
      </c>
      <c r="J222" s="374">
        <f t="shared" si="30"/>
        <v>0</v>
      </c>
      <c r="K222" s="369">
        <f t="shared" si="31"/>
        <v>0</v>
      </c>
      <c r="L222" s="373">
        <f t="shared" si="32"/>
        <v>0</v>
      </c>
      <c r="M222" s="113">
        <f>L222*D222*'B) D RI'!S224</f>
        <v>0</v>
      </c>
    </row>
    <row r="223" spans="1:13" x14ac:dyDescent="0.25">
      <c r="A223" s="295">
        <f>'A) Base RI'!A225</f>
        <v>5757</v>
      </c>
      <c r="B223" s="32" t="str">
        <f>'A) Base RI'!B225</f>
        <v>Orbe</v>
      </c>
      <c r="C223" s="293">
        <f>'B) D RI'!U225</f>
        <v>201366.36924156587</v>
      </c>
      <c r="D223" s="32">
        <f>'B) D RI'!AA225</f>
        <v>7030</v>
      </c>
      <c r="E223" s="201">
        <f t="shared" si="25"/>
        <v>28.643864756979497</v>
      </c>
      <c r="F223" s="366">
        <f t="shared" si="26"/>
        <v>0.62268478410804351</v>
      </c>
      <c r="G223" s="377">
        <f t="shared" si="27"/>
        <v>0</v>
      </c>
      <c r="H223" s="374">
        <f t="shared" si="28"/>
        <v>0</v>
      </c>
      <c r="I223" s="377">
        <f t="shared" si="29"/>
        <v>0</v>
      </c>
      <c r="J223" s="374">
        <f t="shared" si="30"/>
        <v>0</v>
      </c>
      <c r="K223" s="369">
        <f t="shared" si="31"/>
        <v>0</v>
      </c>
      <c r="L223" s="373">
        <f t="shared" si="32"/>
        <v>0</v>
      </c>
      <c r="M223" s="113">
        <f>L223*D223*'B) D RI'!S225</f>
        <v>0</v>
      </c>
    </row>
    <row r="224" spans="1:13" x14ac:dyDescent="0.25">
      <c r="A224" s="295">
        <f>'A) Base RI'!A226</f>
        <v>5758</v>
      </c>
      <c r="B224" s="32" t="str">
        <f>'A) Base RI'!B226</f>
        <v>La Praz</v>
      </c>
      <c r="C224" s="293">
        <f>'B) D RI'!U226</f>
        <v>4518.3622106026551</v>
      </c>
      <c r="D224" s="32">
        <f>'B) D RI'!AA226</f>
        <v>165</v>
      </c>
      <c r="E224" s="201">
        <f t="shared" si="25"/>
        <v>27.38401339759185</v>
      </c>
      <c r="F224" s="366">
        <f t="shared" si="26"/>
        <v>0.59529705977739533</v>
      </c>
      <c r="G224" s="377">
        <f t="shared" si="27"/>
        <v>0</v>
      </c>
      <c r="H224" s="374">
        <f t="shared" si="28"/>
        <v>0</v>
      </c>
      <c r="I224" s="377">
        <f t="shared" si="29"/>
        <v>0</v>
      </c>
      <c r="J224" s="374">
        <f t="shared" si="30"/>
        <v>0</v>
      </c>
      <c r="K224" s="369">
        <f t="shared" si="31"/>
        <v>0</v>
      </c>
      <c r="L224" s="373">
        <f t="shared" si="32"/>
        <v>0</v>
      </c>
      <c r="M224" s="113">
        <f>L224*D224*'B) D RI'!S226</f>
        <v>0</v>
      </c>
    </row>
    <row r="225" spans="1:13" x14ac:dyDescent="0.25">
      <c r="A225" s="295">
        <f>'A) Base RI'!A227</f>
        <v>5759</v>
      </c>
      <c r="B225" s="32" t="str">
        <f>'A) Base RI'!B227</f>
        <v>Premier</v>
      </c>
      <c r="C225" s="293">
        <f>'B) D RI'!U227</f>
        <v>5274.1329854177848</v>
      </c>
      <c r="D225" s="32">
        <f>'B) D RI'!AA227</f>
        <v>215</v>
      </c>
      <c r="E225" s="201">
        <f t="shared" si="25"/>
        <v>24.53085109496644</v>
      </c>
      <c r="F225" s="366">
        <f t="shared" si="26"/>
        <v>0.53327258202243</v>
      </c>
      <c r="G225" s="377">
        <f t="shared" si="27"/>
        <v>0</v>
      </c>
      <c r="H225" s="374">
        <f t="shared" si="28"/>
        <v>0</v>
      </c>
      <c r="I225" s="377">
        <f t="shared" si="29"/>
        <v>0</v>
      </c>
      <c r="J225" s="374">
        <f t="shared" si="30"/>
        <v>0</v>
      </c>
      <c r="K225" s="369">
        <f t="shared" si="31"/>
        <v>0</v>
      </c>
      <c r="L225" s="373">
        <f t="shared" si="32"/>
        <v>0</v>
      </c>
      <c r="M225" s="113">
        <f>L225*D225*'B) D RI'!S227</f>
        <v>0</v>
      </c>
    </row>
    <row r="226" spans="1:13" x14ac:dyDescent="0.25">
      <c r="A226" s="295">
        <f>'A) Base RI'!A228</f>
        <v>5760</v>
      </c>
      <c r="B226" s="32" t="str">
        <f>'A) Base RI'!B228</f>
        <v>Rances</v>
      </c>
      <c r="C226" s="293">
        <f>'B) D RI'!U228</f>
        <v>12374.249316544765</v>
      </c>
      <c r="D226" s="32">
        <f>'B) D RI'!AA228</f>
        <v>505</v>
      </c>
      <c r="E226" s="201">
        <f t="shared" si="25"/>
        <v>24.503463993157951</v>
      </c>
      <c r="F226" s="366">
        <f t="shared" si="26"/>
        <v>0.53267721782414001</v>
      </c>
      <c r="G226" s="377">
        <f t="shared" si="27"/>
        <v>0</v>
      </c>
      <c r="H226" s="374">
        <f t="shared" si="28"/>
        <v>0</v>
      </c>
      <c r="I226" s="377">
        <f t="shared" si="29"/>
        <v>0</v>
      </c>
      <c r="J226" s="374">
        <f t="shared" si="30"/>
        <v>0</v>
      </c>
      <c r="K226" s="369">
        <f t="shared" si="31"/>
        <v>0</v>
      </c>
      <c r="L226" s="373">
        <f t="shared" si="32"/>
        <v>0</v>
      </c>
      <c r="M226" s="113">
        <f>L226*D226*'B) D RI'!S228</f>
        <v>0</v>
      </c>
    </row>
    <row r="227" spans="1:13" x14ac:dyDescent="0.25">
      <c r="A227" s="295">
        <f>'A) Base RI'!A229</f>
        <v>5761</v>
      </c>
      <c r="B227" s="32" t="str">
        <f>'A) Base RI'!B229</f>
        <v>Romainmôtier-Envy</v>
      </c>
      <c r="C227" s="293">
        <f>'B) D RI'!U229</f>
        <v>12292.452150942587</v>
      </c>
      <c r="D227" s="32">
        <f>'B) D RI'!AA229</f>
        <v>535</v>
      </c>
      <c r="E227" s="201">
        <f t="shared" si="25"/>
        <v>22.976546076528198</v>
      </c>
      <c r="F227" s="366">
        <f t="shared" si="26"/>
        <v>0.49948377268906524</v>
      </c>
      <c r="G227" s="377">
        <f t="shared" si="27"/>
        <v>0</v>
      </c>
      <c r="H227" s="374">
        <f t="shared" si="28"/>
        <v>0</v>
      </c>
      <c r="I227" s="377">
        <f t="shared" si="29"/>
        <v>0</v>
      </c>
      <c r="J227" s="374">
        <f t="shared" si="30"/>
        <v>0</v>
      </c>
      <c r="K227" s="369">
        <f t="shared" si="31"/>
        <v>0</v>
      </c>
      <c r="L227" s="373">
        <f t="shared" si="32"/>
        <v>0</v>
      </c>
      <c r="M227" s="113">
        <f>L227*D227*'B) D RI'!S229</f>
        <v>0</v>
      </c>
    </row>
    <row r="228" spans="1:13" x14ac:dyDescent="0.25">
      <c r="A228" s="295">
        <f>'A) Base RI'!A230</f>
        <v>5762</v>
      </c>
      <c r="B228" s="32" t="str">
        <f>'A) Base RI'!B230</f>
        <v>Sergey</v>
      </c>
      <c r="C228" s="293">
        <f>'B) D RI'!U230</f>
        <v>3995.7603289795202</v>
      </c>
      <c r="D228" s="32">
        <f>'B) D RI'!AA230</f>
        <v>145</v>
      </c>
      <c r="E228" s="201">
        <f t="shared" si="25"/>
        <v>27.556967786065655</v>
      </c>
      <c r="F228" s="366">
        <f t="shared" si="26"/>
        <v>0.59905688991767381</v>
      </c>
      <c r="G228" s="377">
        <f t="shared" si="27"/>
        <v>0</v>
      </c>
      <c r="H228" s="374">
        <f t="shared" si="28"/>
        <v>0</v>
      </c>
      <c r="I228" s="377">
        <f t="shared" si="29"/>
        <v>0</v>
      </c>
      <c r="J228" s="374">
        <f t="shared" si="30"/>
        <v>0</v>
      </c>
      <c r="K228" s="369">
        <f t="shared" si="31"/>
        <v>0</v>
      </c>
      <c r="L228" s="373">
        <f t="shared" si="32"/>
        <v>0</v>
      </c>
      <c r="M228" s="113">
        <f>L228*D228*'B) D RI'!S230</f>
        <v>0</v>
      </c>
    </row>
    <row r="229" spans="1:13" x14ac:dyDescent="0.25">
      <c r="A229" s="295">
        <f>'A) Base RI'!A231</f>
        <v>5763</v>
      </c>
      <c r="B229" s="32" t="str">
        <f>'A) Base RI'!B231</f>
        <v>Valeyres-sous-Rances</v>
      </c>
      <c r="C229" s="293">
        <f>'B) D RI'!U231</f>
        <v>21943.401480636676</v>
      </c>
      <c r="D229" s="32">
        <f>'B) D RI'!AA231</f>
        <v>620</v>
      </c>
      <c r="E229" s="201">
        <f t="shared" si="25"/>
        <v>35.392583033284964</v>
      </c>
      <c r="F229" s="366">
        <f t="shared" si="26"/>
        <v>0.76939418308547436</v>
      </c>
      <c r="G229" s="377">
        <f t="shared" si="27"/>
        <v>0</v>
      </c>
      <c r="H229" s="374">
        <f t="shared" si="28"/>
        <v>0</v>
      </c>
      <c r="I229" s="377">
        <f t="shared" si="29"/>
        <v>0</v>
      </c>
      <c r="J229" s="374">
        <f t="shared" si="30"/>
        <v>0</v>
      </c>
      <c r="K229" s="369">
        <f t="shared" si="31"/>
        <v>0</v>
      </c>
      <c r="L229" s="373">
        <f t="shared" si="32"/>
        <v>0</v>
      </c>
      <c r="M229" s="113">
        <f>L229*D229*'B) D RI'!S231</f>
        <v>0</v>
      </c>
    </row>
    <row r="230" spans="1:13" x14ac:dyDescent="0.25">
      <c r="A230" s="295">
        <f>'A) Base RI'!A232</f>
        <v>5764</v>
      </c>
      <c r="B230" s="32" t="str">
        <f>'A) Base RI'!B232</f>
        <v>Vallorbe</v>
      </c>
      <c r="C230" s="293">
        <f>'B) D RI'!U232</f>
        <v>87589.078285934462</v>
      </c>
      <c r="D230" s="32">
        <f>'B) D RI'!AA232</f>
        <v>3857</v>
      </c>
      <c r="E230" s="201">
        <f t="shared" si="25"/>
        <v>22.709120634154644</v>
      </c>
      <c r="F230" s="366">
        <f t="shared" si="26"/>
        <v>0.49367025013328658</v>
      </c>
      <c r="G230" s="377">
        <f t="shared" si="27"/>
        <v>0</v>
      </c>
      <c r="H230" s="374">
        <f t="shared" si="28"/>
        <v>0</v>
      </c>
      <c r="I230" s="377">
        <f t="shared" si="29"/>
        <v>0</v>
      </c>
      <c r="J230" s="374">
        <f t="shared" si="30"/>
        <v>0</v>
      </c>
      <c r="K230" s="369">
        <f t="shared" si="31"/>
        <v>0</v>
      </c>
      <c r="L230" s="373">
        <f t="shared" si="32"/>
        <v>0</v>
      </c>
      <c r="M230" s="113">
        <f>L230*D230*'B) D RI'!S232</f>
        <v>0</v>
      </c>
    </row>
    <row r="231" spans="1:13" x14ac:dyDescent="0.25">
      <c r="A231" s="295">
        <f>'A) Base RI'!A233</f>
        <v>5765</v>
      </c>
      <c r="B231" s="32" t="str">
        <f>'A) Base RI'!B233</f>
        <v>Vaulion</v>
      </c>
      <c r="C231" s="293">
        <f>'B) D RI'!U233</f>
        <v>11954.157309155948</v>
      </c>
      <c r="D231" s="32">
        <f>'B) D RI'!AA233</f>
        <v>496</v>
      </c>
      <c r="E231" s="201">
        <f t="shared" si="25"/>
        <v>24.101123607169249</v>
      </c>
      <c r="F231" s="366">
        <f t="shared" si="26"/>
        <v>0.52393079905303908</v>
      </c>
      <c r="G231" s="377">
        <f t="shared" si="27"/>
        <v>0</v>
      </c>
      <c r="H231" s="374">
        <f t="shared" si="28"/>
        <v>0</v>
      </c>
      <c r="I231" s="377">
        <f t="shared" si="29"/>
        <v>0</v>
      </c>
      <c r="J231" s="374">
        <f t="shared" si="30"/>
        <v>0</v>
      </c>
      <c r="K231" s="369">
        <f t="shared" si="31"/>
        <v>0</v>
      </c>
      <c r="L231" s="373">
        <f t="shared" si="32"/>
        <v>0</v>
      </c>
      <c r="M231" s="113">
        <f>L231*D231*'B) D RI'!S233</f>
        <v>0</v>
      </c>
    </row>
    <row r="232" spans="1:13" x14ac:dyDescent="0.25">
      <c r="A232" s="295">
        <f>'A) Base RI'!A234</f>
        <v>5766</v>
      </c>
      <c r="B232" s="32" t="str">
        <f>'A) Base RI'!B234</f>
        <v>Vuiteboeuf</v>
      </c>
      <c r="C232" s="293">
        <f>'B) D RI'!U234</f>
        <v>13945.258329251963</v>
      </c>
      <c r="D232" s="32">
        <f>'B) D RI'!AA234</f>
        <v>576</v>
      </c>
      <c r="E232" s="201">
        <f t="shared" si="25"/>
        <v>24.210517932729104</v>
      </c>
      <c r="F232" s="366">
        <f t="shared" si="26"/>
        <v>0.52630890628723437</v>
      </c>
      <c r="G232" s="377">
        <f t="shared" si="27"/>
        <v>0</v>
      </c>
      <c r="H232" s="374">
        <f t="shared" si="28"/>
        <v>0</v>
      </c>
      <c r="I232" s="377">
        <f t="shared" si="29"/>
        <v>0</v>
      </c>
      <c r="J232" s="374">
        <f t="shared" si="30"/>
        <v>0</v>
      </c>
      <c r="K232" s="369">
        <f t="shared" si="31"/>
        <v>0</v>
      </c>
      <c r="L232" s="373">
        <f t="shared" si="32"/>
        <v>0</v>
      </c>
      <c r="M232" s="113">
        <f>L232*D232*'B) D RI'!S234</f>
        <v>0</v>
      </c>
    </row>
    <row r="233" spans="1:13" x14ac:dyDescent="0.25">
      <c r="A233" s="295">
        <f>'A) Base RI'!A235</f>
        <v>5785</v>
      </c>
      <c r="B233" s="32" t="str">
        <f>'A) Base RI'!B235</f>
        <v>Corcelles-le-Jorat</v>
      </c>
      <c r="C233" s="293">
        <f>'B) D RI'!U235</f>
        <v>16950.059611084645</v>
      </c>
      <c r="D233" s="32">
        <f>'B) D RI'!AA235</f>
        <v>458</v>
      </c>
      <c r="E233" s="201">
        <f t="shared" si="25"/>
        <v>37.0088637796608</v>
      </c>
      <c r="F233" s="366">
        <f t="shared" si="26"/>
        <v>0.80453027369872843</v>
      </c>
      <c r="G233" s="377">
        <f t="shared" si="27"/>
        <v>0</v>
      </c>
      <c r="H233" s="374">
        <f t="shared" si="28"/>
        <v>0</v>
      </c>
      <c r="I233" s="377">
        <f t="shared" si="29"/>
        <v>0</v>
      </c>
      <c r="J233" s="374">
        <f t="shared" si="30"/>
        <v>0</v>
      </c>
      <c r="K233" s="369">
        <f t="shared" si="31"/>
        <v>0</v>
      </c>
      <c r="L233" s="373">
        <f t="shared" si="32"/>
        <v>0</v>
      </c>
      <c r="M233" s="113">
        <f>L233*D233*'B) D RI'!S235</f>
        <v>0</v>
      </c>
    </row>
    <row r="234" spans="1:13" x14ac:dyDescent="0.25">
      <c r="A234" s="295">
        <f>'A) Base RI'!A236</f>
        <v>5788</v>
      </c>
      <c r="B234" s="32" t="str">
        <f>'A) Base RI'!B236</f>
        <v>Essertes</v>
      </c>
      <c r="C234" s="293">
        <f>'B) D RI'!U236</f>
        <v>12357.652912226366</v>
      </c>
      <c r="D234" s="32">
        <f>'B) D RI'!AA236</f>
        <v>380</v>
      </c>
      <c r="E234" s="201">
        <f t="shared" si="25"/>
        <v>32.520139242700964</v>
      </c>
      <c r="F234" s="366">
        <f t="shared" si="26"/>
        <v>0.70695054788549805</v>
      </c>
      <c r="G234" s="377">
        <f t="shared" si="27"/>
        <v>0</v>
      </c>
      <c r="H234" s="374">
        <f t="shared" si="28"/>
        <v>0</v>
      </c>
      <c r="I234" s="377">
        <f t="shared" si="29"/>
        <v>0</v>
      </c>
      <c r="J234" s="374">
        <f t="shared" si="30"/>
        <v>0</v>
      </c>
      <c r="K234" s="369">
        <f t="shared" si="31"/>
        <v>0</v>
      </c>
      <c r="L234" s="373">
        <f t="shared" si="32"/>
        <v>0</v>
      </c>
      <c r="M234" s="113">
        <f>L234*D234*'B) D RI'!S236</f>
        <v>0</v>
      </c>
    </row>
    <row r="235" spans="1:13" x14ac:dyDescent="0.25">
      <c r="A235" s="295">
        <f>'A) Base RI'!A237</f>
        <v>5790</v>
      </c>
      <c r="B235" s="32" t="str">
        <f>'A) Base RI'!B237</f>
        <v>Maracon</v>
      </c>
      <c r="C235" s="293">
        <f>'B) D RI'!U237</f>
        <v>14432.201593410035</v>
      </c>
      <c r="D235" s="32">
        <f>'B) D RI'!AA237</f>
        <v>538</v>
      </c>
      <c r="E235" s="201">
        <f t="shared" si="25"/>
        <v>26.825653519349508</v>
      </c>
      <c r="F235" s="366">
        <f t="shared" si="26"/>
        <v>0.58315895609663393</v>
      </c>
      <c r="G235" s="377">
        <f t="shared" si="27"/>
        <v>0</v>
      </c>
      <c r="H235" s="374">
        <f t="shared" si="28"/>
        <v>0</v>
      </c>
      <c r="I235" s="377">
        <f t="shared" si="29"/>
        <v>0</v>
      </c>
      <c r="J235" s="374">
        <f t="shared" si="30"/>
        <v>0</v>
      </c>
      <c r="K235" s="369">
        <f t="shared" si="31"/>
        <v>0</v>
      </c>
      <c r="L235" s="373">
        <f t="shared" si="32"/>
        <v>0</v>
      </c>
      <c r="M235" s="113">
        <f>L235*D235*'B) D RI'!S237</f>
        <v>0</v>
      </c>
    </row>
    <row r="236" spans="1:13" x14ac:dyDescent="0.25">
      <c r="A236" s="295">
        <f>'A) Base RI'!A238</f>
        <v>5792</v>
      </c>
      <c r="B236" s="32" t="str">
        <f>'A) Base RI'!B238</f>
        <v>Montpreveyres</v>
      </c>
      <c r="C236" s="293">
        <f>'B) D RI'!U238</f>
        <v>20198.938593400278</v>
      </c>
      <c r="D236" s="32">
        <f>'B) D RI'!AA238</f>
        <v>657</v>
      </c>
      <c r="E236" s="201">
        <f t="shared" si="25"/>
        <v>30.744198772298748</v>
      </c>
      <c r="F236" s="366">
        <f t="shared" si="26"/>
        <v>0.66834363789680018</v>
      </c>
      <c r="G236" s="377">
        <f t="shared" si="27"/>
        <v>0</v>
      </c>
      <c r="H236" s="374">
        <f t="shared" si="28"/>
        <v>0</v>
      </c>
      <c r="I236" s="377">
        <f t="shared" si="29"/>
        <v>0</v>
      </c>
      <c r="J236" s="374">
        <f t="shared" si="30"/>
        <v>0</v>
      </c>
      <c r="K236" s="369">
        <f t="shared" si="31"/>
        <v>0</v>
      </c>
      <c r="L236" s="373">
        <f t="shared" si="32"/>
        <v>0</v>
      </c>
      <c r="M236" s="113">
        <f>L236*D236*'B) D RI'!S238</f>
        <v>0</v>
      </c>
    </row>
    <row r="237" spans="1:13" x14ac:dyDescent="0.25">
      <c r="A237" s="295">
        <f>'A) Base RI'!A239</f>
        <v>5798</v>
      </c>
      <c r="B237" s="32" t="str">
        <f>'A) Base RI'!B239</f>
        <v>Ropraz</v>
      </c>
      <c r="C237" s="293">
        <f>'B) D RI'!U239</f>
        <v>14359.812261053485</v>
      </c>
      <c r="D237" s="32">
        <f>'B) D RI'!AA239</f>
        <v>488</v>
      </c>
      <c r="E237" s="201">
        <f t="shared" si="25"/>
        <v>29.425844797240746</v>
      </c>
      <c r="F237" s="366">
        <f t="shared" si="26"/>
        <v>0.63968413376557276</v>
      </c>
      <c r="G237" s="377">
        <f t="shared" si="27"/>
        <v>0</v>
      </c>
      <c r="H237" s="374">
        <f t="shared" si="28"/>
        <v>0</v>
      </c>
      <c r="I237" s="377">
        <f t="shared" si="29"/>
        <v>0</v>
      </c>
      <c r="J237" s="374">
        <f t="shared" si="30"/>
        <v>0</v>
      </c>
      <c r="K237" s="369">
        <f t="shared" si="31"/>
        <v>0</v>
      </c>
      <c r="L237" s="373">
        <f t="shared" si="32"/>
        <v>0</v>
      </c>
      <c r="M237" s="113">
        <f>L237*D237*'B) D RI'!S239</f>
        <v>0</v>
      </c>
    </row>
    <row r="238" spans="1:13" x14ac:dyDescent="0.25">
      <c r="A238" s="295">
        <f>'A) Base RI'!A240</f>
        <v>5799</v>
      </c>
      <c r="B238" s="32" t="str">
        <f>'A) Base RI'!B240</f>
        <v>Servion</v>
      </c>
      <c r="C238" s="293">
        <f>'B) D RI'!U240</f>
        <v>70991.881594202918</v>
      </c>
      <c r="D238" s="32">
        <f>'B) D RI'!AA240</f>
        <v>1997</v>
      </c>
      <c r="E238" s="201">
        <f t="shared" si="25"/>
        <v>35.549264694142671</v>
      </c>
      <c r="F238" s="366">
        <f t="shared" si="26"/>
        <v>0.7728002627815147</v>
      </c>
      <c r="G238" s="377">
        <f t="shared" si="27"/>
        <v>0</v>
      </c>
      <c r="H238" s="374">
        <f t="shared" si="28"/>
        <v>0</v>
      </c>
      <c r="I238" s="377">
        <f t="shared" si="29"/>
        <v>0</v>
      </c>
      <c r="J238" s="374">
        <f t="shared" si="30"/>
        <v>0</v>
      </c>
      <c r="K238" s="369">
        <f t="shared" si="31"/>
        <v>0</v>
      </c>
      <c r="L238" s="373">
        <f t="shared" si="32"/>
        <v>0</v>
      </c>
      <c r="M238" s="113">
        <f>L238*D238*'B) D RI'!S240</f>
        <v>0</v>
      </c>
    </row>
    <row r="239" spans="1:13" x14ac:dyDescent="0.25">
      <c r="A239" s="295">
        <f>'A) Base RI'!A241</f>
        <v>5803</v>
      </c>
      <c r="B239" s="32" t="str">
        <f>'A) Base RI'!B241</f>
        <v>Vulliens</v>
      </c>
      <c r="C239" s="293">
        <f>'B) D RI'!U241</f>
        <v>17439.644358974365</v>
      </c>
      <c r="D239" s="32">
        <f>'B) D RI'!AA241</f>
        <v>614</v>
      </c>
      <c r="E239" s="201">
        <f t="shared" si="25"/>
        <v>28.403329574876818</v>
      </c>
      <c r="F239" s="366">
        <f t="shared" si="26"/>
        <v>0.61745582498507801</v>
      </c>
      <c r="G239" s="377">
        <f t="shared" si="27"/>
        <v>0</v>
      </c>
      <c r="H239" s="374">
        <f t="shared" si="28"/>
        <v>0</v>
      </c>
      <c r="I239" s="377">
        <f t="shared" si="29"/>
        <v>0</v>
      </c>
      <c r="J239" s="374">
        <f t="shared" si="30"/>
        <v>0</v>
      </c>
      <c r="K239" s="369">
        <f t="shared" si="31"/>
        <v>0</v>
      </c>
      <c r="L239" s="373">
        <f t="shared" si="32"/>
        <v>0</v>
      </c>
      <c r="M239" s="113">
        <f>L239*D239*'B) D RI'!S241</f>
        <v>0</v>
      </c>
    </row>
    <row r="240" spans="1:13" x14ac:dyDescent="0.25">
      <c r="A240" s="295">
        <f>'A) Base RI'!A242</f>
        <v>5804</v>
      </c>
      <c r="B240" s="32" t="str">
        <f>'A) Base RI'!B242</f>
        <v>Jorat-Menthue</v>
      </c>
      <c r="C240" s="293">
        <f>'B) D RI'!U242</f>
        <v>44226.697072071111</v>
      </c>
      <c r="D240" s="32">
        <f>'B) D RI'!AA242</f>
        <v>1591</v>
      </c>
      <c r="E240" s="201">
        <f t="shared" si="25"/>
        <v>27.798049699604721</v>
      </c>
      <c r="F240" s="366">
        <f t="shared" si="26"/>
        <v>0.60429773435532419</v>
      </c>
      <c r="G240" s="377">
        <f t="shared" si="27"/>
        <v>0</v>
      </c>
      <c r="H240" s="374">
        <f t="shared" si="28"/>
        <v>0</v>
      </c>
      <c r="I240" s="377">
        <f t="shared" si="29"/>
        <v>0</v>
      </c>
      <c r="J240" s="374">
        <f t="shared" si="30"/>
        <v>0</v>
      </c>
      <c r="K240" s="369">
        <f t="shared" si="31"/>
        <v>0</v>
      </c>
      <c r="L240" s="373">
        <f t="shared" si="32"/>
        <v>0</v>
      </c>
      <c r="M240" s="113">
        <f>L240*D240*'B) D RI'!S242</f>
        <v>0</v>
      </c>
    </row>
    <row r="241" spans="1:13" x14ac:dyDescent="0.25">
      <c r="A241" s="295">
        <f>'A) Base RI'!A243</f>
        <v>5805</v>
      </c>
      <c r="B241" s="32" t="str">
        <f>'A) Base RI'!B243</f>
        <v>Oron</v>
      </c>
      <c r="C241" s="293">
        <f>'B) D RI'!U243</f>
        <v>157769.23671351318</v>
      </c>
      <c r="D241" s="32">
        <f>'B) D RI'!AA243</f>
        <v>5669</v>
      </c>
      <c r="E241" s="201">
        <f t="shared" si="25"/>
        <v>27.83017052628562</v>
      </c>
      <c r="F241" s="366">
        <f t="shared" si="26"/>
        <v>0.60499600430586553</v>
      </c>
      <c r="G241" s="377">
        <f t="shared" si="27"/>
        <v>0</v>
      </c>
      <c r="H241" s="374">
        <f t="shared" si="28"/>
        <v>0</v>
      </c>
      <c r="I241" s="377">
        <f t="shared" si="29"/>
        <v>0</v>
      </c>
      <c r="J241" s="374">
        <f t="shared" si="30"/>
        <v>0</v>
      </c>
      <c r="K241" s="369">
        <f t="shared" si="31"/>
        <v>0</v>
      </c>
      <c r="L241" s="373">
        <f t="shared" si="32"/>
        <v>0</v>
      </c>
      <c r="M241" s="113">
        <f>L241*D241*'B) D RI'!S243</f>
        <v>0</v>
      </c>
    </row>
    <row r="242" spans="1:13" x14ac:dyDescent="0.25">
      <c r="A242" s="295">
        <f>'A) Base RI'!A244</f>
        <v>5806</v>
      </c>
      <c r="B242" s="32" t="str">
        <f>'A) Base RI'!B244</f>
        <v>Jorat-Mézières</v>
      </c>
      <c r="C242" s="293">
        <f>'B) D RI'!U244</f>
        <v>91829.883122314393</v>
      </c>
      <c r="D242" s="32">
        <f>'B) D RI'!AA244</f>
        <v>2949</v>
      </c>
      <c r="E242" s="201">
        <f t="shared" si="25"/>
        <v>31.139329644731905</v>
      </c>
      <c r="F242" s="366">
        <f t="shared" si="26"/>
        <v>0.67693333010778267</v>
      </c>
      <c r="G242" s="377">
        <f t="shared" si="27"/>
        <v>0</v>
      </c>
      <c r="H242" s="374">
        <f t="shared" si="28"/>
        <v>0</v>
      </c>
      <c r="I242" s="377">
        <f t="shared" si="29"/>
        <v>0</v>
      </c>
      <c r="J242" s="374">
        <f t="shared" si="30"/>
        <v>0</v>
      </c>
      <c r="K242" s="369">
        <f t="shared" si="31"/>
        <v>0</v>
      </c>
      <c r="L242" s="373">
        <f t="shared" si="32"/>
        <v>0</v>
      </c>
      <c r="M242" s="113">
        <f>L242*D242*'B) D RI'!S244</f>
        <v>0</v>
      </c>
    </row>
    <row r="243" spans="1:13" x14ac:dyDescent="0.25">
      <c r="A243" s="295">
        <f>'A) Base RI'!A245</f>
        <v>5812</v>
      </c>
      <c r="B243" s="32" t="str">
        <f>'A) Base RI'!B245</f>
        <v>Champtauroz</v>
      </c>
      <c r="C243" s="293">
        <f>'B) D RI'!U245</f>
        <v>3710.6575152359092</v>
      </c>
      <c r="D243" s="32">
        <f>'B) D RI'!AA245</f>
        <v>130</v>
      </c>
      <c r="E243" s="201">
        <f t="shared" si="25"/>
        <v>28.54351934796853</v>
      </c>
      <c r="F243" s="366">
        <f t="shared" si="26"/>
        <v>0.62050338994645426</v>
      </c>
      <c r="G243" s="377">
        <f t="shared" si="27"/>
        <v>0</v>
      </c>
      <c r="H243" s="374">
        <f t="shared" si="28"/>
        <v>0</v>
      </c>
      <c r="I243" s="377">
        <f t="shared" si="29"/>
        <v>0</v>
      </c>
      <c r="J243" s="374">
        <f t="shared" si="30"/>
        <v>0</v>
      </c>
      <c r="K243" s="369">
        <f t="shared" si="31"/>
        <v>0</v>
      </c>
      <c r="L243" s="373">
        <f t="shared" si="32"/>
        <v>0</v>
      </c>
      <c r="M243" s="113">
        <f>L243*D243*'B) D RI'!S245</f>
        <v>0</v>
      </c>
    </row>
    <row r="244" spans="1:13" x14ac:dyDescent="0.25">
      <c r="A244" s="295">
        <f>'A) Base RI'!A246</f>
        <v>5813</v>
      </c>
      <c r="B244" s="32" t="str">
        <f>'A) Base RI'!B246</f>
        <v>Chevroux</v>
      </c>
      <c r="C244" s="293">
        <f>'B) D RI'!U246</f>
        <v>14709.945528749027</v>
      </c>
      <c r="D244" s="32">
        <f>'B) D RI'!AA246</f>
        <v>492</v>
      </c>
      <c r="E244" s="201">
        <f t="shared" si="25"/>
        <v>29.898263269815097</v>
      </c>
      <c r="F244" s="366">
        <f t="shared" si="26"/>
        <v>0.64995396980548537</v>
      </c>
      <c r="G244" s="377">
        <f t="shared" si="27"/>
        <v>0</v>
      </c>
      <c r="H244" s="374">
        <f t="shared" si="28"/>
        <v>0</v>
      </c>
      <c r="I244" s="377">
        <f t="shared" si="29"/>
        <v>0</v>
      </c>
      <c r="J244" s="374">
        <f t="shared" si="30"/>
        <v>0</v>
      </c>
      <c r="K244" s="369">
        <f t="shared" si="31"/>
        <v>0</v>
      </c>
      <c r="L244" s="373">
        <f t="shared" si="32"/>
        <v>0</v>
      </c>
      <c r="M244" s="113">
        <f>L244*D244*'B) D RI'!S246</f>
        <v>0</v>
      </c>
    </row>
    <row r="245" spans="1:13" x14ac:dyDescent="0.25">
      <c r="A245" s="295">
        <f>'A) Base RI'!A247</f>
        <v>5816</v>
      </c>
      <c r="B245" s="32" t="str">
        <f>'A) Base RI'!B247</f>
        <v>Corcelles-près-Payerne</v>
      </c>
      <c r="C245" s="293">
        <f>'B) D RI'!U247</f>
        <v>60414.642640490056</v>
      </c>
      <c r="D245" s="32">
        <f>'B) D RI'!AA247</f>
        <v>2571</v>
      </c>
      <c r="E245" s="201">
        <f t="shared" si="25"/>
        <v>23.498499665690414</v>
      </c>
      <c r="F245" s="366">
        <f t="shared" si="26"/>
        <v>0.5108304453793383</v>
      </c>
      <c r="G245" s="377">
        <f t="shared" si="27"/>
        <v>0</v>
      </c>
      <c r="H245" s="374">
        <f t="shared" si="28"/>
        <v>0</v>
      </c>
      <c r="I245" s="377">
        <f t="shared" si="29"/>
        <v>0</v>
      </c>
      <c r="J245" s="374">
        <f t="shared" si="30"/>
        <v>0</v>
      </c>
      <c r="K245" s="369">
        <f t="shared" si="31"/>
        <v>0</v>
      </c>
      <c r="L245" s="373">
        <f t="shared" si="32"/>
        <v>0</v>
      </c>
      <c r="M245" s="113">
        <f>L245*D245*'B) D RI'!S247</f>
        <v>0</v>
      </c>
    </row>
    <row r="246" spans="1:13" x14ac:dyDescent="0.25">
      <c r="A246" s="295">
        <f>'A) Base RI'!A248</f>
        <v>5817</v>
      </c>
      <c r="B246" s="32" t="str">
        <f>'A) Base RI'!B248</f>
        <v>Grandcour</v>
      </c>
      <c r="C246" s="293">
        <f>'B) D RI'!U248</f>
        <v>21808.970149396955</v>
      </c>
      <c r="D246" s="32">
        <f>'B) D RI'!AA248</f>
        <v>953</v>
      </c>
      <c r="E246" s="201">
        <f t="shared" si="25"/>
        <v>22.884543703459553</v>
      </c>
      <c r="F246" s="366">
        <f t="shared" si="26"/>
        <v>0.49748374656487693</v>
      </c>
      <c r="G246" s="377">
        <f t="shared" si="27"/>
        <v>0</v>
      </c>
      <c r="H246" s="374">
        <f t="shared" si="28"/>
        <v>0</v>
      </c>
      <c r="I246" s="377">
        <f t="shared" si="29"/>
        <v>0</v>
      </c>
      <c r="J246" s="374">
        <f t="shared" si="30"/>
        <v>0</v>
      </c>
      <c r="K246" s="369">
        <f t="shared" si="31"/>
        <v>0</v>
      </c>
      <c r="L246" s="373">
        <f t="shared" si="32"/>
        <v>0</v>
      </c>
      <c r="M246" s="113">
        <f>L246*D246*'B) D RI'!S248</f>
        <v>0</v>
      </c>
    </row>
    <row r="247" spans="1:13" x14ac:dyDescent="0.25">
      <c r="A247" s="295">
        <f>'A) Base RI'!A249</f>
        <v>5819</v>
      </c>
      <c r="B247" s="32" t="str">
        <f>'A) Base RI'!B249</f>
        <v>Henniez</v>
      </c>
      <c r="C247" s="293">
        <f>'B) D RI'!U249</f>
        <v>11876.79478923147</v>
      </c>
      <c r="D247" s="32">
        <f>'B) D RI'!AA249</f>
        <v>376</v>
      </c>
      <c r="E247" s="201">
        <f t="shared" si="25"/>
        <v>31.587220184126249</v>
      </c>
      <c r="F247" s="366">
        <f t="shared" si="26"/>
        <v>0.6866699569977992</v>
      </c>
      <c r="G247" s="377">
        <f t="shared" si="27"/>
        <v>0</v>
      </c>
      <c r="H247" s="374">
        <f t="shared" si="28"/>
        <v>0</v>
      </c>
      <c r="I247" s="377">
        <f t="shared" si="29"/>
        <v>0</v>
      </c>
      <c r="J247" s="374">
        <f t="shared" si="30"/>
        <v>0</v>
      </c>
      <c r="K247" s="369">
        <f t="shared" si="31"/>
        <v>0</v>
      </c>
      <c r="L247" s="373">
        <f t="shared" si="32"/>
        <v>0</v>
      </c>
      <c r="M247" s="113">
        <f>L247*D247*'B) D RI'!S249</f>
        <v>0</v>
      </c>
    </row>
    <row r="248" spans="1:13" x14ac:dyDescent="0.25">
      <c r="A248" s="295">
        <f>'A) Base RI'!A250</f>
        <v>5821</v>
      </c>
      <c r="B248" s="32" t="str">
        <f>'A) Base RI'!B250</f>
        <v>Missy</v>
      </c>
      <c r="C248" s="293">
        <f>'B) D RI'!U250</f>
        <v>8348.6455555555567</v>
      </c>
      <c r="D248" s="32">
        <f>'B) D RI'!AA250</f>
        <v>362</v>
      </c>
      <c r="E248" s="201">
        <f t="shared" si="25"/>
        <v>23.062556783302643</v>
      </c>
      <c r="F248" s="366">
        <f t="shared" si="26"/>
        <v>0.50135354685652556</v>
      </c>
      <c r="G248" s="377">
        <f t="shared" si="27"/>
        <v>0</v>
      </c>
      <c r="H248" s="374">
        <f t="shared" si="28"/>
        <v>0</v>
      </c>
      <c r="I248" s="377">
        <f t="shared" si="29"/>
        <v>0</v>
      </c>
      <c r="J248" s="374">
        <f t="shared" si="30"/>
        <v>0</v>
      </c>
      <c r="K248" s="369">
        <f t="shared" si="31"/>
        <v>0</v>
      </c>
      <c r="L248" s="373">
        <f t="shared" si="32"/>
        <v>0</v>
      </c>
      <c r="M248" s="113">
        <f>L248*D248*'B) D RI'!S250</f>
        <v>0</v>
      </c>
    </row>
    <row r="249" spans="1:13" x14ac:dyDescent="0.25">
      <c r="A249" s="295">
        <f>'A) Base RI'!A251</f>
        <v>5822</v>
      </c>
      <c r="B249" s="32" t="str">
        <f>'A) Base RI'!B251</f>
        <v>Payerne</v>
      </c>
      <c r="C249" s="293">
        <f>'B) D RI'!U251</f>
        <v>243639.04906619081</v>
      </c>
      <c r="D249" s="32">
        <f>'B) D RI'!AA251</f>
        <v>10072</v>
      </c>
      <c r="E249" s="201">
        <f t="shared" si="25"/>
        <v>24.189738787350159</v>
      </c>
      <c r="F249" s="366">
        <f t="shared" si="26"/>
        <v>0.52585719148673471</v>
      </c>
      <c r="G249" s="377">
        <f t="shared" si="27"/>
        <v>0</v>
      </c>
      <c r="H249" s="374">
        <f t="shared" si="28"/>
        <v>0</v>
      </c>
      <c r="I249" s="377">
        <f t="shared" si="29"/>
        <v>0</v>
      </c>
      <c r="J249" s="374">
        <f t="shared" si="30"/>
        <v>0</v>
      </c>
      <c r="K249" s="369">
        <f t="shared" si="31"/>
        <v>0</v>
      </c>
      <c r="L249" s="373">
        <f t="shared" si="32"/>
        <v>0</v>
      </c>
      <c r="M249" s="113">
        <f>L249*D249*'B) D RI'!S251</f>
        <v>0</v>
      </c>
    </row>
    <row r="250" spans="1:13" x14ac:dyDescent="0.25">
      <c r="A250" s="295">
        <f>'A) Base RI'!A252</f>
        <v>5827</v>
      </c>
      <c r="B250" s="32" t="str">
        <f>'A) Base RI'!B252</f>
        <v>Trey</v>
      </c>
      <c r="C250" s="293">
        <f>'B) D RI'!U252</f>
        <v>6759.3804152474768</v>
      </c>
      <c r="D250" s="32">
        <f>'B) D RI'!AA252</f>
        <v>285</v>
      </c>
      <c r="E250" s="201">
        <f t="shared" si="25"/>
        <v>23.717124264026236</v>
      </c>
      <c r="F250" s="366">
        <f t="shared" si="26"/>
        <v>0.51558309352826792</v>
      </c>
      <c r="G250" s="377">
        <f t="shared" si="27"/>
        <v>0</v>
      </c>
      <c r="H250" s="374">
        <f t="shared" si="28"/>
        <v>0</v>
      </c>
      <c r="I250" s="377">
        <f t="shared" si="29"/>
        <v>0</v>
      </c>
      <c r="J250" s="374">
        <f t="shared" si="30"/>
        <v>0</v>
      </c>
      <c r="K250" s="369">
        <f t="shared" si="31"/>
        <v>0</v>
      </c>
      <c r="L250" s="373">
        <f t="shared" si="32"/>
        <v>0</v>
      </c>
      <c r="M250" s="113">
        <f>L250*D250*'B) D RI'!S252</f>
        <v>0</v>
      </c>
    </row>
    <row r="251" spans="1:13" x14ac:dyDescent="0.25">
      <c r="A251" s="295">
        <f>'A) Base RI'!A253</f>
        <v>5828</v>
      </c>
      <c r="B251" s="32" t="str">
        <f>'A) Base RI'!B253</f>
        <v>Treytorrens (Payerne)</v>
      </c>
      <c r="C251" s="293">
        <f>'B) D RI'!U253</f>
        <v>2423.0145634920641</v>
      </c>
      <c r="D251" s="32">
        <f>'B) D RI'!AA253</f>
        <v>111</v>
      </c>
      <c r="E251" s="201">
        <f t="shared" si="25"/>
        <v>21.828960031460038</v>
      </c>
      <c r="F251" s="366">
        <f t="shared" si="26"/>
        <v>0.47453656759710744</v>
      </c>
      <c r="G251" s="377">
        <f t="shared" si="27"/>
        <v>0</v>
      </c>
      <c r="H251" s="374">
        <f t="shared" si="28"/>
        <v>0</v>
      </c>
      <c r="I251" s="377">
        <f t="shared" si="29"/>
        <v>0</v>
      </c>
      <c r="J251" s="374">
        <f t="shared" si="30"/>
        <v>0</v>
      </c>
      <c r="K251" s="369">
        <f t="shared" si="31"/>
        <v>0</v>
      </c>
      <c r="L251" s="373">
        <f t="shared" si="32"/>
        <v>0</v>
      </c>
      <c r="M251" s="113">
        <f>L251*D251*'B) D RI'!S253</f>
        <v>0</v>
      </c>
    </row>
    <row r="252" spans="1:13" x14ac:dyDescent="0.25">
      <c r="A252" s="295">
        <f>'A) Base RI'!A254</f>
        <v>5830</v>
      </c>
      <c r="B252" s="32" t="str">
        <f>'A) Base RI'!B254</f>
        <v>Villarzel</v>
      </c>
      <c r="C252" s="293">
        <f>'B) D RI'!U254</f>
        <v>13663.209789449775</v>
      </c>
      <c r="D252" s="32">
        <f>'B) D RI'!AA254</f>
        <v>451</v>
      </c>
      <c r="E252" s="201">
        <f t="shared" si="25"/>
        <v>30.295365386806594</v>
      </c>
      <c r="F252" s="366">
        <f t="shared" si="26"/>
        <v>0.65858651461344286</v>
      </c>
      <c r="G252" s="377">
        <f t="shared" si="27"/>
        <v>0</v>
      </c>
      <c r="H252" s="374">
        <f t="shared" si="28"/>
        <v>0</v>
      </c>
      <c r="I252" s="377">
        <f t="shared" si="29"/>
        <v>0</v>
      </c>
      <c r="J252" s="374">
        <f t="shared" si="30"/>
        <v>0</v>
      </c>
      <c r="K252" s="369">
        <f t="shared" si="31"/>
        <v>0</v>
      </c>
      <c r="L252" s="373">
        <f t="shared" si="32"/>
        <v>0</v>
      </c>
      <c r="M252" s="113">
        <f>L252*D252*'B) D RI'!S254</f>
        <v>0</v>
      </c>
    </row>
    <row r="253" spans="1:13" x14ac:dyDescent="0.25">
      <c r="A253" s="295">
        <f>'A) Base RI'!A255</f>
        <v>5831</v>
      </c>
      <c r="B253" s="32" t="str">
        <f>'A) Base RI'!B255</f>
        <v>Valbroye</v>
      </c>
      <c r="C253" s="293">
        <f>'B) D RI'!U255</f>
        <v>90456.809812842344</v>
      </c>
      <c r="D253" s="32">
        <f>'B) D RI'!AA255</f>
        <v>3296</v>
      </c>
      <c r="E253" s="201">
        <f t="shared" si="25"/>
        <v>27.444420452925467</v>
      </c>
      <c r="F253" s="366">
        <f t="shared" si="26"/>
        <v>0.59661023991311191</v>
      </c>
      <c r="G253" s="377">
        <f t="shared" si="27"/>
        <v>0</v>
      </c>
      <c r="H253" s="374">
        <f t="shared" si="28"/>
        <v>0</v>
      </c>
      <c r="I253" s="377">
        <f t="shared" si="29"/>
        <v>0</v>
      </c>
      <c r="J253" s="374">
        <f t="shared" si="30"/>
        <v>0</v>
      </c>
      <c r="K253" s="369">
        <f t="shared" si="31"/>
        <v>0</v>
      </c>
      <c r="L253" s="373">
        <f t="shared" si="32"/>
        <v>0</v>
      </c>
      <c r="M253" s="113">
        <f>L253*D253*'B) D RI'!S255</f>
        <v>0</v>
      </c>
    </row>
    <row r="254" spans="1:13" x14ac:dyDescent="0.25">
      <c r="A254" s="295">
        <f>'A) Base RI'!A256</f>
        <v>5841</v>
      </c>
      <c r="B254" s="32" t="str">
        <f>'A) Base RI'!B256</f>
        <v>Château-d'Oex</v>
      </c>
      <c r="C254" s="293">
        <f>'B) D RI'!U256</f>
        <v>118378.66757105118</v>
      </c>
      <c r="D254" s="32">
        <f>'B) D RI'!AA256</f>
        <v>3468</v>
      </c>
      <c r="E254" s="201">
        <f t="shared" si="25"/>
        <v>34.134563890153167</v>
      </c>
      <c r="F254" s="366">
        <f t="shared" si="26"/>
        <v>0.74204628903587921</v>
      </c>
      <c r="G254" s="377">
        <f t="shared" si="27"/>
        <v>0</v>
      </c>
      <c r="H254" s="374">
        <f t="shared" si="28"/>
        <v>0</v>
      </c>
      <c r="I254" s="377">
        <f t="shared" si="29"/>
        <v>0</v>
      </c>
      <c r="J254" s="374">
        <f t="shared" si="30"/>
        <v>0</v>
      </c>
      <c r="K254" s="369">
        <f t="shared" si="31"/>
        <v>0</v>
      </c>
      <c r="L254" s="373">
        <f t="shared" si="32"/>
        <v>0</v>
      </c>
      <c r="M254" s="113">
        <f>L254*D254*'B) D RI'!S256</f>
        <v>0</v>
      </c>
    </row>
    <row r="255" spans="1:13" x14ac:dyDescent="0.25">
      <c r="A255" s="295">
        <f>'A) Base RI'!A257</f>
        <v>5842</v>
      </c>
      <c r="B255" s="32" t="str">
        <f>'A) Base RI'!B257</f>
        <v>Rossinière</v>
      </c>
      <c r="C255" s="293">
        <f>'B) D RI'!U257</f>
        <v>13768.598420203307</v>
      </c>
      <c r="D255" s="32">
        <f>'B) D RI'!AA257</f>
        <v>548</v>
      </c>
      <c r="E255" s="201">
        <f t="shared" si="25"/>
        <v>25.125179598911146</v>
      </c>
      <c r="F255" s="366">
        <f t="shared" si="26"/>
        <v>0.54619260239355993</v>
      </c>
      <c r="G255" s="377">
        <f t="shared" si="27"/>
        <v>0</v>
      </c>
      <c r="H255" s="374">
        <f t="shared" si="28"/>
        <v>0</v>
      </c>
      <c r="I255" s="377">
        <f t="shared" si="29"/>
        <v>0</v>
      </c>
      <c r="J255" s="374">
        <f t="shared" si="30"/>
        <v>0</v>
      </c>
      <c r="K255" s="369">
        <f t="shared" si="31"/>
        <v>0</v>
      </c>
      <c r="L255" s="373">
        <f t="shared" si="32"/>
        <v>0</v>
      </c>
      <c r="M255" s="113">
        <f>L255*D255*'B) D RI'!S257</f>
        <v>0</v>
      </c>
    </row>
    <row r="256" spans="1:13" x14ac:dyDescent="0.25">
      <c r="A256" s="295">
        <f>'A) Base RI'!A258</f>
        <v>5843</v>
      </c>
      <c r="B256" s="32" t="str">
        <f>'A) Base RI'!B258</f>
        <v>Rougemont</v>
      </c>
      <c r="C256" s="293">
        <f>'B) D RI'!U258</f>
        <v>85900.087382527112</v>
      </c>
      <c r="D256" s="32">
        <f>'B) D RI'!AA258</f>
        <v>858</v>
      </c>
      <c r="E256" s="201">
        <f t="shared" si="25"/>
        <v>100.11665196098731</v>
      </c>
      <c r="F256" s="366">
        <f t="shared" si="26"/>
        <v>2.1764212455568583</v>
      </c>
      <c r="G256" s="377">
        <f t="shared" si="27"/>
        <v>54.11606629064687</v>
      </c>
      <c r="H256" s="374">
        <f t="shared" si="28"/>
        <v>44.915949156578783</v>
      </c>
      <c r="I256" s="377">
        <f t="shared" si="29"/>
        <v>31.115773455476656</v>
      </c>
      <c r="J256" s="374">
        <f t="shared" si="30"/>
        <v>8.1154806203064282</v>
      </c>
      <c r="K256" s="369">
        <f t="shared" si="31"/>
        <v>0</v>
      </c>
      <c r="L256" s="373">
        <f t="shared" si="32"/>
        <v>19.23793358136556</v>
      </c>
      <c r="M256" s="113">
        <f>L256*D256*'B) D RI'!S258</f>
        <v>1221454.878948062</v>
      </c>
    </row>
    <row r="257" spans="1:13" x14ac:dyDescent="0.25">
      <c r="A257" s="295">
        <f>'A) Base RI'!A259</f>
        <v>5851</v>
      </c>
      <c r="B257" s="32" t="str">
        <f>'A) Base RI'!B259</f>
        <v>Allaman</v>
      </c>
      <c r="C257" s="293">
        <f>'B) D RI'!U259</f>
        <v>23250.654215447554</v>
      </c>
      <c r="D257" s="32">
        <f>'B) D RI'!AA259</f>
        <v>451</v>
      </c>
      <c r="E257" s="201">
        <f t="shared" si="25"/>
        <v>51.553557018730714</v>
      </c>
      <c r="F257" s="366">
        <f t="shared" si="26"/>
        <v>1.1207152315012945</v>
      </c>
      <c r="G257" s="377">
        <f t="shared" si="27"/>
        <v>5.5529713483902725</v>
      </c>
      <c r="H257" s="374">
        <f t="shared" si="28"/>
        <v>0</v>
      </c>
      <c r="I257" s="377">
        <f t="shared" si="29"/>
        <v>0</v>
      </c>
      <c r="J257" s="374">
        <f t="shared" si="30"/>
        <v>0</v>
      </c>
      <c r="K257" s="369">
        <f t="shared" si="31"/>
        <v>0</v>
      </c>
      <c r="L257" s="373">
        <f t="shared" si="32"/>
        <v>1.1105942696780546</v>
      </c>
      <c r="M257" s="113">
        <f>L257*D257*'B) D RI'!S259</f>
        <v>31054.436968737762</v>
      </c>
    </row>
    <row r="258" spans="1:13" x14ac:dyDescent="0.25">
      <c r="A258" s="295">
        <f>'A) Base RI'!A260</f>
        <v>5852</v>
      </c>
      <c r="B258" s="32" t="str">
        <f>'A) Base RI'!B260</f>
        <v>Bursinel</v>
      </c>
      <c r="C258" s="293">
        <f>'B) D RI'!U260</f>
        <v>39678.838013791166</v>
      </c>
      <c r="D258" s="32">
        <f>'B) D RI'!AA260</f>
        <v>473</v>
      </c>
      <c r="E258" s="201">
        <f t="shared" si="25"/>
        <v>83.887606794484498</v>
      </c>
      <c r="F258" s="366">
        <f t="shared" si="26"/>
        <v>1.8236204076978149</v>
      </c>
      <c r="G258" s="377">
        <f t="shared" si="27"/>
        <v>37.887021124144056</v>
      </c>
      <c r="H258" s="374">
        <f t="shared" si="28"/>
        <v>28.686903990075969</v>
      </c>
      <c r="I258" s="377">
        <f t="shared" si="29"/>
        <v>14.886728288973842</v>
      </c>
      <c r="J258" s="374">
        <f t="shared" si="30"/>
        <v>0</v>
      </c>
      <c r="K258" s="369">
        <f t="shared" si="31"/>
        <v>0</v>
      </c>
      <c r="L258" s="373">
        <f t="shared" si="32"/>
        <v>11.934767452733793</v>
      </c>
      <c r="M258" s="113">
        <f>L258*D258*'B) D RI'!S260</f>
        <v>369756.997836872</v>
      </c>
    </row>
    <row r="259" spans="1:13" x14ac:dyDescent="0.25">
      <c r="A259" s="295">
        <f>'A) Base RI'!A261</f>
        <v>5853</v>
      </c>
      <c r="B259" s="32" t="str">
        <f>'A) Base RI'!B261</f>
        <v>Bursins</v>
      </c>
      <c r="C259" s="293">
        <f>'B) D RI'!U261</f>
        <v>36264.072017403523</v>
      </c>
      <c r="D259" s="32">
        <f>'B) D RI'!AA261</f>
        <v>782</v>
      </c>
      <c r="E259" s="201">
        <f t="shared" si="25"/>
        <v>46.373493628393256</v>
      </c>
      <c r="F259" s="366">
        <f t="shared" si="26"/>
        <v>1.0081065915274476</v>
      </c>
      <c r="G259" s="377">
        <f t="shared" si="27"/>
        <v>0.37290795805281363</v>
      </c>
      <c r="H259" s="374">
        <f t="shared" si="28"/>
        <v>0</v>
      </c>
      <c r="I259" s="377">
        <f t="shared" si="29"/>
        <v>0</v>
      </c>
      <c r="J259" s="374">
        <f t="shared" si="30"/>
        <v>0</v>
      </c>
      <c r="K259" s="369">
        <f t="shared" si="31"/>
        <v>0</v>
      </c>
      <c r="L259" s="373">
        <f t="shared" si="32"/>
        <v>7.4581591610562728E-2</v>
      </c>
      <c r="M259" s="113">
        <f>L259*D259*'B) D RI'!S261</f>
        <v>4140.9191294016637</v>
      </c>
    </row>
    <row r="260" spans="1:13" x14ac:dyDescent="0.25">
      <c r="A260" s="295">
        <f>'A) Base RI'!A262</f>
        <v>5854</v>
      </c>
      <c r="B260" s="32" t="str">
        <f>'A) Base RI'!B262</f>
        <v>Burtigny</v>
      </c>
      <c r="C260" s="293">
        <f>'B) D RI'!U262</f>
        <v>11037.411333333333</v>
      </c>
      <c r="D260" s="32">
        <f>'B) D RI'!AA262</f>
        <v>390</v>
      </c>
      <c r="E260" s="201">
        <f t="shared" si="25"/>
        <v>28.301054700854703</v>
      </c>
      <c r="F260" s="366">
        <f t="shared" si="26"/>
        <v>0.61523248646597617</v>
      </c>
      <c r="G260" s="377">
        <f t="shared" si="27"/>
        <v>0</v>
      </c>
      <c r="H260" s="374">
        <f t="shared" si="28"/>
        <v>0</v>
      </c>
      <c r="I260" s="377">
        <f t="shared" si="29"/>
        <v>0</v>
      </c>
      <c r="J260" s="374">
        <f t="shared" si="30"/>
        <v>0</v>
      </c>
      <c r="K260" s="369">
        <f t="shared" si="31"/>
        <v>0</v>
      </c>
      <c r="L260" s="373">
        <f t="shared" si="32"/>
        <v>0</v>
      </c>
      <c r="M260" s="113">
        <f>L260*D260*'B) D RI'!S262</f>
        <v>0</v>
      </c>
    </row>
    <row r="261" spans="1:13" x14ac:dyDescent="0.25">
      <c r="A261" s="295">
        <f>'A) Base RI'!A263</f>
        <v>5855</v>
      </c>
      <c r="B261" s="32" t="str">
        <f>'A) Base RI'!B263</f>
        <v>Dully</v>
      </c>
      <c r="C261" s="293">
        <f>'B) D RI'!U263</f>
        <v>79587.82351399264</v>
      </c>
      <c r="D261" s="32">
        <f>'B) D RI'!AA263</f>
        <v>639</v>
      </c>
      <c r="E261" s="201">
        <f t="shared" ref="E261:E312" si="33">C261/D261</f>
        <v>124.55058452893996</v>
      </c>
      <c r="F261" s="366">
        <f t="shared" ref="F261:F312" si="34">E261/$E$313</f>
        <v>2.7075869299039339</v>
      </c>
      <c r="G261" s="377">
        <f t="shared" ref="G261:G312" si="35">IF(E261-$G$2&lt;0,0,E261-$G$2)</f>
        <v>78.549998858599523</v>
      </c>
      <c r="H261" s="374">
        <f t="shared" ref="H261:H312" si="36">IF(E261-$H$2&lt;0,0,E261-$H$2)</f>
        <v>69.349881724531429</v>
      </c>
      <c r="I261" s="377">
        <f t="shared" ref="I261:I312" si="37">IF(E261-$I$2&lt;0,0,E261-$I$2)</f>
        <v>55.549706023429309</v>
      </c>
      <c r="J261" s="374">
        <f t="shared" ref="J261:J312" si="38">IF(E261-$J$2&lt;0,0,E261-$J$2)</f>
        <v>32.549413188259081</v>
      </c>
      <c r="K261" s="369">
        <f t="shared" ref="K261:K312" si="39">IF(E261-$K$2&lt;0,0,E261-$K$2)</f>
        <v>0</v>
      </c>
      <c r="L261" s="373">
        <f t="shared" ref="L261:L312" si="40">(G261-H261)*$G$3+(H261-I261)*$H$3+(I261-J261)*$I$3+(J261-K261)*$J$3+(K261*$K$3)</f>
        <v>31.454899865341886</v>
      </c>
      <c r="M261" s="113">
        <f>L261*D261*'B) D RI'!S263</f>
        <v>984884.36968371971</v>
      </c>
    </row>
    <row r="262" spans="1:13" x14ac:dyDescent="0.25">
      <c r="A262" s="295">
        <f>'A) Base RI'!A264</f>
        <v>5856</v>
      </c>
      <c r="B262" s="32" t="str">
        <f>'A) Base RI'!B264</f>
        <v>Essertines-sur-Rolle</v>
      </c>
      <c r="C262" s="293">
        <f>'B) D RI'!U264</f>
        <v>36512.686266191689</v>
      </c>
      <c r="D262" s="32">
        <f>'B) D RI'!AA264</f>
        <v>722</v>
      </c>
      <c r="E262" s="201">
        <f t="shared" si="33"/>
        <v>50.571587626304279</v>
      </c>
      <c r="F262" s="366">
        <f t="shared" si="34"/>
        <v>1.0993683425841914</v>
      </c>
      <c r="G262" s="377">
        <f t="shared" si="35"/>
        <v>4.5710019559638368</v>
      </c>
      <c r="H262" s="374">
        <f t="shared" si="36"/>
        <v>0</v>
      </c>
      <c r="I262" s="377">
        <f t="shared" si="37"/>
        <v>0</v>
      </c>
      <c r="J262" s="374">
        <f t="shared" si="38"/>
        <v>0</v>
      </c>
      <c r="K262" s="369">
        <f t="shared" si="39"/>
        <v>0</v>
      </c>
      <c r="L262" s="373">
        <f t="shared" si="40"/>
        <v>0.91420039119276741</v>
      </c>
      <c r="M262" s="113">
        <f>L262*D262*'B) D RI'!S264</f>
        <v>44883.582406000103</v>
      </c>
    </row>
    <row r="263" spans="1:13" x14ac:dyDescent="0.25">
      <c r="A263" s="295">
        <f>'A) Base RI'!A265</f>
        <v>5857</v>
      </c>
      <c r="B263" s="32" t="str">
        <f>'A) Base RI'!B265</f>
        <v>Gilly</v>
      </c>
      <c r="C263" s="293">
        <f>'B) D RI'!U265</f>
        <v>85445.15246923732</v>
      </c>
      <c r="D263" s="32">
        <f>'B) D RI'!AA265</f>
        <v>1370</v>
      </c>
      <c r="E263" s="201">
        <f t="shared" si="33"/>
        <v>62.368724430100237</v>
      </c>
      <c r="F263" s="366">
        <f t="shared" si="34"/>
        <v>1.3558245731274112</v>
      </c>
      <c r="G263" s="377">
        <f t="shared" si="35"/>
        <v>16.368138759759795</v>
      </c>
      <c r="H263" s="374">
        <f t="shared" si="36"/>
        <v>7.1680216256917078</v>
      </c>
      <c r="I263" s="377">
        <f t="shared" si="37"/>
        <v>0</v>
      </c>
      <c r="J263" s="374">
        <f t="shared" si="38"/>
        <v>0</v>
      </c>
      <c r="K263" s="369">
        <f t="shared" si="39"/>
        <v>0</v>
      </c>
      <c r="L263" s="373">
        <f t="shared" si="40"/>
        <v>3.9904299145211297</v>
      </c>
      <c r="M263" s="113">
        <f>L263*D263*'B) D RI'!S265</f>
        <v>360814.67287100054</v>
      </c>
    </row>
    <row r="264" spans="1:13" x14ac:dyDescent="0.25">
      <c r="A264" s="295">
        <f>'A) Base RI'!A266</f>
        <v>5858</v>
      </c>
      <c r="B264" s="32" t="str">
        <f>'A) Base RI'!B266</f>
        <v>Luins</v>
      </c>
      <c r="C264" s="293">
        <f>'B) D RI'!U266</f>
        <v>46686.611465586961</v>
      </c>
      <c r="D264" s="32">
        <f>'B) D RI'!AA266</f>
        <v>621</v>
      </c>
      <c r="E264" s="201">
        <f t="shared" si="33"/>
        <v>75.17972860803053</v>
      </c>
      <c r="F264" s="366">
        <f t="shared" si="34"/>
        <v>1.6343211181440189</v>
      </c>
      <c r="G264" s="377">
        <f t="shared" si="35"/>
        <v>29.179142937690088</v>
      </c>
      <c r="H264" s="374">
        <f t="shared" si="36"/>
        <v>19.979025803622001</v>
      </c>
      <c r="I264" s="377">
        <f t="shared" si="37"/>
        <v>6.1788501025198741</v>
      </c>
      <c r="J264" s="374">
        <f t="shared" si="38"/>
        <v>0</v>
      </c>
      <c r="K264" s="369">
        <f t="shared" si="39"/>
        <v>0</v>
      </c>
      <c r="L264" s="373">
        <f t="shared" si="40"/>
        <v>8.4516161781522054</v>
      </c>
      <c r="M264" s="113">
        <f>L264*D264*'B) D RI'!S266</f>
        <v>314907.21879795118</v>
      </c>
    </row>
    <row r="265" spans="1:13" x14ac:dyDescent="0.25">
      <c r="A265" s="295">
        <f>'A) Base RI'!A267</f>
        <v>5859</v>
      </c>
      <c r="B265" s="32" t="str">
        <f>'A) Base RI'!B267</f>
        <v>Mont-sur-Rolle</v>
      </c>
      <c r="C265" s="293">
        <f>'B) D RI'!U267</f>
        <v>136353.72580116385</v>
      </c>
      <c r="D265" s="32">
        <f>'B) D RI'!AA267</f>
        <v>2677</v>
      </c>
      <c r="E265" s="201">
        <f t="shared" si="33"/>
        <v>50.935272992590157</v>
      </c>
      <c r="F265" s="366">
        <f t="shared" si="34"/>
        <v>1.1072744455388843</v>
      </c>
      <c r="G265" s="377">
        <f t="shared" si="35"/>
        <v>4.9346873222497152</v>
      </c>
      <c r="H265" s="374">
        <f t="shared" si="36"/>
        <v>0</v>
      </c>
      <c r="I265" s="377">
        <f t="shared" si="37"/>
        <v>0</v>
      </c>
      <c r="J265" s="374">
        <f t="shared" si="38"/>
        <v>0</v>
      </c>
      <c r="K265" s="369">
        <f t="shared" si="39"/>
        <v>0</v>
      </c>
      <c r="L265" s="373">
        <f t="shared" si="40"/>
        <v>0.98693746444994312</v>
      </c>
      <c r="M265" s="113">
        <f>L265*D265*'B) D RI'!S267</f>
        <v>171732.05350161236</v>
      </c>
    </row>
    <row r="266" spans="1:13" x14ac:dyDescent="0.25">
      <c r="A266" s="295">
        <f>'A) Base RI'!A268</f>
        <v>5860</v>
      </c>
      <c r="B266" s="32" t="str">
        <f>'A) Base RI'!B268</f>
        <v>Perroy</v>
      </c>
      <c r="C266" s="293">
        <f>'B) D RI'!U268</f>
        <v>102639.35399012771</v>
      </c>
      <c r="D266" s="32">
        <f>'B) D RI'!AA268</f>
        <v>1497</v>
      </c>
      <c r="E266" s="201">
        <f t="shared" si="33"/>
        <v>68.563362718856183</v>
      </c>
      <c r="F266" s="366">
        <f t="shared" si="34"/>
        <v>1.4904889083415176</v>
      </c>
      <c r="G266" s="377">
        <f t="shared" si="35"/>
        <v>22.562777048515741</v>
      </c>
      <c r="H266" s="374">
        <f t="shared" si="36"/>
        <v>13.362659914447654</v>
      </c>
      <c r="I266" s="377">
        <f t="shared" si="37"/>
        <v>0</v>
      </c>
      <c r="J266" s="374">
        <f t="shared" si="38"/>
        <v>0</v>
      </c>
      <c r="K266" s="369">
        <f t="shared" si="39"/>
        <v>0</v>
      </c>
      <c r="L266" s="373">
        <f t="shared" si="40"/>
        <v>5.848821401147914</v>
      </c>
      <c r="M266" s="113">
        <f>L266*D266*'B) D RI'!S268</f>
        <v>525341.13825110567</v>
      </c>
    </row>
    <row r="267" spans="1:13" x14ac:dyDescent="0.25">
      <c r="A267" s="295">
        <f>'A) Base RI'!A269</f>
        <v>5861</v>
      </c>
      <c r="B267" s="32" t="str">
        <f>'A) Base RI'!B269</f>
        <v>Rolle</v>
      </c>
      <c r="C267" s="293">
        <f>'B) D RI'!U269</f>
        <v>542281.32528677804</v>
      </c>
      <c r="D267" s="32">
        <f>'B) D RI'!AA269</f>
        <v>6245</v>
      </c>
      <c r="E267" s="201">
        <f t="shared" si="33"/>
        <v>86.834479629588159</v>
      </c>
      <c r="F267" s="366">
        <f t="shared" si="34"/>
        <v>1.8876820450043961</v>
      </c>
      <c r="G267" s="377">
        <f t="shared" si="35"/>
        <v>40.833893959247717</v>
      </c>
      <c r="H267" s="374">
        <f t="shared" si="36"/>
        <v>31.633776825179631</v>
      </c>
      <c r="I267" s="377">
        <f t="shared" si="37"/>
        <v>17.833601124077504</v>
      </c>
      <c r="J267" s="374">
        <f t="shared" si="38"/>
        <v>0</v>
      </c>
      <c r="K267" s="369">
        <f t="shared" si="39"/>
        <v>0</v>
      </c>
      <c r="L267" s="373">
        <f t="shared" si="40"/>
        <v>13.113516586775258</v>
      </c>
      <c r="M267" s="113">
        <f>L267*D267*'B) D RI'!S269</f>
        <v>4872687.7095224839</v>
      </c>
    </row>
    <row r="268" spans="1:13" x14ac:dyDescent="0.25">
      <c r="A268" s="295">
        <f>'A) Base RI'!A270</f>
        <v>5862</v>
      </c>
      <c r="B268" s="32" t="str">
        <f>'A) Base RI'!B270</f>
        <v>Tartegnin</v>
      </c>
      <c r="C268" s="293">
        <f>'B) D RI'!U270</f>
        <v>10952.855675530331</v>
      </c>
      <c r="D268" s="32">
        <f>'B) D RI'!AA270</f>
        <v>233</v>
      </c>
      <c r="E268" s="201">
        <f t="shared" si="33"/>
        <v>47.007964272662363</v>
      </c>
      <c r="F268" s="366">
        <f t="shared" si="34"/>
        <v>1.0218992560125477</v>
      </c>
      <c r="G268" s="377">
        <f t="shared" si="35"/>
        <v>1.0073786023219213</v>
      </c>
      <c r="H268" s="374">
        <f t="shared" si="36"/>
        <v>0</v>
      </c>
      <c r="I268" s="377">
        <f t="shared" si="37"/>
        <v>0</v>
      </c>
      <c r="J268" s="374">
        <f t="shared" si="38"/>
        <v>0</v>
      </c>
      <c r="K268" s="369">
        <f t="shared" si="39"/>
        <v>0</v>
      </c>
      <c r="L268" s="373">
        <f t="shared" si="40"/>
        <v>0.20147572046438428</v>
      </c>
      <c r="M268" s="113">
        <f>L268*D268*'B) D RI'!S270</f>
        <v>3802.4512723243242</v>
      </c>
    </row>
    <row r="269" spans="1:13" x14ac:dyDescent="0.25">
      <c r="A269" s="295">
        <f>'A) Base RI'!A271</f>
        <v>5863</v>
      </c>
      <c r="B269" s="32" t="str">
        <f>'A) Base RI'!B271</f>
        <v>Vinzel</v>
      </c>
      <c r="C269" s="293">
        <f>'B) D RI'!U271</f>
        <v>17853.344314731814</v>
      </c>
      <c r="D269" s="32">
        <f>'B) D RI'!AA271</f>
        <v>355</v>
      </c>
      <c r="E269" s="201">
        <f t="shared" si="33"/>
        <v>50.291110745723422</v>
      </c>
      <c r="F269" s="366">
        <f t="shared" si="34"/>
        <v>1.0932710967232175</v>
      </c>
      <c r="G269" s="377">
        <f t="shared" si="35"/>
        <v>4.2905250753829804</v>
      </c>
      <c r="H269" s="374">
        <f t="shared" si="36"/>
        <v>0</v>
      </c>
      <c r="I269" s="377">
        <f t="shared" si="37"/>
        <v>0</v>
      </c>
      <c r="J269" s="374">
        <f t="shared" si="38"/>
        <v>0</v>
      </c>
      <c r="K269" s="369">
        <f t="shared" si="39"/>
        <v>0</v>
      </c>
      <c r="L269" s="373">
        <f t="shared" si="40"/>
        <v>0.85810501507659609</v>
      </c>
      <c r="M269" s="113">
        <f>L269*D269*'B) D RI'!S271</f>
        <v>20410.027783596841</v>
      </c>
    </row>
    <row r="270" spans="1:13" x14ac:dyDescent="0.25">
      <c r="A270" s="295">
        <f>'A) Base RI'!A272</f>
        <v>5871</v>
      </c>
      <c r="B270" s="32" t="str">
        <f>'A) Base RI'!B272</f>
        <v>L'Abbaye</v>
      </c>
      <c r="C270" s="293">
        <f>'B) D RI'!U272</f>
        <v>46407.687824597124</v>
      </c>
      <c r="D270" s="32">
        <f>'B) D RI'!AA272</f>
        <v>1481</v>
      </c>
      <c r="E270" s="201">
        <f t="shared" si="33"/>
        <v>31.335373277918382</v>
      </c>
      <c r="F270" s="366">
        <f t="shared" si="34"/>
        <v>0.68119509395990863</v>
      </c>
      <c r="G270" s="377">
        <f t="shared" si="35"/>
        <v>0</v>
      </c>
      <c r="H270" s="374">
        <f t="shared" si="36"/>
        <v>0</v>
      </c>
      <c r="I270" s="377">
        <f t="shared" si="37"/>
        <v>0</v>
      </c>
      <c r="J270" s="374">
        <f t="shared" si="38"/>
        <v>0</v>
      </c>
      <c r="K270" s="369">
        <f t="shared" si="39"/>
        <v>0</v>
      </c>
      <c r="L270" s="373">
        <f t="shared" si="40"/>
        <v>0</v>
      </c>
      <c r="M270" s="113">
        <f>L270*D270*'B) D RI'!S272</f>
        <v>0</v>
      </c>
    </row>
    <row r="271" spans="1:13" x14ac:dyDescent="0.25">
      <c r="A271" s="295">
        <f>'A) Base RI'!A273</f>
        <v>5872</v>
      </c>
      <c r="B271" s="32" t="str">
        <f>'A) Base RI'!B273</f>
        <v>Le Chenit</v>
      </c>
      <c r="C271" s="293">
        <f>'B) D RI'!U273</f>
        <v>253970.36617173007</v>
      </c>
      <c r="D271" s="32">
        <f>'B) D RI'!AA273</f>
        <v>4657</v>
      </c>
      <c r="E271" s="201">
        <f t="shared" si="33"/>
        <v>54.535187067152691</v>
      </c>
      <c r="F271" s="366">
        <f t="shared" si="34"/>
        <v>1.1855324507817095</v>
      </c>
      <c r="G271" s="377">
        <f t="shared" si="35"/>
        <v>8.5346013968122492</v>
      </c>
      <c r="H271" s="374">
        <f t="shared" si="36"/>
        <v>0</v>
      </c>
      <c r="I271" s="377">
        <f t="shared" si="37"/>
        <v>0</v>
      </c>
      <c r="J271" s="374">
        <f t="shared" si="38"/>
        <v>0</v>
      </c>
      <c r="K271" s="369">
        <f t="shared" si="39"/>
        <v>0</v>
      </c>
      <c r="L271" s="373">
        <f t="shared" si="40"/>
        <v>1.7069202793624498</v>
      </c>
      <c r="M271" s="113">
        <f>L271*D271*'B) D RI'!S273</f>
        <v>543640.84620636958</v>
      </c>
    </row>
    <row r="272" spans="1:13" x14ac:dyDescent="0.25">
      <c r="A272" s="295">
        <f>'A) Base RI'!A274</f>
        <v>5873</v>
      </c>
      <c r="B272" s="32" t="str">
        <f>'A) Base RI'!B274</f>
        <v>Le Lieu</v>
      </c>
      <c r="C272" s="293">
        <f>'B) D RI'!U274</f>
        <v>28515.54687424951</v>
      </c>
      <c r="D272" s="32">
        <f>'B) D RI'!AA274</f>
        <v>900</v>
      </c>
      <c r="E272" s="201">
        <f t="shared" si="33"/>
        <v>31.683940971388346</v>
      </c>
      <c r="F272" s="366">
        <f t="shared" si="34"/>
        <v>0.68877255603762966</v>
      </c>
      <c r="G272" s="377">
        <f t="shared" si="35"/>
        <v>0</v>
      </c>
      <c r="H272" s="374">
        <f t="shared" si="36"/>
        <v>0</v>
      </c>
      <c r="I272" s="377">
        <f t="shared" si="37"/>
        <v>0</v>
      </c>
      <c r="J272" s="374">
        <f t="shared" si="38"/>
        <v>0</v>
      </c>
      <c r="K272" s="369">
        <f t="shared" si="39"/>
        <v>0</v>
      </c>
      <c r="L272" s="373">
        <f t="shared" si="40"/>
        <v>0</v>
      </c>
      <c r="M272" s="113">
        <f>L272*D272*'B) D RI'!S274</f>
        <v>0</v>
      </c>
    </row>
    <row r="273" spans="1:13" x14ac:dyDescent="0.25">
      <c r="A273" s="295">
        <f>'A) Base RI'!A275</f>
        <v>5881</v>
      </c>
      <c r="B273" s="32" t="str">
        <f>'A) Base RI'!B275</f>
        <v>Blonay</v>
      </c>
      <c r="C273" s="293">
        <f>'B) D RI'!U275</f>
        <v>355094.49330320884</v>
      </c>
      <c r="D273" s="32">
        <f>'B) D RI'!AA275</f>
        <v>6151</v>
      </c>
      <c r="E273" s="201">
        <f t="shared" si="33"/>
        <v>57.729555080996398</v>
      </c>
      <c r="F273" s="366">
        <f t="shared" si="34"/>
        <v>1.2549743495596053</v>
      </c>
      <c r="G273" s="377">
        <f t="shared" si="35"/>
        <v>11.728969410655957</v>
      </c>
      <c r="H273" s="374">
        <f t="shared" si="36"/>
        <v>2.5288522765878696</v>
      </c>
      <c r="I273" s="377">
        <f t="shared" si="37"/>
        <v>0</v>
      </c>
      <c r="J273" s="374">
        <f t="shared" si="38"/>
        <v>0</v>
      </c>
      <c r="K273" s="369">
        <f t="shared" si="39"/>
        <v>0</v>
      </c>
      <c r="L273" s="373">
        <f t="shared" si="40"/>
        <v>2.5986791097899786</v>
      </c>
      <c r="M273" s="113">
        <f>L273*D273*'B) D RI'!S275</f>
        <v>1118913.264302271</v>
      </c>
    </row>
    <row r="274" spans="1:13" x14ac:dyDescent="0.25">
      <c r="A274" s="295">
        <f>'A) Base RI'!A276</f>
        <v>5882</v>
      </c>
      <c r="B274" s="32" t="str">
        <f>'A) Base RI'!B276</f>
        <v>Chardonne</v>
      </c>
      <c r="C274" s="293">
        <f>'B) D RI'!U276</f>
        <v>184065.71182844636</v>
      </c>
      <c r="D274" s="32">
        <f>'B) D RI'!AA276</f>
        <v>3032</v>
      </c>
      <c r="E274" s="201">
        <f t="shared" si="33"/>
        <v>60.707688597772545</v>
      </c>
      <c r="F274" s="366">
        <f t="shared" si="34"/>
        <v>1.3197155582502664</v>
      </c>
      <c r="G274" s="377">
        <f t="shared" si="35"/>
        <v>14.707102927432103</v>
      </c>
      <c r="H274" s="374">
        <f t="shared" si="36"/>
        <v>5.5069857933640165</v>
      </c>
      <c r="I274" s="377">
        <f t="shared" si="37"/>
        <v>0</v>
      </c>
      <c r="J274" s="374">
        <f t="shared" si="38"/>
        <v>0</v>
      </c>
      <c r="K274" s="369">
        <f t="shared" si="39"/>
        <v>0</v>
      </c>
      <c r="L274" s="373">
        <f t="shared" si="40"/>
        <v>3.4921191648228227</v>
      </c>
      <c r="M274" s="113">
        <f>L274*D274*'B) D RI'!S276</f>
        <v>719991.16092651035</v>
      </c>
    </row>
    <row r="275" spans="1:13" x14ac:dyDescent="0.25">
      <c r="A275" s="295">
        <f>'A) Base RI'!A277</f>
        <v>5883</v>
      </c>
      <c r="B275" s="32" t="str">
        <f>'A) Base RI'!B277</f>
        <v>Corseaux</v>
      </c>
      <c r="C275" s="293">
        <f>'B) D RI'!U277</f>
        <v>164452.64554996623</v>
      </c>
      <c r="D275" s="32">
        <f>'B) D RI'!AA277</f>
        <v>2287</v>
      </c>
      <c r="E275" s="201">
        <f t="shared" si="33"/>
        <v>71.907584411878545</v>
      </c>
      <c r="F275" s="366">
        <f t="shared" si="34"/>
        <v>1.5631884543209638</v>
      </c>
      <c r="G275" s="377">
        <f t="shared" si="35"/>
        <v>25.906998741538104</v>
      </c>
      <c r="H275" s="374">
        <f t="shared" si="36"/>
        <v>16.706881607470017</v>
      </c>
      <c r="I275" s="377">
        <f t="shared" si="37"/>
        <v>2.9067059063678897</v>
      </c>
      <c r="J275" s="374">
        <f t="shared" si="38"/>
        <v>0</v>
      </c>
      <c r="K275" s="369">
        <f t="shared" si="39"/>
        <v>0</v>
      </c>
      <c r="L275" s="373">
        <f t="shared" si="40"/>
        <v>7.1427584996914115</v>
      </c>
      <c r="M275" s="113">
        <f>L275*D275*'B) D RI'!S277</f>
        <v>1127148.7195268038</v>
      </c>
    </row>
    <row r="276" spans="1:13" x14ac:dyDescent="0.25">
      <c r="A276" s="295">
        <f>'A) Base RI'!A278</f>
        <v>5884</v>
      </c>
      <c r="B276" s="32" t="str">
        <f>'A) Base RI'!B278</f>
        <v>Corsier-sur-Vevey</v>
      </c>
      <c r="C276" s="293">
        <f>'B) D RI'!U278</f>
        <v>125116.33219250187</v>
      </c>
      <c r="D276" s="32">
        <f>'B) D RI'!AA278</f>
        <v>3363</v>
      </c>
      <c r="E276" s="201">
        <f t="shared" si="33"/>
        <v>37.203785962682687</v>
      </c>
      <c r="F276" s="366">
        <f t="shared" si="34"/>
        <v>0.80876765850984322</v>
      </c>
      <c r="G276" s="377">
        <f t="shared" si="35"/>
        <v>0</v>
      </c>
      <c r="H276" s="374">
        <f t="shared" si="36"/>
        <v>0</v>
      </c>
      <c r="I276" s="377">
        <f t="shared" si="37"/>
        <v>0</v>
      </c>
      <c r="J276" s="374">
        <f t="shared" si="38"/>
        <v>0</v>
      </c>
      <c r="K276" s="369">
        <f t="shared" si="39"/>
        <v>0</v>
      </c>
      <c r="L276" s="373">
        <f t="shared" si="40"/>
        <v>0</v>
      </c>
      <c r="M276" s="113">
        <f>L276*D276*'B) D RI'!S278</f>
        <v>0</v>
      </c>
    </row>
    <row r="277" spans="1:13" x14ac:dyDescent="0.25">
      <c r="A277" s="295">
        <f>'A) Base RI'!A279</f>
        <v>5885</v>
      </c>
      <c r="B277" s="32" t="str">
        <f>'A) Base RI'!B279</f>
        <v>Jongny</v>
      </c>
      <c r="C277" s="293">
        <f>'B) D RI'!U279</f>
        <v>78645.92697183101</v>
      </c>
      <c r="D277" s="32">
        <f>'B) D RI'!AA279</f>
        <v>1544</v>
      </c>
      <c r="E277" s="201">
        <f t="shared" si="33"/>
        <v>50.936481199372416</v>
      </c>
      <c r="F277" s="366">
        <f t="shared" si="34"/>
        <v>1.1073007105693105</v>
      </c>
      <c r="G277" s="377">
        <f t="shared" si="35"/>
        <v>4.9358955290319741</v>
      </c>
      <c r="H277" s="374">
        <f t="shared" si="36"/>
        <v>0</v>
      </c>
      <c r="I277" s="377">
        <f t="shared" si="37"/>
        <v>0</v>
      </c>
      <c r="J277" s="374">
        <f t="shared" si="38"/>
        <v>0</v>
      </c>
      <c r="K277" s="369">
        <f t="shared" si="39"/>
        <v>0</v>
      </c>
      <c r="L277" s="373">
        <f t="shared" si="40"/>
        <v>0.9871791058063949</v>
      </c>
      <c r="M277" s="113">
        <f>L277*D277*'B) D RI'!S279</f>
        <v>108218.52229492023</v>
      </c>
    </row>
    <row r="278" spans="1:13" x14ac:dyDescent="0.25">
      <c r="A278" s="295">
        <f>'A) Base RI'!A280</f>
        <v>5886</v>
      </c>
      <c r="B278" s="32" t="str">
        <f>'A) Base RI'!B280</f>
        <v>Montreux</v>
      </c>
      <c r="C278" s="293">
        <f>'B) D RI'!U280</f>
        <v>1133766.4796882921</v>
      </c>
      <c r="D278" s="32">
        <f>'B) D RI'!AA280</f>
        <v>26065</v>
      </c>
      <c r="E278" s="201">
        <f t="shared" si="33"/>
        <v>43.497658917640216</v>
      </c>
      <c r="F278" s="366">
        <f t="shared" si="34"/>
        <v>0.94558924161015578</v>
      </c>
      <c r="G278" s="377">
        <f t="shared" si="35"/>
        <v>0</v>
      </c>
      <c r="H278" s="374">
        <f t="shared" si="36"/>
        <v>0</v>
      </c>
      <c r="I278" s="377">
        <f t="shared" si="37"/>
        <v>0</v>
      </c>
      <c r="J278" s="374">
        <f t="shared" si="38"/>
        <v>0</v>
      </c>
      <c r="K278" s="369">
        <f t="shared" si="39"/>
        <v>0</v>
      </c>
      <c r="L278" s="373">
        <f t="shared" si="40"/>
        <v>0</v>
      </c>
      <c r="M278" s="113">
        <f>L278*D278*'B) D RI'!S280</f>
        <v>0</v>
      </c>
    </row>
    <row r="279" spans="1:13" x14ac:dyDescent="0.25">
      <c r="A279" s="295">
        <f>'A) Base RI'!A281</f>
        <v>5888</v>
      </c>
      <c r="B279" s="32" t="str">
        <f>'A) Base RI'!B281</f>
        <v>Saint-Légier-La Chiésaz</v>
      </c>
      <c r="C279" s="293">
        <f>'B) D RI'!U281</f>
        <v>337320.4595902646</v>
      </c>
      <c r="D279" s="32">
        <f>'B) D RI'!AA281</f>
        <v>5243</v>
      </c>
      <c r="E279" s="201">
        <f t="shared" si="33"/>
        <v>64.337299178002027</v>
      </c>
      <c r="F279" s="366">
        <f t="shared" si="34"/>
        <v>1.3986191314838945</v>
      </c>
      <c r="G279" s="377">
        <f t="shared" si="35"/>
        <v>18.336713507661585</v>
      </c>
      <c r="H279" s="374">
        <f t="shared" si="36"/>
        <v>9.1365963735934983</v>
      </c>
      <c r="I279" s="377">
        <f t="shared" si="37"/>
        <v>0</v>
      </c>
      <c r="J279" s="374">
        <f t="shared" si="38"/>
        <v>0</v>
      </c>
      <c r="K279" s="369">
        <f t="shared" si="39"/>
        <v>0</v>
      </c>
      <c r="L279" s="373">
        <f t="shared" si="40"/>
        <v>4.5810023388916665</v>
      </c>
      <c r="M279" s="113">
        <f>L279*D279*'B) D RI'!S281</f>
        <v>1681273.6683966306</v>
      </c>
    </row>
    <row r="280" spans="1:13" x14ac:dyDescent="0.25">
      <c r="A280" s="295">
        <f>'A) Base RI'!A282</f>
        <v>5889</v>
      </c>
      <c r="B280" s="32" t="str">
        <f>'A) Base RI'!B282</f>
        <v>La Tour-de-Peilz</v>
      </c>
      <c r="C280" s="293">
        <f>'B) D RI'!U282</f>
        <v>691108.44187203015</v>
      </c>
      <c r="D280" s="32">
        <f>'B) D RI'!AA282</f>
        <v>11906</v>
      </c>
      <c r="E280" s="201">
        <f t="shared" si="33"/>
        <v>58.047072221739469</v>
      </c>
      <c r="F280" s="366">
        <f t="shared" si="34"/>
        <v>1.2618768082156435</v>
      </c>
      <c r="G280" s="377">
        <f t="shared" si="35"/>
        <v>12.046486551399028</v>
      </c>
      <c r="H280" s="374">
        <f t="shared" si="36"/>
        <v>2.8463694173309406</v>
      </c>
      <c r="I280" s="377">
        <f t="shared" si="37"/>
        <v>0</v>
      </c>
      <c r="J280" s="374">
        <f t="shared" si="38"/>
        <v>0</v>
      </c>
      <c r="K280" s="369">
        <f t="shared" si="39"/>
        <v>0</v>
      </c>
      <c r="L280" s="373">
        <f t="shared" si="40"/>
        <v>2.6939342520128999</v>
      </c>
      <c r="M280" s="113">
        <f>L280*D280*'B) D RI'!S282</f>
        <v>2052734.7970857976</v>
      </c>
    </row>
    <row r="281" spans="1:13" x14ac:dyDescent="0.25">
      <c r="A281" s="295">
        <f>'A) Base RI'!A283</f>
        <v>5890</v>
      </c>
      <c r="B281" s="32" t="str">
        <f>'A) Base RI'!B283</f>
        <v>Vevey</v>
      </c>
      <c r="C281" s="293">
        <f>'B) D RI'!U283</f>
        <v>964973.50807811751</v>
      </c>
      <c r="D281" s="32">
        <f>'B) D RI'!AA283</f>
        <v>19871</v>
      </c>
      <c r="E281" s="201">
        <f t="shared" si="33"/>
        <v>48.561899656691537</v>
      </c>
      <c r="F281" s="366">
        <f t="shared" si="34"/>
        <v>1.0556800299175872</v>
      </c>
      <c r="G281" s="377">
        <f t="shared" si="35"/>
        <v>2.5613139863510952</v>
      </c>
      <c r="H281" s="374">
        <f t="shared" si="36"/>
        <v>0</v>
      </c>
      <c r="I281" s="377">
        <f t="shared" si="37"/>
        <v>0</v>
      </c>
      <c r="J281" s="374">
        <f t="shared" si="38"/>
        <v>0</v>
      </c>
      <c r="K281" s="369">
        <f t="shared" si="39"/>
        <v>0</v>
      </c>
      <c r="L281" s="373">
        <f t="shared" si="40"/>
        <v>0.51226279727021906</v>
      </c>
      <c r="M281" s="113">
        <f>L281*D281*'B) D RI'!S283</f>
        <v>773617.2273862958</v>
      </c>
    </row>
    <row r="282" spans="1:13" x14ac:dyDescent="0.25">
      <c r="A282" s="295">
        <f>'A) Base RI'!A284</f>
        <v>5891</v>
      </c>
      <c r="B282" s="32" t="str">
        <f>'A) Base RI'!B284</f>
        <v>Veytaux</v>
      </c>
      <c r="C282" s="293">
        <f>'B) D RI'!U284</f>
        <v>37035.518505817468</v>
      </c>
      <c r="D282" s="32">
        <f>'B) D RI'!AA284</f>
        <v>922</v>
      </c>
      <c r="E282" s="201">
        <f t="shared" si="33"/>
        <v>40.168675168999421</v>
      </c>
      <c r="F282" s="366">
        <f t="shared" si="34"/>
        <v>0.87322095107364617</v>
      </c>
      <c r="G282" s="377">
        <f t="shared" si="35"/>
        <v>0</v>
      </c>
      <c r="H282" s="374">
        <f t="shared" si="36"/>
        <v>0</v>
      </c>
      <c r="I282" s="377">
        <f t="shared" si="37"/>
        <v>0</v>
      </c>
      <c r="J282" s="374">
        <f t="shared" si="38"/>
        <v>0</v>
      </c>
      <c r="K282" s="369">
        <f t="shared" si="39"/>
        <v>0</v>
      </c>
      <c r="L282" s="373">
        <f t="shared" si="40"/>
        <v>0</v>
      </c>
      <c r="M282" s="113">
        <f>L282*D282*'B) D RI'!S284</f>
        <v>0</v>
      </c>
    </row>
    <row r="283" spans="1:13" x14ac:dyDescent="0.25">
      <c r="A283" s="295">
        <f>'A) Base RI'!A285</f>
        <v>5902</v>
      </c>
      <c r="B283" s="32" t="str">
        <f>'A) Base RI'!B285</f>
        <v>Belmont-sur-Yverdon</v>
      </c>
      <c r="C283" s="293">
        <f>'B) D RI'!U285</f>
        <v>10774.45016912473</v>
      </c>
      <c r="D283" s="32">
        <f>'B) D RI'!AA285</f>
        <v>374</v>
      </c>
      <c r="E283" s="201">
        <f t="shared" si="33"/>
        <v>28.808690291777353</v>
      </c>
      <c r="F283" s="366">
        <f t="shared" si="34"/>
        <v>0.62626790228786544</v>
      </c>
      <c r="G283" s="377">
        <f t="shared" si="35"/>
        <v>0</v>
      </c>
      <c r="H283" s="374">
        <f t="shared" si="36"/>
        <v>0</v>
      </c>
      <c r="I283" s="377">
        <f t="shared" si="37"/>
        <v>0</v>
      </c>
      <c r="J283" s="374">
        <f t="shared" si="38"/>
        <v>0</v>
      </c>
      <c r="K283" s="369">
        <f t="shared" si="39"/>
        <v>0</v>
      </c>
      <c r="L283" s="373">
        <f t="shared" si="40"/>
        <v>0</v>
      </c>
      <c r="M283" s="113">
        <f>L283*D283*'B) D RI'!S285</f>
        <v>0</v>
      </c>
    </row>
    <row r="284" spans="1:13" x14ac:dyDescent="0.25">
      <c r="A284" s="295">
        <f>'A) Base RI'!A286</f>
        <v>5903</v>
      </c>
      <c r="B284" s="32" t="str">
        <f>'A) Base RI'!B286</f>
        <v>Bioley-Magnoux</v>
      </c>
      <c r="C284" s="293">
        <f>'B) D RI'!U286</f>
        <v>6472.6316948302874</v>
      </c>
      <c r="D284" s="32">
        <f>'B) D RI'!AA286</f>
        <v>228</v>
      </c>
      <c r="E284" s="201">
        <f t="shared" si="33"/>
        <v>28.388735503641612</v>
      </c>
      <c r="F284" s="366">
        <f t="shared" si="34"/>
        <v>0.61713856660624367</v>
      </c>
      <c r="G284" s="377">
        <f t="shared" si="35"/>
        <v>0</v>
      </c>
      <c r="H284" s="374">
        <f t="shared" si="36"/>
        <v>0</v>
      </c>
      <c r="I284" s="377">
        <f t="shared" si="37"/>
        <v>0</v>
      </c>
      <c r="J284" s="374">
        <f t="shared" si="38"/>
        <v>0</v>
      </c>
      <c r="K284" s="369">
        <f t="shared" si="39"/>
        <v>0</v>
      </c>
      <c r="L284" s="373">
        <f t="shared" si="40"/>
        <v>0</v>
      </c>
      <c r="M284" s="113">
        <f>L284*D284*'B) D RI'!S286</f>
        <v>0</v>
      </c>
    </row>
    <row r="285" spans="1:13" x14ac:dyDescent="0.25">
      <c r="A285" s="295">
        <f>'A) Base RI'!A287</f>
        <v>5904</v>
      </c>
      <c r="B285" s="32" t="str">
        <f>'A) Base RI'!B287</f>
        <v>Chamblon</v>
      </c>
      <c r="C285" s="293">
        <f>'B) D RI'!U287</f>
        <v>21968.958276290676</v>
      </c>
      <c r="D285" s="32">
        <f>'B) D RI'!AA287</f>
        <v>540</v>
      </c>
      <c r="E285" s="201">
        <f t="shared" si="33"/>
        <v>40.683256067204958</v>
      </c>
      <c r="F285" s="366">
        <f t="shared" si="34"/>
        <v>0.88440734991415748</v>
      </c>
      <c r="G285" s="377">
        <f t="shared" si="35"/>
        <v>0</v>
      </c>
      <c r="H285" s="374">
        <f t="shared" si="36"/>
        <v>0</v>
      </c>
      <c r="I285" s="377">
        <f t="shared" si="37"/>
        <v>0</v>
      </c>
      <c r="J285" s="374">
        <f t="shared" si="38"/>
        <v>0</v>
      </c>
      <c r="K285" s="369">
        <f t="shared" si="39"/>
        <v>0</v>
      </c>
      <c r="L285" s="373">
        <f t="shared" si="40"/>
        <v>0</v>
      </c>
      <c r="M285" s="113">
        <f>L285*D285*'B) D RI'!S287</f>
        <v>0</v>
      </c>
    </row>
    <row r="286" spans="1:13" x14ac:dyDescent="0.25">
      <c r="A286" s="295">
        <f>'A) Base RI'!A288</f>
        <v>5905</v>
      </c>
      <c r="B286" s="32" t="str">
        <f>'A) Base RI'!B288</f>
        <v>Champvent</v>
      </c>
      <c r="C286" s="293">
        <f>'B) D RI'!U288</f>
        <v>23321.773448973479</v>
      </c>
      <c r="D286" s="32">
        <f>'B) D RI'!AA288</f>
        <v>689</v>
      </c>
      <c r="E286" s="201">
        <f t="shared" si="33"/>
        <v>33.848727792414337</v>
      </c>
      <c r="F286" s="366">
        <f t="shared" si="34"/>
        <v>0.73583253993739484</v>
      </c>
      <c r="G286" s="377">
        <f t="shared" si="35"/>
        <v>0</v>
      </c>
      <c r="H286" s="374">
        <f t="shared" si="36"/>
        <v>0</v>
      </c>
      <c r="I286" s="377">
        <f t="shared" si="37"/>
        <v>0</v>
      </c>
      <c r="J286" s="374">
        <f t="shared" si="38"/>
        <v>0</v>
      </c>
      <c r="K286" s="369">
        <f t="shared" si="39"/>
        <v>0</v>
      </c>
      <c r="L286" s="373">
        <f t="shared" si="40"/>
        <v>0</v>
      </c>
      <c r="M286" s="113">
        <f>L286*D286*'B) D RI'!S288</f>
        <v>0</v>
      </c>
    </row>
    <row r="287" spans="1:13" x14ac:dyDescent="0.25">
      <c r="A287" s="295">
        <f>'A) Base RI'!A289</f>
        <v>5907</v>
      </c>
      <c r="B287" s="32" t="str">
        <f>'A) Base RI'!B289</f>
        <v>Chavannes-le-Chêne</v>
      </c>
      <c r="C287" s="293">
        <f>'B) D RI'!U289</f>
        <v>9479.6278585348446</v>
      </c>
      <c r="D287" s="32">
        <f>'B) D RI'!AA289</f>
        <v>311</v>
      </c>
      <c r="E287" s="201">
        <f t="shared" si="33"/>
        <v>30.481118516189209</v>
      </c>
      <c r="F287" s="366">
        <f t="shared" si="34"/>
        <v>0.66262457470932512</v>
      </c>
      <c r="G287" s="377">
        <f t="shared" si="35"/>
        <v>0</v>
      </c>
      <c r="H287" s="374">
        <f t="shared" si="36"/>
        <v>0</v>
      </c>
      <c r="I287" s="377">
        <f t="shared" si="37"/>
        <v>0</v>
      </c>
      <c r="J287" s="374">
        <f t="shared" si="38"/>
        <v>0</v>
      </c>
      <c r="K287" s="369">
        <f t="shared" si="39"/>
        <v>0</v>
      </c>
      <c r="L287" s="373">
        <f t="shared" si="40"/>
        <v>0</v>
      </c>
      <c r="M287" s="113">
        <f>L287*D287*'B) D RI'!S289</f>
        <v>0</v>
      </c>
    </row>
    <row r="288" spans="1:13" x14ac:dyDescent="0.25">
      <c r="A288" s="295">
        <f>'A) Base RI'!A290</f>
        <v>5908</v>
      </c>
      <c r="B288" s="32" t="str">
        <f>'A) Base RI'!B290</f>
        <v>Chêne-Pâquier</v>
      </c>
      <c r="C288" s="293">
        <f>'B) D RI'!U290</f>
        <v>3375.521749976027</v>
      </c>
      <c r="D288" s="32">
        <f>'B) D RI'!AA290</f>
        <v>153</v>
      </c>
      <c r="E288" s="201">
        <f t="shared" si="33"/>
        <v>22.062233659974034</v>
      </c>
      <c r="F288" s="366">
        <f t="shared" si="34"/>
        <v>0.47960766886928974</v>
      </c>
      <c r="G288" s="377">
        <f t="shared" si="35"/>
        <v>0</v>
      </c>
      <c r="H288" s="374">
        <f t="shared" si="36"/>
        <v>0</v>
      </c>
      <c r="I288" s="377">
        <f t="shared" si="37"/>
        <v>0</v>
      </c>
      <c r="J288" s="374">
        <f t="shared" si="38"/>
        <v>0</v>
      </c>
      <c r="K288" s="369">
        <f t="shared" si="39"/>
        <v>0</v>
      </c>
      <c r="L288" s="373">
        <f t="shared" si="40"/>
        <v>0</v>
      </c>
      <c r="M288" s="113">
        <f>L288*D288*'B) D RI'!S290</f>
        <v>0</v>
      </c>
    </row>
    <row r="289" spans="1:13" x14ac:dyDescent="0.25">
      <c r="A289" s="295">
        <f>'A) Base RI'!A291</f>
        <v>5909</v>
      </c>
      <c r="B289" s="32" t="str">
        <f>'A) Base RI'!B291</f>
        <v>Cheseaux-Noréaz</v>
      </c>
      <c r="C289" s="293">
        <f>'B) D RI'!U291</f>
        <v>32341.35221867514</v>
      </c>
      <c r="D289" s="32">
        <f>'B) D RI'!AA291</f>
        <v>725</v>
      </c>
      <c r="E289" s="201">
        <f t="shared" si="33"/>
        <v>44.608761680931224</v>
      </c>
      <c r="F289" s="366">
        <f t="shared" si="34"/>
        <v>0.96974334197865186</v>
      </c>
      <c r="G289" s="377">
        <f t="shared" si="35"/>
        <v>0</v>
      </c>
      <c r="H289" s="374">
        <f t="shared" si="36"/>
        <v>0</v>
      </c>
      <c r="I289" s="377">
        <f t="shared" si="37"/>
        <v>0</v>
      </c>
      <c r="J289" s="374">
        <f t="shared" si="38"/>
        <v>0</v>
      </c>
      <c r="K289" s="369">
        <f t="shared" si="39"/>
        <v>0</v>
      </c>
      <c r="L289" s="373">
        <f t="shared" si="40"/>
        <v>0</v>
      </c>
      <c r="M289" s="113">
        <f>L289*D289*'B) D RI'!S291</f>
        <v>0</v>
      </c>
    </row>
    <row r="290" spans="1:13" x14ac:dyDescent="0.25">
      <c r="A290" s="295">
        <f>'A) Base RI'!A292</f>
        <v>5910</v>
      </c>
      <c r="B290" s="32" t="str">
        <f>'A) Base RI'!B292</f>
        <v>Cronay</v>
      </c>
      <c r="C290" s="293">
        <f>'B) D RI'!U292</f>
        <v>10197.986044276999</v>
      </c>
      <c r="D290" s="32">
        <f>'B) D RI'!AA292</f>
        <v>394</v>
      </c>
      <c r="E290" s="201">
        <f t="shared" si="33"/>
        <v>25.883213310347713</v>
      </c>
      <c r="F290" s="366">
        <f t="shared" si="34"/>
        <v>0.56267138631315949</v>
      </c>
      <c r="G290" s="377">
        <f t="shared" si="35"/>
        <v>0</v>
      </c>
      <c r="H290" s="374">
        <f t="shared" si="36"/>
        <v>0</v>
      </c>
      <c r="I290" s="377">
        <f t="shared" si="37"/>
        <v>0</v>
      </c>
      <c r="J290" s="374">
        <f t="shared" si="38"/>
        <v>0</v>
      </c>
      <c r="K290" s="369">
        <f t="shared" si="39"/>
        <v>0</v>
      </c>
      <c r="L290" s="373">
        <f t="shared" si="40"/>
        <v>0</v>
      </c>
      <c r="M290" s="113">
        <f>L290*D290*'B) D RI'!S292</f>
        <v>0</v>
      </c>
    </row>
    <row r="291" spans="1:13" x14ac:dyDescent="0.25">
      <c r="A291" s="295">
        <f>'A) Base RI'!A293</f>
        <v>5911</v>
      </c>
      <c r="B291" s="32" t="str">
        <f>'A) Base RI'!B293</f>
        <v>Cuarny</v>
      </c>
      <c r="C291" s="293">
        <f>'B) D RI'!U293</f>
        <v>7835.2176584022027</v>
      </c>
      <c r="D291" s="32">
        <f>'B) D RI'!AA293</f>
        <v>239</v>
      </c>
      <c r="E291" s="201">
        <f t="shared" si="33"/>
        <v>32.783337482854407</v>
      </c>
      <c r="F291" s="366">
        <f t="shared" si="34"/>
        <v>0.71267217591083731</v>
      </c>
      <c r="G291" s="377">
        <f t="shared" si="35"/>
        <v>0</v>
      </c>
      <c r="H291" s="374">
        <f t="shared" si="36"/>
        <v>0</v>
      </c>
      <c r="I291" s="377">
        <f t="shared" si="37"/>
        <v>0</v>
      </c>
      <c r="J291" s="374">
        <f t="shared" si="38"/>
        <v>0</v>
      </c>
      <c r="K291" s="369">
        <f t="shared" si="39"/>
        <v>0</v>
      </c>
      <c r="L291" s="373">
        <f t="shared" si="40"/>
        <v>0</v>
      </c>
      <c r="M291" s="113">
        <f>L291*D291*'B) D RI'!S293</f>
        <v>0</v>
      </c>
    </row>
    <row r="292" spans="1:13" x14ac:dyDescent="0.25">
      <c r="A292" s="295">
        <f>'A) Base RI'!A294</f>
        <v>5912</v>
      </c>
      <c r="B292" s="32" t="str">
        <f>'A) Base RI'!B294</f>
        <v>Démoret</v>
      </c>
      <c r="C292" s="293">
        <f>'B) D RI'!U294</f>
        <v>3963.3385142217253</v>
      </c>
      <c r="D292" s="32">
        <f>'B) D RI'!AA294</f>
        <v>156</v>
      </c>
      <c r="E292" s="201">
        <f t="shared" si="33"/>
        <v>25.406016116805933</v>
      </c>
      <c r="F292" s="366">
        <f t="shared" si="34"/>
        <v>0.55229766635747068</v>
      </c>
      <c r="G292" s="377">
        <f t="shared" si="35"/>
        <v>0</v>
      </c>
      <c r="H292" s="374">
        <f t="shared" si="36"/>
        <v>0</v>
      </c>
      <c r="I292" s="377">
        <f t="shared" si="37"/>
        <v>0</v>
      </c>
      <c r="J292" s="374">
        <f t="shared" si="38"/>
        <v>0</v>
      </c>
      <c r="K292" s="369">
        <f t="shared" si="39"/>
        <v>0</v>
      </c>
      <c r="L292" s="373">
        <f t="shared" si="40"/>
        <v>0</v>
      </c>
      <c r="M292" s="113">
        <f>L292*D292*'B) D RI'!S294</f>
        <v>0</v>
      </c>
    </row>
    <row r="293" spans="1:13" x14ac:dyDescent="0.25">
      <c r="A293" s="295">
        <f>'A) Base RI'!A295</f>
        <v>5913</v>
      </c>
      <c r="B293" s="32" t="str">
        <f>'A) Base RI'!B295</f>
        <v>Donneloye</v>
      </c>
      <c r="C293" s="293">
        <f>'B) D RI'!U295</f>
        <v>21560.051293940251</v>
      </c>
      <c r="D293" s="32">
        <f>'B) D RI'!AA295</f>
        <v>823</v>
      </c>
      <c r="E293" s="201">
        <f t="shared" si="33"/>
        <v>26.196903151810755</v>
      </c>
      <c r="F293" s="366">
        <f t="shared" si="34"/>
        <v>0.56949064387024961</v>
      </c>
      <c r="G293" s="377">
        <f t="shared" si="35"/>
        <v>0</v>
      </c>
      <c r="H293" s="374">
        <f t="shared" si="36"/>
        <v>0</v>
      </c>
      <c r="I293" s="377">
        <f t="shared" si="37"/>
        <v>0</v>
      </c>
      <c r="J293" s="374">
        <f t="shared" si="38"/>
        <v>0</v>
      </c>
      <c r="K293" s="369">
        <f t="shared" si="39"/>
        <v>0</v>
      </c>
      <c r="L293" s="373">
        <f t="shared" si="40"/>
        <v>0</v>
      </c>
      <c r="M293" s="113">
        <f>L293*D293*'B) D RI'!S295</f>
        <v>0</v>
      </c>
    </row>
    <row r="294" spans="1:13" x14ac:dyDescent="0.25">
      <c r="A294" s="295">
        <f>'A) Base RI'!A296</f>
        <v>5914</v>
      </c>
      <c r="B294" s="32" t="str">
        <f>'A) Base RI'!B296</f>
        <v>Ependes</v>
      </c>
      <c r="C294" s="293">
        <f>'B) D RI'!U296</f>
        <v>10120.059426352072</v>
      </c>
      <c r="D294" s="32">
        <f>'B) D RI'!AA296</f>
        <v>357</v>
      </c>
      <c r="E294" s="201">
        <f t="shared" si="33"/>
        <v>28.347505395944182</v>
      </c>
      <c r="F294" s="366">
        <f t="shared" si="34"/>
        <v>0.61624227132876819</v>
      </c>
      <c r="G294" s="377">
        <f t="shared" si="35"/>
        <v>0</v>
      </c>
      <c r="H294" s="374">
        <f t="shared" si="36"/>
        <v>0</v>
      </c>
      <c r="I294" s="377">
        <f t="shared" si="37"/>
        <v>0</v>
      </c>
      <c r="J294" s="374">
        <f t="shared" si="38"/>
        <v>0</v>
      </c>
      <c r="K294" s="369">
        <f t="shared" si="39"/>
        <v>0</v>
      </c>
      <c r="L294" s="373">
        <f t="shared" si="40"/>
        <v>0</v>
      </c>
      <c r="M294" s="113">
        <f>L294*D294*'B) D RI'!S296</f>
        <v>0</v>
      </c>
    </row>
    <row r="295" spans="1:13" x14ac:dyDescent="0.25">
      <c r="A295" s="295">
        <f>'A) Base RI'!A297</f>
        <v>5919</v>
      </c>
      <c r="B295" s="32" t="str">
        <f>'A) Base RI'!B297</f>
        <v>Mathod</v>
      </c>
      <c r="C295" s="293">
        <f>'B) D RI'!U297</f>
        <v>17424.35283843397</v>
      </c>
      <c r="D295" s="32">
        <f>'B) D RI'!AA297</f>
        <v>601</v>
      </c>
      <c r="E295" s="201">
        <f t="shared" si="33"/>
        <v>28.99226761802657</v>
      </c>
      <c r="F295" s="366">
        <f t="shared" si="34"/>
        <v>0.63025866291784549</v>
      </c>
      <c r="G295" s="377">
        <f t="shared" si="35"/>
        <v>0</v>
      </c>
      <c r="H295" s="374">
        <f t="shared" si="36"/>
        <v>0</v>
      </c>
      <c r="I295" s="377">
        <f t="shared" si="37"/>
        <v>0</v>
      </c>
      <c r="J295" s="374">
        <f t="shared" si="38"/>
        <v>0</v>
      </c>
      <c r="K295" s="369">
        <f t="shared" si="39"/>
        <v>0</v>
      </c>
      <c r="L295" s="373">
        <f t="shared" si="40"/>
        <v>0</v>
      </c>
      <c r="M295" s="113">
        <f>L295*D295*'B) D RI'!S297</f>
        <v>0</v>
      </c>
    </row>
    <row r="296" spans="1:13" x14ac:dyDescent="0.25">
      <c r="A296" s="295">
        <f>'A) Base RI'!A298</f>
        <v>5921</v>
      </c>
      <c r="B296" s="32" t="str">
        <f>'A) Base RI'!B298</f>
        <v>Molondin</v>
      </c>
      <c r="C296" s="293">
        <f>'B) D RI'!U298</f>
        <v>5647.9358760030909</v>
      </c>
      <c r="D296" s="32">
        <f>'B) D RI'!AA298</f>
        <v>240</v>
      </c>
      <c r="E296" s="201">
        <f t="shared" si="33"/>
        <v>23.533066150012878</v>
      </c>
      <c r="F296" s="366">
        <f t="shared" si="34"/>
        <v>0.51158188112344338</v>
      </c>
      <c r="G296" s="377">
        <f t="shared" si="35"/>
        <v>0</v>
      </c>
      <c r="H296" s="374">
        <f t="shared" si="36"/>
        <v>0</v>
      </c>
      <c r="I296" s="377">
        <f t="shared" si="37"/>
        <v>0</v>
      </c>
      <c r="J296" s="374">
        <f t="shared" si="38"/>
        <v>0</v>
      </c>
      <c r="K296" s="369">
        <f t="shared" si="39"/>
        <v>0</v>
      </c>
      <c r="L296" s="373">
        <f t="shared" si="40"/>
        <v>0</v>
      </c>
      <c r="M296" s="113">
        <f>L296*D296*'B) D RI'!S298</f>
        <v>0</v>
      </c>
    </row>
    <row r="297" spans="1:13" x14ac:dyDescent="0.25">
      <c r="A297" s="295">
        <f>'A) Base RI'!A299</f>
        <v>5922</v>
      </c>
      <c r="B297" s="32" t="str">
        <f>'A) Base RI'!B299</f>
        <v>Montagny-près-Yverdon</v>
      </c>
      <c r="C297" s="293">
        <f>'B) D RI'!U299</f>
        <v>35984.463355398897</v>
      </c>
      <c r="D297" s="32">
        <f>'B) D RI'!AA299</f>
        <v>747</v>
      </c>
      <c r="E297" s="201">
        <f t="shared" si="33"/>
        <v>48.171972363318467</v>
      </c>
      <c r="F297" s="366">
        <f t="shared" si="34"/>
        <v>1.047203457550282</v>
      </c>
      <c r="G297" s="377">
        <f t="shared" si="35"/>
        <v>2.1713866929780252</v>
      </c>
      <c r="H297" s="374">
        <f t="shared" si="36"/>
        <v>0</v>
      </c>
      <c r="I297" s="377">
        <f t="shared" si="37"/>
        <v>0</v>
      </c>
      <c r="J297" s="374">
        <f t="shared" si="38"/>
        <v>0</v>
      </c>
      <c r="K297" s="369">
        <f t="shared" si="39"/>
        <v>0</v>
      </c>
      <c r="L297" s="373">
        <f t="shared" si="40"/>
        <v>0.43427733859560508</v>
      </c>
      <c r="M297" s="113">
        <f>L297*D297*'B) D RI'!S299</f>
        <v>21086.336175509605</v>
      </c>
    </row>
    <row r="298" spans="1:13" x14ac:dyDescent="0.25">
      <c r="A298" s="295">
        <f>'A) Base RI'!A300</f>
        <v>5923</v>
      </c>
      <c r="B298" s="32" t="str">
        <f>'A) Base RI'!B300</f>
        <v>Oppens</v>
      </c>
      <c r="C298" s="293">
        <f>'B) D RI'!U300</f>
        <v>5389.7298551743424</v>
      </c>
      <c r="D298" s="32">
        <f>'B) D RI'!AA300</f>
        <v>202</v>
      </c>
      <c r="E298" s="201">
        <f t="shared" si="33"/>
        <v>26.681830966209617</v>
      </c>
      <c r="F298" s="366">
        <f t="shared" si="34"/>
        <v>0.58003241866142419</v>
      </c>
      <c r="G298" s="377">
        <f t="shared" si="35"/>
        <v>0</v>
      </c>
      <c r="H298" s="374">
        <f t="shared" si="36"/>
        <v>0</v>
      </c>
      <c r="I298" s="377">
        <f t="shared" si="37"/>
        <v>0</v>
      </c>
      <c r="J298" s="374">
        <f t="shared" si="38"/>
        <v>0</v>
      </c>
      <c r="K298" s="369">
        <f t="shared" si="39"/>
        <v>0</v>
      </c>
      <c r="L298" s="373">
        <f t="shared" si="40"/>
        <v>0</v>
      </c>
      <c r="M298" s="113">
        <f>L298*D298*'B) D RI'!S300</f>
        <v>0</v>
      </c>
    </row>
    <row r="299" spans="1:13" x14ac:dyDescent="0.25">
      <c r="A299" s="295">
        <f>'A) Base RI'!A301</f>
        <v>5924</v>
      </c>
      <c r="B299" s="32" t="str">
        <f>'A) Base RI'!B301</f>
        <v>Orges</v>
      </c>
      <c r="C299" s="293">
        <f>'B) D RI'!U301</f>
        <v>11865.812404035813</v>
      </c>
      <c r="D299" s="32">
        <f>'B) D RI'!AA301</f>
        <v>332</v>
      </c>
      <c r="E299" s="201">
        <f t="shared" si="33"/>
        <v>35.740398807336781</v>
      </c>
      <c r="F299" s="366">
        <f t="shared" si="34"/>
        <v>0.77695529929700291</v>
      </c>
      <c r="G299" s="377">
        <f t="shared" si="35"/>
        <v>0</v>
      </c>
      <c r="H299" s="374">
        <f t="shared" si="36"/>
        <v>0</v>
      </c>
      <c r="I299" s="377">
        <f t="shared" si="37"/>
        <v>0</v>
      </c>
      <c r="J299" s="374">
        <f t="shared" si="38"/>
        <v>0</v>
      </c>
      <c r="K299" s="369">
        <f t="shared" si="39"/>
        <v>0</v>
      </c>
      <c r="L299" s="373">
        <f t="shared" si="40"/>
        <v>0</v>
      </c>
      <c r="M299" s="113">
        <f>L299*D299*'B) D RI'!S301</f>
        <v>0</v>
      </c>
    </row>
    <row r="300" spans="1:13" x14ac:dyDescent="0.25">
      <c r="A300" s="295">
        <f>'A) Base RI'!A302</f>
        <v>5925</v>
      </c>
      <c r="B300" s="32" t="str">
        <f>'A) Base RI'!B302</f>
        <v>Orzens</v>
      </c>
      <c r="C300" s="293">
        <f>'B) D RI'!U302</f>
        <v>5342.7421425482316</v>
      </c>
      <c r="D300" s="32">
        <f>'B) D RI'!AA302</f>
        <v>208</v>
      </c>
      <c r="E300" s="201">
        <f t="shared" si="33"/>
        <v>25.686260300712654</v>
      </c>
      <c r="F300" s="366">
        <f t="shared" si="34"/>
        <v>0.55838985365949911</v>
      </c>
      <c r="G300" s="377">
        <f t="shared" si="35"/>
        <v>0</v>
      </c>
      <c r="H300" s="374">
        <f t="shared" si="36"/>
        <v>0</v>
      </c>
      <c r="I300" s="377">
        <f t="shared" si="37"/>
        <v>0</v>
      </c>
      <c r="J300" s="374">
        <f t="shared" si="38"/>
        <v>0</v>
      </c>
      <c r="K300" s="369">
        <f t="shared" si="39"/>
        <v>0</v>
      </c>
      <c r="L300" s="373">
        <f t="shared" si="40"/>
        <v>0</v>
      </c>
      <c r="M300" s="113">
        <f>L300*D300*'B) D RI'!S302</f>
        <v>0</v>
      </c>
    </row>
    <row r="301" spans="1:13" x14ac:dyDescent="0.25">
      <c r="A301" s="295">
        <f>'A) Base RI'!A303</f>
        <v>5926</v>
      </c>
      <c r="B301" s="32" t="str">
        <f>'A) Base RI'!B303</f>
        <v>Pomy</v>
      </c>
      <c r="C301" s="293">
        <f>'B) D RI'!U303</f>
        <v>27482.214843455455</v>
      </c>
      <c r="D301" s="32">
        <f>'B) D RI'!AA303</f>
        <v>793</v>
      </c>
      <c r="E301" s="201">
        <f t="shared" si="33"/>
        <v>34.656008629830332</v>
      </c>
      <c r="F301" s="366">
        <f t="shared" si="34"/>
        <v>0.75338189992166349</v>
      </c>
      <c r="G301" s="377">
        <f t="shared" si="35"/>
        <v>0</v>
      </c>
      <c r="H301" s="374">
        <f t="shared" si="36"/>
        <v>0</v>
      </c>
      <c r="I301" s="377">
        <f t="shared" si="37"/>
        <v>0</v>
      </c>
      <c r="J301" s="374">
        <f t="shared" si="38"/>
        <v>0</v>
      </c>
      <c r="K301" s="369">
        <f t="shared" si="39"/>
        <v>0</v>
      </c>
      <c r="L301" s="373">
        <f t="shared" si="40"/>
        <v>0</v>
      </c>
      <c r="M301" s="113">
        <f>L301*D301*'B) D RI'!S303</f>
        <v>0</v>
      </c>
    </row>
    <row r="302" spans="1:13" x14ac:dyDescent="0.25">
      <c r="A302" s="295">
        <f>'A) Base RI'!A304</f>
        <v>5928</v>
      </c>
      <c r="B302" s="32" t="str">
        <f>'A) Base RI'!B304</f>
        <v>Rovray</v>
      </c>
      <c r="C302" s="293">
        <f>'B) D RI'!U304</f>
        <v>6003.0944827326612</v>
      </c>
      <c r="D302" s="32">
        <f>'B) D RI'!AA304</f>
        <v>185</v>
      </c>
      <c r="E302" s="201">
        <f t="shared" si="33"/>
        <v>32.449159366122494</v>
      </c>
      <c r="F302" s="366">
        <f t="shared" si="34"/>
        <v>0.70540752673600349</v>
      </c>
      <c r="G302" s="377">
        <f t="shared" si="35"/>
        <v>0</v>
      </c>
      <c r="H302" s="374">
        <f t="shared" si="36"/>
        <v>0</v>
      </c>
      <c r="I302" s="377">
        <f t="shared" si="37"/>
        <v>0</v>
      </c>
      <c r="J302" s="374">
        <f t="shared" si="38"/>
        <v>0</v>
      </c>
      <c r="K302" s="369">
        <f t="shared" si="39"/>
        <v>0</v>
      </c>
      <c r="L302" s="373">
        <f t="shared" si="40"/>
        <v>0</v>
      </c>
      <c r="M302" s="113">
        <f>L302*D302*'B) D RI'!S304</f>
        <v>0</v>
      </c>
    </row>
    <row r="303" spans="1:13" x14ac:dyDescent="0.25">
      <c r="A303" s="295">
        <f>'A) Base RI'!A305</f>
        <v>5929</v>
      </c>
      <c r="B303" s="32" t="str">
        <f>'A) Base RI'!B305</f>
        <v>Suchy</v>
      </c>
      <c r="C303" s="293">
        <f>'B) D RI'!U305</f>
        <v>17215.501466609803</v>
      </c>
      <c r="D303" s="32">
        <f>'B) D RI'!AA305</f>
        <v>645</v>
      </c>
      <c r="E303" s="201">
        <f t="shared" si="33"/>
        <v>26.690699948232254</v>
      </c>
      <c r="F303" s="366">
        <f t="shared" si="34"/>
        <v>0.58022522016369626</v>
      </c>
      <c r="G303" s="377">
        <f t="shared" si="35"/>
        <v>0</v>
      </c>
      <c r="H303" s="374">
        <f t="shared" si="36"/>
        <v>0</v>
      </c>
      <c r="I303" s="377">
        <f t="shared" si="37"/>
        <v>0</v>
      </c>
      <c r="J303" s="374">
        <f t="shared" si="38"/>
        <v>0</v>
      </c>
      <c r="K303" s="369">
        <f t="shared" si="39"/>
        <v>0</v>
      </c>
      <c r="L303" s="373">
        <f t="shared" si="40"/>
        <v>0</v>
      </c>
      <c r="M303" s="113">
        <f>L303*D303*'B) D RI'!S305</f>
        <v>0</v>
      </c>
    </row>
    <row r="304" spans="1:13" x14ac:dyDescent="0.25">
      <c r="A304" s="295">
        <f>'A) Base RI'!A306</f>
        <v>5930</v>
      </c>
      <c r="B304" s="32" t="str">
        <f>'A) Base RI'!B306</f>
        <v>Suscévaz</v>
      </c>
      <c r="C304" s="293">
        <f>'B) D RI'!U306</f>
        <v>5858.9969932954782</v>
      </c>
      <c r="D304" s="32">
        <f>'B) D RI'!AA306</f>
        <v>215</v>
      </c>
      <c r="E304" s="201">
        <f t="shared" si="33"/>
        <v>27.25114880602548</v>
      </c>
      <c r="F304" s="366">
        <f t="shared" si="34"/>
        <v>0.5924087358652057</v>
      </c>
      <c r="G304" s="377">
        <f t="shared" si="35"/>
        <v>0</v>
      </c>
      <c r="H304" s="374">
        <f t="shared" si="36"/>
        <v>0</v>
      </c>
      <c r="I304" s="377">
        <f t="shared" si="37"/>
        <v>0</v>
      </c>
      <c r="J304" s="374">
        <f t="shared" si="38"/>
        <v>0</v>
      </c>
      <c r="K304" s="369">
        <f t="shared" si="39"/>
        <v>0</v>
      </c>
      <c r="L304" s="373">
        <f t="shared" si="40"/>
        <v>0</v>
      </c>
      <c r="M304" s="113">
        <f>L304*D304*'B) D RI'!S306</f>
        <v>0</v>
      </c>
    </row>
    <row r="305" spans="1:13" x14ac:dyDescent="0.25">
      <c r="A305" s="295">
        <f>'A) Base RI'!A307</f>
        <v>5931</v>
      </c>
      <c r="B305" s="32" t="str">
        <f>'A) Base RI'!B307</f>
        <v>Treycovagnes</v>
      </c>
      <c r="C305" s="293">
        <f>'B) D RI'!U307</f>
        <v>12172.811234031555</v>
      </c>
      <c r="D305" s="32">
        <f>'B) D RI'!AA307</f>
        <v>492</v>
      </c>
      <c r="E305" s="201">
        <f t="shared" si="33"/>
        <v>24.741486248031617</v>
      </c>
      <c r="F305" s="366">
        <f t="shared" si="34"/>
        <v>0.53785154878982455</v>
      </c>
      <c r="G305" s="377">
        <f t="shared" si="35"/>
        <v>0</v>
      </c>
      <c r="H305" s="374">
        <f t="shared" si="36"/>
        <v>0</v>
      </c>
      <c r="I305" s="377">
        <f t="shared" si="37"/>
        <v>0</v>
      </c>
      <c r="J305" s="374">
        <f t="shared" si="38"/>
        <v>0</v>
      </c>
      <c r="K305" s="369">
        <f t="shared" si="39"/>
        <v>0</v>
      </c>
      <c r="L305" s="373">
        <f t="shared" si="40"/>
        <v>0</v>
      </c>
      <c r="M305" s="113">
        <f>L305*D305*'B) D RI'!S307</f>
        <v>0</v>
      </c>
    </row>
    <row r="306" spans="1:13" x14ac:dyDescent="0.25">
      <c r="A306" s="295">
        <f>'A) Base RI'!A308</f>
        <v>5932</v>
      </c>
      <c r="B306" s="32" t="str">
        <f>'A) Base RI'!B308</f>
        <v>Ursins</v>
      </c>
      <c r="C306" s="293">
        <f>'B) D RI'!U308</f>
        <v>8276.7755150217381</v>
      </c>
      <c r="D306" s="32">
        <f>'B) D RI'!AA308</f>
        <v>225</v>
      </c>
      <c r="E306" s="201">
        <f t="shared" si="33"/>
        <v>36.78566895565217</v>
      </c>
      <c r="F306" s="366">
        <f t="shared" si="34"/>
        <v>0.79967827408272052</v>
      </c>
      <c r="G306" s="377">
        <f t="shared" si="35"/>
        <v>0</v>
      </c>
      <c r="H306" s="374">
        <f t="shared" si="36"/>
        <v>0</v>
      </c>
      <c r="I306" s="377">
        <f t="shared" si="37"/>
        <v>0</v>
      </c>
      <c r="J306" s="374">
        <f t="shared" si="38"/>
        <v>0</v>
      </c>
      <c r="K306" s="369">
        <f t="shared" si="39"/>
        <v>0</v>
      </c>
      <c r="L306" s="373">
        <f t="shared" si="40"/>
        <v>0</v>
      </c>
      <c r="M306" s="113">
        <f>L306*D306*'B) D RI'!S308</f>
        <v>0</v>
      </c>
    </row>
    <row r="307" spans="1:13" x14ac:dyDescent="0.25">
      <c r="A307" s="295">
        <f>'A) Base RI'!A309</f>
        <v>5933</v>
      </c>
      <c r="B307" s="32" t="str">
        <f>'A) Base RI'!B309</f>
        <v>Valeyres-sous-Montagny</v>
      </c>
      <c r="C307" s="293">
        <f>'B) D RI'!U309</f>
        <v>22088.929559782136</v>
      </c>
      <c r="D307" s="32">
        <f>'B) D RI'!AA309</f>
        <v>709</v>
      </c>
      <c r="E307" s="201">
        <f t="shared" si="33"/>
        <v>31.155048744403576</v>
      </c>
      <c r="F307" s="366">
        <f t="shared" si="34"/>
        <v>0.67727504531515681</v>
      </c>
      <c r="G307" s="377">
        <f t="shared" si="35"/>
        <v>0</v>
      </c>
      <c r="H307" s="374">
        <f t="shared" si="36"/>
        <v>0</v>
      </c>
      <c r="I307" s="377">
        <f t="shared" si="37"/>
        <v>0</v>
      </c>
      <c r="J307" s="374">
        <f t="shared" si="38"/>
        <v>0</v>
      </c>
      <c r="K307" s="369">
        <f t="shared" si="39"/>
        <v>0</v>
      </c>
      <c r="L307" s="373">
        <f t="shared" si="40"/>
        <v>0</v>
      </c>
      <c r="M307" s="113">
        <f>L307*D307*'B) D RI'!S309</f>
        <v>0</v>
      </c>
    </row>
    <row r="308" spans="1:13" x14ac:dyDescent="0.25">
      <c r="A308" s="295">
        <f>'A) Base RI'!A310</f>
        <v>5934</v>
      </c>
      <c r="B308" s="32" t="str">
        <f>'A) Base RI'!B310</f>
        <v>Valeyres-sous-Ursins</v>
      </c>
      <c r="C308" s="293">
        <f>'B) D RI'!U310</f>
        <v>7547.3165822784813</v>
      </c>
      <c r="D308" s="32">
        <f>'B) D RI'!AA310</f>
        <v>227</v>
      </c>
      <c r="E308" s="201">
        <f t="shared" si="33"/>
        <v>33.248090670830315</v>
      </c>
      <c r="F308" s="366">
        <f t="shared" si="34"/>
        <v>0.72277537745062914</v>
      </c>
      <c r="G308" s="377">
        <f t="shared" si="35"/>
        <v>0</v>
      </c>
      <c r="H308" s="374">
        <f t="shared" si="36"/>
        <v>0</v>
      </c>
      <c r="I308" s="377">
        <f t="shared" si="37"/>
        <v>0</v>
      </c>
      <c r="J308" s="374">
        <f t="shared" si="38"/>
        <v>0</v>
      </c>
      <c r="K308" s="369">
        <f t="shared" si="39"/>
        <v>0</v>
      </c>
      <c r="L308" s="373">
        <f t="shared" si="40"/>
        <v>0</v>
      </c>
      <c r="M308" s="113">
        <f>L308*D308*'B) D RI'!S310</f>
        <v>0</v>
      </c>
    </row>
    <row r="309" spans="1:13" x14ac:dyDescent="0.25">
      <c r="A309" s="295">
        <f>'A) Base RI'!A311</f>
        <v>5935</v>
      </c>
      <c r="B309" s="32" t="str">
        <f>'A) Base RI'!B311</f>
        <v>Villars-Epeney</v>
      </c>
      <c r="C309" s="293">
        <f>'B) D RI'!U311</f>
        <v>4852.8368333333328</v>
      </c>
      <c r="D309" s="32">
        <f>'B) D RI'!AA311</f>
        <v>102</v>
      </c>
      <c r="E309" s="201">
        <f t="shared" si="33"/>
        <v>47.5768316993464</v>
      </c>
      <c r="F309" s="366">
        <f t="shared" si="34"/>
        <v>1.0342657817511716</v>
      </c>
      <c r="G309" s="377">
        <f t="shared" si="35"/>
        <v>1.5762460290059579</v>
      </c>
      <c r="H309" s="374">
        <f t="shared" si="36"/>
        <v>0</v>
      </c>
      <c r="I309" s="377">
        <f t="shared" si="37"/>
        <v>0</v>
      </c>
      <c r="J309" s="374">
        <f t="shared" si="38"/>
        <v>0</v>
      </c>
      <c r="K309" s="369">
        <f t="shared" si="39"/>
        <v>0</v>
      </c>
      <c r="L309" s="373">
        <f t="shared" si="40"/>
        <v>0.31524920580119159</v>
      </c>
      <c r="M309" s="113">
        <f>L309*D309*'B) D RI'!S311</f>
        <v>1929.3251395032923</v>
      </c>
    </row>
    <row r="310" spans="1:13" x14ac:dyDescent="0.25">
      <c r="A310" s="295">
        <f>'A) Base RI'!A312</f>
        <v>5937</v>
      </c>
      <c r="B310" s="32" t="str">
        <f>'A) Base RI'!B312</f>
        <v>Vugelles-La Mothe</v>
      </c>
      <c r="C310" s="293">
        <f>'B) D RI'!U312</f>
        <v>3013.5893429156713</v>
      </c>
      <c r="D310" s="32">
        <f>'B) D RI'!AA312</f>
        <v>135</v>
      </c>
      <c r="E310" s="201">
        <f t="shared" si="33"/>
        <v>22.322884021597567</v>
      </c>
      <c r="F310" s="366">
        <f t="shared" si="34"/>
        <v>0.48527390893613287</v>
      </c>
      <c r="G310" s="377">
        <f t="shared" si="35"/>
        <v>0</v>
      </c>
      <c r="H310" s="374">
        <f t="shared" si="36"/>
        <v>0</v>
      </c>
      <c r="I310" s="377">
        <f t="shared" si="37"/>
        <v>0</v>
      </c>
      <c r="J310" s="374">
        <f t="shared" si="38"/>
        <v>0</v>
      </c>
      <c r="K310" s="369">
        <f t="shared" si="39"/>
        <v>0</v>
      </c>
      <c r="L310" s="373">
        <f t="shared" si="40"/>
        <v>0</v>
      </c>
      <c r="M310" s="113">
        <f>L310*D310*'B) D RI'!S312</f>
        <v>0</v>
      </c>
    </row>
    <row r="311" spans="1:13" x14ac:dyDescent="0.25">
      <c r="A311" s="295">
        <f>'A) Base RI'!A313</f>
        <v>5938</v>
      </c>
      <c r="B311" s="32" t="str">
        <f>'A) Base RI'!B313</f>
        <v>Yverdon-les-Bains</v>
      </c>
      <c r="C311" s="293">
        <f>'B) D RI'!U313</f>
        <v>781659.36856013921</v>
      </c>
      <c r="D311" s="32">
        <f>'B) D RI'!AA313</f>
        <v>30189</v>
      </c>
      <c r="E311" s="201">
        <f t="shared" si="33"/>
        <v>25.892191479020148</v>
      </c>
      <c r="F311" s="366">
        <f t="shared" si="34"/>
        <v>0.56286656140803271</v>
      </c>
      <c r="G311" s="377">
        <f t="shared" si="35"/>
        <v>0</v>
      </c>
      <c r="H311" s="374">
        <f t="shared" si="36"/>
        <v>0</v>
      </c>
      <c r="I311" s="377">
        <f t="shared" si="37"/>
        <v>0</v>
      </c>
      <c r="J311" s="374">
        <f t="shared" si="38"/>
        <v>0</v>
      </c>
      <c r="K311" s="369">
        <f t="shared" si="39"/>
        <v>0</v>
      </c>
      <c r="L311" s="373">
        <f t="shared" si="40"/>
        <v>0</v>
      </c>
      <c r="M311" s="113">
        <f>L311*D311*'B) D RI'!S313</f>
        <v>0</v>
      </c>
    </row>
    <row r="312" spans="1:13" x14ac:dyDescent="0.25">
      <c r="A312" s="295">
        <f>'A) Base RI'!A314</f>
        <v>5939</v>
      </c>
      <c r="B312" s="32" t="str">
        <f>'A) Base RI'!B314</f>
        <v>Yvonand</v>
      </c>
      <c r="C312" s="293">
        <f>'B) D RI'!U314</f>
        <v>95019.586686348848</v>
      </c>
      <c r="D312" s="32">
        <f>'B) D RI'!AA314</f>
        <v>3434</v>
      </c>
      <c r="E312" s="201">
        <f t="shared" si="33"/>
        <v>27.670234911575086</v>
      </c>
      <c r="F312" s="366">
        <f t="shared" si="34"/>
        <v>0.60151918738321364</v>
      </c>
      <c r="G312" s="378">
        <f t="shared" si="35"/>
        <v>0</v>
      </c>
      <c r="H312" s="374">
        <f t="shared" si="36"/>
        <v>0</v>
      </c>
      <c r="I312" s="378">
        <f t="shared" si="37"/>
        <v>0</v>
      </c>
      <c r="J312" s="374">
        <f t="shared" si="38"/>
        <v>0</v>
      </c>
      <c r="K312" s="370">
        <f t="shared" si="39"/>
        <v>0</v>
      </c>
      <c r="L312" s="379">
        <f t="shared" si="40"/>
        <v>0</v>
      </c>
      <c r="M312" s="113">
        <f>L312*D312*'B) D RI'!S314</f>
        <v>0</v>
      </c>
    </row>
    <row r="313" spans="1:13" x14ac:dyDescent="0.25">
      <c r="A313" s="7"/>
      <c r="B313" s="118">
        <f>COUNTA(B5:B312)</f>
        <v>308</v>
      </c>
      <c r="C313" s="294">
        <f>SUM(C5:C312)</f>
        <v>37080520.101833388</v>
      </c>
      <c r="D313" s="272">
        <f>SUM(D5:D312)</f>
        <v>806088</v>
      </c>
      <c r="E313" s="59">
        <f>C313/D313</f>
        <v>46.000585670340442</v>
      </c>
      <c r="F313" s="60">
        <v>1</v>
      </c>
      <c r="G313" s="30"/>
      <c r="H313" s="30"/>
      <c r="I313" s="30"/>
      <c r="J313" s="30"/>
      <c r="K313" s="30"/>
      <c r="L313" s="372"/>
      <c r="M313" s="37">
        <f>SUM(M5:M312)</f>
        <v>112155807.2822234</v>
      </c>
    </row>
    <row r="314" spans="1:13" x14ac:dyDescent="0.25">
      <c r="M314" s="13"/>
    </row>
    <row r="316" spans="1:13" x14ac:dyDescent="0.25">
      <c r="F316" s="15"/>
    </row>
    <row r="317" spans="1:13" x14ac:dyDescent="0.25">
      <c r="F317" s="15"/>
    </row>
    <row r="318" spans="1:13" x14ac:dyDescent="0.25">
      <c r="F318" s="15"/>
      <c r="G318" s="17"/>
      <c r="H318" s="17"/>
    </row>
    <row r="319" spans="1:13" x14ac:dyDescent="0.25">
      <c r="E319" s="28"/>
    </row>
  </sheetData>
  <mergeCells count="6">
    <mergeCell ref="A3:A4"/>
    <mergeCell ref="B3:B4"/>
    <mergeCell ref="F3:F4"/>
    <mergeCell ref="C3:E3"/>
    <mergeCell ref="M3:M4"/>
    <mergeCell ref="L3:L4"/>
  </mergeCells>
  <phoneticPr fontId="24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8">
    <tabColor rgb="FF00B050"/>
  </sheetPr>
  <dimension ref="A1:AG331"/>
  <sheetViews>
    <sheetView workbookViewId="0"/>
  </sheetViews>
  <sheetFormatPr baseColWidth="10" defaultColWidth="10.75" defaultRowHeight="15" x14ac:dyDescent="0.25"/>
  <cols>
    <col min="1" max="1" width="7.25" style="13" customWidth="1"/>
    <col min="2" max="2" width="18" style="13" customWidth="1"/>
    <col min="3" max="3" width="13.625" style="13" customWidth="1"/>
    <col min="4" max="4" width="12.75" style="13" customWidth="1"/>
    <col min="5" max="5" width="10.75" style="13" bestFit="1" customWidth="1"/>
    <col min="6" max="6" width="15.125" style="13" customWidth="1"/>
    <col min="7" max="7" width="12.125" style="13" customWidth="1"/>
    <col min="8" max="8" width="9.25" style="13" customWidth="1"/>
    <col min="9" max="10" width="12.125" style="13" customWidth="1"/>
    <col min="11" max="11" width="9.25" style="13" customWidth="1"/>
    <col min="12" max="12" width="13" style="13" bestFit="1" customWidth="1"/>
    <col min="13" max="13" width="12.125" style="13" customWidth="1"/>
    <col min="14" max="14" width="14" style="13" customWidth="1"/>
    <col min="15" max="20" width="12.125" style="13" customWidth="1"/>
    <col min="21" max="23" width="8.125" style="13" customWidth="1"/>
    <col min="24" max="31" width="11" style="13" customWidth="1"/>
    <col min="32" max="32" width="9.25" style="13" customWidth="1"/>
    <col min="33" max="33" width="11" style="13" customWidth="1"/>
    <col min="34" max="16384" width="10.75" style="13"/>
  </cols>
  <sheetData>
    <row r="1" spans="1:33" s="43" customFormat="1" ht="20.25" customHeight="1" x14ac:dyDescent="0.25">
      <c r="A1" s="51" t="s">
        <v>566</v>
      </c>
      <c r="B1" s="42"/>
      <c r="C1" s="68"/>
      <c r="D1" s="68"/>
      <c r="E1" s="68"/>
      <c r="F1" s="68"/>
      <c r="G1" s="68"/>
      <c r="H1" s="68"/>
      <c r="I1" s="68"/>
      <c r="J1" s="68"/>
      <c r="K1" s="13"/>
      <c r="L1" s="13"/>
      <c r="M1" s="68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33" s="53" customFormat="1" x14ac:dyDescent="0.25">
      <c r="A2" s="27"/>
      <c r="D2" s="13"/>
      <c r="E2" s="13"/>
      <c r="F2" s="13"/>
      <c r="G2" s="13"/>
      <c r="K2" s="13"/>
      <c r="L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33" s="53" customFormat="1" x14ac:dyDescent="0.25">
      <c r="A3" s="504" t="s">
        <v>92</v>
      </c>
      <c r="B3" s="505"/>
      <c r="C3" s="506"/>
      <c r="D3" s="61" t="s">
        <v>539</v>
      </c>
      <c r="E3" s="64" t="s">
        <v>539</v>
      </c>
      <c r="F3" s="13"/>
      <c r="G3" s="13"/>
      <c r="K3" s="13"/>
      <c r="L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</row>
    <row r="4" spans="1:33" s="53" customFormat="1" x14ac:dyDescent="0.25">
      <c r="A4" s="79" t="s">
        <v>405</v>
      </c>
      <c r="B4" s="80"/>
      <c r="C4" s="89">
        <f>+Paramètres!B58</f>
        <v>815872100</v>
      </c>
      <c r="D4" s="87">
        <f>C4/$E$4</f>
        <v>22.00271457248682</v>
      </c>
      <c r="E4" s="92">
        <f>+'D) Ecrêtage'!C313</f>
        <v>37080520.101833388</v>
      </c>
      <c r="F4" s="13"/>
      <c r="G4" s="13"/>
      <c r="K4" s="13"/>
      <c r="L4" s="371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</row>
    <row r="5" spans="1:33" s="53" customFormat="1" x14ac:dyDescent="0.25">
      <c r="A5" s="81" t="s">
        <v>374</v>
      </c>
      <c r="B5" s="82"/>
      <c r="C5" s="9">
        <f>-'C) Prél. conj.'!H313</f>
        <v>-135162580.34000003</v>
      </c>
      <c r="D5" s="33">
        <f>C5/$E$4</f>
        <v>-3.6451101540325248</v>
      </c>
      <c r="E5" s="72"/>
      <c r="F5" s="13"/>
      <c r="G5" s="13"/>
      <c r="K5" s="13"/>
      <c r="L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</row>
    <row r="6" spans="1:33" s="53" customFormat="1" x14ac:dyDescent="0.25">
      <c r="A6" s="83" t="s">
        <v>375</v>
      </c>
      <c r="B6" s="84"/>
      <c r="C6" s="90">
        <f>-'D) Ecrêtage'!M313</f>
        <v>-112155807.2822234</v>
      </c>
      <c r="D6" s="33">
        <f>C6/$E$4</f>
        <v>-3.0246557215004661</v>
      </c>
      <c r="E6" s="72"/>
      <c r="F6" s="13"/>
      <c r="G6" s="13"/>
      <c r="K6" s="13"/>
      <c r="L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s="53" customFormat="1" x14ac:dyDescent="0.25">
      <c r="A7" s="75" t="s">
        <v>289</v>
      </c>
      <c r="B7" s="77"/>
      <c r="C7" s="91">
        <f>C4+C6+C5</f>
        <v>568553712.3777765</v>
      </c>
      <c r="D7" s="19">
        <f>C7/$E$4</f>
        <v>15.332948696953828</v>
      </c>
      <c r="E7" s="72"/>
      <c r="F7" s="13"/>
      <c r="G7" s="13"/>
      <c r="K7" s="13"/>
      <c r="L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 spans="1:33" s="53" customFormat="1" x14ac:dyDescent="0.25">
      <c r="A8" s="27"/>
      <c r="D8" s="13"/>
      <c r="E8" s="13"/>
      <c r="F8" s="13"/>
      <c r="G8" s="13"/>
      <c r="K8" s="13"/>
      <c r="L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 spans="1:33" ht="38.25" customHeight="1" x14ac:dyDescent="0.25">
      <c r="A9" s="492" t="s">
        <v>46</v>
      </c>
      <c r="B9" s="492" t="s">
        <v>95</v>
      </c>
      <c r="C9" s="492" t="s">
        <v>303</v>
      </c>
      <c r="D9" s="492" t="s">
        <v>434</v>
      </c>
      <c r="E9" s="509" t="s">
        <v>471</v>
      </c>
      <c r="F9" s="285" t="s">
        <v>567</v>
      </c>
      <c r="G9" s="507" t="s">
        <v>404</v>
      </c>
    </row>
    <row r="10" spans="1:33" x14ac:dyDescent="0.25">
      <c r="A10" s="494"/>
      <c r="B10" s="494"/>
      <c r="C10" s="494"/>
      <c r="D10" s="494"/>
      <c r="E10" s="510"/>
      <c r="F10" s="299">
        <f>D7</f>
        <v>15.332948696953828</v>
      </c>
      <c r="G10" s="508"/>
    </row>
    <row r="11" spans="1:33" x14ac:dyDescent="0.25">
      <c r="A11" s="49">
        <f>'A) Base RI'!A7</f>
        <v>5401</v>
      </c>
      <c r="B11" s="291" t="str">
        <f>'A) Base RI'!B7</f>
        <v>Aigle</v>
      </c>
      <c r="C11" s="10">
        <f>'A) Base RI'!V7</f>
        <v>10217</v>
      </c>
      <c r="D11" s="14">
        <f>'C) Prél. conj.'!H5</f>
        <v>1129127.625</v>
      </c>
      <c r="E11" s="10">
        <f>'D) Ecrêtage'!M5</f>
        <v>0</v>
      </c>
      <c r="F11" s="14">
        <f>$F$10*'D) Ecrêtage'!C5</f>
        <v>4197502.8472302398</v>
      </c>
      <c r="G11" s="55">
        <f>D11+F11+E11</f>
        <v>5326630.4722302398</v>
      </c>
      <c r="I11" s="36"/>
      <c r="J11" s="408"/>
    </row>
    <row r="12" spans="1:33" x14ac:dyDescent="0.25">
      <c r="A12" s="49">
        <f>'A) Base RI'!A8</f>
        <v>5402</v>
      </c>
      <c r="B12" s="291" t="str">
        <f>'A) Base RI'!B8</f>
        <v>Bex</v>
      </c>
      <c r="C12" s="10">
        <f>'A) Base RI'!V8</f>
        <v>7869</v>
      </c>
      <c r="D12" s="422">
        <f>'C) Prél. conj.'!H6</f>
        <v>634663.84500000009</v>
      </c>
      <c r="E12" s="10">
        <f>'D) Ecrêtage'!M6</f>
        <v>0</v>
      </c>
      <c r="F12" s="422">
        <f>$F$10*'D) Ecrêtage'!C6</f>
        <v>2839684.0248994804</v>
      </c>
      <c r="G12" s="55">
        <f t="shared" ref="G12:G74" si="0">D12+F12+E12</f>
        <v>3474347.8698994806</v>
      </c>
      <c r="I12" s="36"/>
      <c r="J12" s="408"/>
    </row>
    <row r="13" spans="1:33" x14ac:dyDescent="0.25">
      <c r="A13" s="49">
        <f>'A) Base RI'!A9</f>
        <v>5403</v>
      </c>
      <c r="B13" s="291" t="str">
        <f>'A) Base RI'!B9</f>
        <v>Chessel</v>
      </c>
      <c r="C13" s="10">
        <f>'A) Base RI'!V9</f>
        <v>429</v>
      </c>
      <c r="D13" s="422">
        <f>'C) Prél. conj.'!H7</f>
        <v>49834.555</v>
      </c>
      <c r="E13" s="10">
        <f>'D) Ecrêtage'!M7</f>
        <v>0</v>
      </c>
      <c r="F13" s="422">
        <f>$F$10*'D) Ecrêtage'!C7</f>
        <v>163905.85853671283</v>
      </c>
      <c r="G13" s="55">
        <f t="shared" si="0"/>
        <v>213740.41353671282</v>
      </c>
      <c r="I13" s="36"/>
      <c r="J13" s="408"/>
    </row>
    <row r="14" spans="1:33" x14ac:dyDescent="0.25">
      <c r="A14" s="49">
        <f>'A) Base RI'!A10</f>
        <v>5404</v>
      </c>
      <c r="B14" s="291" t="str">
        <f>'A) Base RI'!B10</f>
        <v>Corbeyrier</v>
      </c>
      <c r="C14" s="10">
        <f>'A) Base RI'!V10</f>
        <v>437</v>
      </c>
      <c r="D14" s="422">
        <f>'C) Prél. conj.'!H8</f>
        <v>95422.080000000002</v>
      </c>
      <c r="E14" s="10">
        <f>'D) Ecrêtage'!M8</f>
        <v>0</v>
      </c>
      <c r="F14" s="422">
        <f>$F$10*'D) Ecrêtage'!C8</f>
        <v>223734.41370141372</v>
      </c>
      <c r="G14" s="55">
        <f t="shared" si="0"/>
        <v>319156.49370141374</v>
      </c>
      <c r="I14" s="36"/>
      <c r="J14" s="408"/>
    </row>
    <row r="15" spans="1:33" x14ac:dyDescent="0.25">
      <c r="A15" s="49">
        <f>'A) Base RI'!A11</f>
        <v>5405</v>
      </c>
      <c r="B15" s="291" t="str">
        <f>'A) Base RI'!B11</f>
        <v>Gryon</v>
      </c>
      <c r="C15" s="10">
        <f>'A) Base RI'!V11</f>
        <v>1347</v>
      </c>
      <c r="D15" s="422">
        <f>'C) Prél. conj.'!H9</f>
        <v>313385.94999999995</v>
      </c>
      <c r="E15" s="10">
        <f>'D) Ecrêtage'!M9</f>
        <v>54995.045600506011</v>
      </c>
      <c r="F15" s="422">
        <f>$F$10*'D) Ecrêtage'!C9</f>
        <v>1006288.0108110388</v>
      </c>
      <c r="G15" s="55">
        <f t="shared" si="0"/>
        <v>1374669.0064115447</v>
      </c>
      <c r="I15" s="36"/>
      <c r="J15" s="408"/>
    </row>
    <row r="16" spans="1:33" x14ac:dyDescent="0.25">
      <c r="A16" s="49">
        <f>'A) Base RI'!A12</f>
        <v>5406</v>
      </c>
      <c r="B16" s="291" t="str">
        <f>'A) Base RI'!B12</f>
        <v>Lavey-Morcles</v>
      </c>
      <c r="C16" s="10">
        <f>'A) Base RI'!V12</f>
        <v>931</v>
      </c>
      <c r="D16" s="422">
        <f>'C) Prél. conj.'!H10</f>
        <v>21394.45</v>
      </c>
      <c r="E16" s="10">
        <f>'D) Ecrêtage'!M10</f>
        <v>0</v>
      </c>
      <c r="F16" s="422">
        <f>$F$10*'D) Ecrêtage'!C10</f>
        <v>377635.60205480468</v>
      </c>
      <c r="G16" s="55">
        <f t="shared" si="0"/>
        <v>399030.05205480469</v>
      </c>
      <c r="I16" s="36"/>
      <c r="J16" s="408"/>
    </row>
    <row r="17" spans="1:10" x14ac:dyDescent="0.25">
      <c r="A17" s="49">
        <f>'A) Base RI'!A13</f>
        <v>5407</v>
      </c>
      <c r="B17" s="291" t="str">
        <f>'A) Base RI'!B13</f>
        <v>Leysin</v>
      </c>
      <c r="C17" s="10">
        <f>'A) Base RI'!V13</f>
        <v>3776</v>
      </c>
      <c r="D17" s="422">
        <f>'C) Prél. conj.'!H11</f>
        <v>399543.85499999998</v>
      </c>
      <c r="E17" s="10">
        <f>'D) Ecrêtage'!M11</f>
        <v>0</v>
      </c>
      <c r="F17" s="422">
        <f>$F$10*'D) Ecrêtage'!C11</f>
        <v>1364470.6500833237</v>
      </c>
      <c r="G17" s="55">
        <f t="shared" si="0"/>
        <v>1764014.5050833237</v>
      </c>
      <c r="I17" s="36"/>
      <c r="J17" s="408"/>
    </row>
    <row r="18" spans="1:10" x14ac:dyDescent="0.25">
      <c r="A18" s="49">
        <f>'A) Base RI'!A14</f>
        <v>5408</v>
      </c>
      <c r="B18" s="291" t="str">
        <f>'A) Base RI'!B14</f>
        <v>Noville</v>
      </c>
      <c r="C18" s="10">
        <f>'A) Base RI'!V14</f>
        <v>1167</v>
      </c>
      <c r="D18" s="422">
        <f>'C) Prél. conj.'!H12</f>
        <v>352532.96499999997</v>
      </c>
      <c r="E18" s="10">
        <f>'D) Ecrêtage'!M12</f>
        <v>0</v>
      </c>
      <c r="F18" s="422">
        <f>$F$10*'D) Ecrêtage'!C12</f>
        <v>433470.73619977792</v>
      </c>
      <c r="G18" s="55">
        <f t="shared" si="0"/>
        <v>786003.70119977789</v>
      </c>
    </row>
    <row r="19" spans="1:10" x14ac:dyDescent="0.25">
      <c r="A19" s="49">
        <f>'A) Base RI'!A15</f>
        <v>5409</v>
      </c>
      <c r="B19" s="291" t="str">
        <f>'A) Base RI'!B15</f>
        <v>Ollon</v>
      </c>
      <c r="C19" s="10">
        <f>'A) Base RI'!V15</f>
        <v>7560</v>
      </c>
      <c r="D19" s="422">
        <f>'C) Prél. conj.'!H13</f>
        <v>1565743.135</v>
      </c>
      <c r="E19" s="10">
        <f>'D) Ecrêtage'!M13</f>
        <v>684276.93136475538</v>
      </c>
      <c r="F19" s="422">
        <f>$F$10*'D) Ecrêtage'!C13</f>
        <v>6103723.4724028967</v>
      </c>
      <c r="G19" s="55">
        <f t="shared" si="0"/>
        <v>8353743.5387676517</v>
      </c>
    </row>
    <row r="20" spans="1:10" x14ac:dyDescent="0.25">
      <c r="A20" s="49">
        <f>'A) Base RI'!A16</f>
        <v>5410</v>
      </c>
      <c r="B20" s="291" t="str">
        <f>'A) Base RI'!B16</f>
        <v>Ormont-Dessous</v>
      </c>
      <c r="C20" s="10">
        <f>'A) Base RI'!V16</f>
        <v>1141</v>
      </c>
      <c r="D20" s="422">
        <f>'C) Prél. conj.'!H14</f>
        <v>184660.61499999999</v>
      </c>
      <c r="E20" s="10">
        <f>'D) Ecrêtage'!M14</f>
        <v>0</v>
      </c>
      <c r="F20" s="422">
        <f>$F$10*'D) Ecrêtage'!C14</f>
        <v>585859.98722280038</v>
      </c>
      <c r="G20" s="55">
        <f t="shared" si="0"/>
        <v>770520.60222280037</v>
      </c>
    </row>
    <row r="21" spans="1:10" x14ac:dyDescent="0.25">
      <c r="A21" s="49">
        <f>'A) Base RI'!A17</f>
        <v>5411</v>
      </c>
      <c r="B21" s="291" t="str">
        <f>'A) Base RI'!B17</f>
        <v>Ormont-Dessus</v>
      </c>
      <c r="C21" s="10">
        <f>'A) Base RI'!V17</f>
        <v>1434</v>
      </c>
      <c r="D21" s="422">
        <f>'C) Prél. conj.'!H15</f>
        <v>356329.65500000003</v>
      </c>
      <c r="E21" s="10">
        <f>'D) Ecrêtage'!M15</f>
        <v>108063.06177029133</v>
      </c>
      <c r="F21" s="422">
        <f>$F$10*'D) Ecrêtage'!C15</f>
        <v>1120443.7540685621</v>
      </c>
      <c r="G21" s="55">
        <f t="shared" si="0"/>
        <v>1584836.4708388534</v>
      </c>
    </row>
    <row r="22" spans="1:10" x14ac:dyDescent="0.25">
      <c r="A22" s="49">
        <f>'A) Base RI'!A18</f>
        <v>5412</v>
      </c>
      <c r="B22" s="291" t="str">
        <f>'A) Base RI'!B18</f>
        <v>Rennaz</v>
      </c>
      <c r="C22" s="10">
        <f>'A) Base RI'!V18</f>
        <v>871</v>
      </c>
      <c r="D22" s="422">
        <f>'C) Prél. conj.'!H16</f>
        <v>58933.754999999997</v>
      </c>
      <c r="E22" s="10">
        <f>'D) Ecrêtage'!M16</f>
        <v>0</v>
      </c>
      <c r="F22" s="422">
        <f>$F$10*'D) Ecrêtage'!C16</f>
        <v>365137.37077247736</v>
      </c>
      <c r="G22" s="55">
        <f t="shared" si="0"/>
        <v>424071.12577247736</v>
      </c>
    </row>
    <row r="23" spans="1:10" x14ac:dyDescent="0.25">
      <c r="A23" s="49">
        <f>'A) Base RI'!A19</f>
        <v>5413</v>
      </c>
      <c r="B23" s="291" t="str">
        <f>'A) Base RI'!B19</f>
        <v>Roche</v>
      </c>
      <c r="C23" s="10">
        <f>'A) Base RI'!V19</f>
        <v>1826</v>
      </c>
      <c r="D23" s="422">
        <f>'C) Prél. conj.'!H17</f>
        <v>270521.14500000002</v>
      </c>
      <c r="E23" s="10">
        <f>'D) Ecrêtage'!M17</f>
        <v>0</v>
      </c>
      <c r="F23" s="422">
        <f>$F$10*'D) Ecrêtage'!C17</f>
        <v>684453.83745991008</v>
      </c>
      <c r="G23" s="55">
        <f t="shared" si="0"/>
        <v>954974.9824599101</v>
      </c>
    </row>
    <row r="24" spans="1:10" x14ac:dyDescent="0.25">
      <c r="A24" s="49">
        <f>'A) Base RI'!A20</f>
        <v>5414</v>
      </c>
      <c r="B24" s="291" t="str">
        <f>'A) Base RI'!B20</f>
        <v>Villeneuve</v>
      </c>
      <c r="C24" s="10">
        <f>'A) Base RI'!V20</f>
        <v>5772</v>
      </c>
      <c r="D24" s="422">
        <f>'C) Prél. conj.'!H18</f>
        <v>1329282.7949999999</v>
      </c>
      <c r="E24" s="10">
        <f>'D) Ecrêtage'!M18</f>
        <v>0</v>
      </c>
      <c r="F24" s="422">
        <f>$F$10*'D) Ecrêtage'!C18</f>
        <v>2545784.5227019847</v>
      </c>
      <c r="G24" s="55">
        <f t="shared" si="0"/>
        <v>3875067.3177019847</v>
      </c>
    </row>
    <row r="25" spans="1:10" x14ac:dyDescent="0.25">
      <c r="A25" s="49">
        <f>'A) Base RI'!A21</f>
        <v>5415</v>
      </c>
      <c r="B25" s="291" t="str">
        <f>'A) Base RI'!B21</f>
        <v>Yvorne</v>
      </c>
      <c r="C25" s="10">
        <f>'A) Base RI'!V21</f>
        <v>1071</v>
      </c>
      <c r="D25" s="422">
        <f>'C) Prél. conj.'!H19</f>
        <v>187861.17</v>
      </c>
      <c r="E25" s="10">
        <f>'D) Ecrêtage'!M19</f>
        <v>0</v>
      </c>
      <c r="F25" s="422">
        <f>$F$10*'D) Ecrêtage'!C19</f>
        <v>599873.5704471994</v>
      </c>
      <c r="G25" s="55">
        <f t="shared" si="0"/>
        <v>787734.74044719944</v>
      </c>
    </row>
    <row r="26" spans="1:10" x14ac:dyDescent="0.25">
      <c r="A26" s="49">
        <f>'A) Base RI'!A22</f>
        <v>5421</v>
      </c>
      <c r="B26" s="291" t="str">
        <f>'A) Base RI'!B22</f>
        <v>Apples</v>
      </c>
      <c r="C26" s="10">
        <f>'A) Base RI'!V22</f>
        <v>1460</v>
      </c>
      <c r="D26" s="422">
        <f>'C) Prél. conj.'!H20</f>
        <v>196364.3</v>
      </c>
      <c r="E26" s="10">
        <f>'D) Ecrêtage'!M20</f>
        <v>50641.20423356862</v>
      </c>
      <c r="F26" s="422">
        <f>$F$10*'D) Ecrêtage'!C20</f>
        <v>1080858.089211612</v>
      </c>
      <c r="G26" s="55">
        <f t="shared" si="0"/>
        <v>1327863.5934451807</v>
      </c>
    </row>
    <row r="27" spans="1:10" x14ac:dyDescent="0.25">
      <c r="A27" s="49">
        <f>'A) Base RI'!A23</f>
        <v>5422</v>
      </c>
      <c r="B27" s="291" t="str">
        <f>'A) Base RI'!B23</f>
        <v>Aubonne</v>
      </c>
      <c r="C27" s="10">
        <f>'A) Base RI'!V23</f>
        <v>3817</v>
      </c>
      <c r="D27" s="422">
        <f>'C) Prél. conj.'!H21</f>
        <v>727690.35499999998</v>
      </c>
      <c r="E27" s="10">
        <f>'D) Ecrêtage'!M21</f>
        <v>1230158.61110411</v>
      </c>
      <c r="F27" s="422">
        <f>$F$10*'D) Ecrêtage'!C21</f>
        <v>3763271.1400369564</v>
      </c>
      <c r="G27" s="55">
        <f t="shared" si="0"/>
        <v>5721120.1061410662</v>
      </c>
    </row>
    <row r="28" spans="1:10" x14ac:dyDescent="0.25">
      <c r="A28" s="49">
        <f>'A) Base RI'!A24</f>
        <v>5423</v>
      </c>
      <c r="B28" s="291" t="str">
        <f>'A) Base RI'!B24</f>
        <v>Ballens</v>
      </c>
      <c r="C28" s="10">
        <f>'A) Base RI'!V24</f>
        <v>545</v>
      </c>
      <c r="D28" s="422">
        <f>'C) Prél. conj.'!H22</f>
        <v>50048.83</v>
      </c>
      <c r="E28" s="10">
        <f>'D) Ecrêtage'!M22</f>
        <v>0</v>
      </c>
      <c r="F28" s="422">
        <f>$F$10*'D) Ecrêtage'!C22</f>
        <v>250230.21766338416</v>
      </c>
      <c r="G28" s="55">
        <f t="shared" si="0"/>
        <v>300279.04766338418</v>
      </c>
    </row>
    <row r="29" spans="1:10" x14ac:dyDescent="0.25">
      <c r="A29" s="49">
        <f>'A) Base RI'!A25</f>
        <v>5424</v>
      </c>
      <c r="B29" s="291" t="str">
        <f>'A) Base RI'!B25</f>
        <v>Berolle</v>
      </c>
      <c r="C29" s="10">
        <f>'A) Base RI'!V25</f>
        <v>300</v>
      </c>
      <c r="D29" s="422">
        <f>'C) Prél. conj.'!H23</f>
        <v>5251.95</v>
      </c>
      <c r="E29" s="10">
        <f>'D) Ecrêtage'!M23</f>
        <v>0</v>
      </c>
      <c r="F29" s="422">
        <f>$F$10*'D) Ecrêtage'!C23</f>
        <v>142267.86566918337</v>
      </c>
      <c r="G29" s="55">
        <f t="shared" si="0"/>
        <v>147519.81566918339</v>
      </c>
    </row>
    <row r="30" spans="1:10" x14ac:dyDescent="0.25">
      <c r="A30" s="49">
        <f>'A) Base RI'!A26</f>
        <v>5425</v>
      </c>
      <c r="B30" s="291" t="str">
        <f>'A) Base RI'!B26</f>
        <v>Bière</v>
      </c>
      <c r="C30" s="10">
        <f>'A) Base RI'!V26</f>
        <v>1596</v>
      </c>
      <c r="D30" s="422">
        <f>'C) Prél. conj.'!H24</f>
        <v>170235.69</v>
      </c>
      <c r="E30" s="10">
        <f>'D) Ecrêtage'!M24</f>
        <v>0</v>
      </c>
      <c r="F30" s="422">
        <f>$F$10*'D) Ecrêtage'!C24</f>
        <v>603505.39537816134</v>
      </c>
      <c r="G30" s="55">
        <f t="shared" si="0"/>
        <v>773741.0853781614</v>
      </c>
    </row>
    <row r="31" spans="1:10" x14ac:dyDescent="0.25">
      <c r="A31" s="49">
        <f>'A) Base RI'!A27</f>
        <v>5426</v>
      </c>
      <c r="B31" s="291" t="str">
        <f>'A) Base RI'!B27</f>
        <v>Bougy-Villars</v>
      </c>
      <c r="C31" s="10">
        <f>'A) Base RI'!V27</f>
        <v>475</v>
      </c>
      <c r="D31" s="422">
        <f>'C) Prél. conj.'!H25</f>
        <v>157868.995</v>
      </c>
      <c r="E31" s="10">
        <f>'D) Ecrêtage'!M25</f>
        <v>748926.77776452759</v>
      </c>
      <c r="F31" s="422">
        <f>$F$10*'D) Ecrêtage'!C25</f>
        <v>796916.57104258484</v>
      </c>
      <c r="G31" s="55">
        <f t="shared" si="0"/>
        <v>1703712.3438071124</v>
      </c>
    </row>
    <row r="32" spans="1:10" x14ac:dyDescent="0.25">
      <c r="A32" s="49">
        <f>'A) Base RI'!A28</f>
        <v>5427</v>
      </c>
      <c r="B32" s="291" t="str">
        <f>'A) Base RI'!B28</f>
        <v>Féchy</v>
      </c>
      <c r="C32" s="10">
        <f>'A) Base RI'!V28</f>
        <v>861</v>
      </c>
      <c r="D32" s="422">
        <f>'C) Prél. conj.'!H26</f>
        <v>233862.42499999999</v>
      </c>
      <c r="E32" s="10">
        <f>'D) Ecrêtage'!M26</f>
        <v>1075884.052271825</v>
      </c>
      <c r="F32" s="422">
        <f>$F$10*'D) Ecrêtage'!C26</f>
        <v>1329276.0702516905</v>
      </c>
      <c r="G32" s="55">
        <f t="shared" si="0"/>
        <v>2639022.5475235153</v>
      </c>
    </row>
    <row r="33" spans="1:7" x14ac:dyDescent="0.25">
      <c r="A33" s="49">
        <f>'A) Base RI'!A29</f>
        <v>5428</v>
      </c>
      <c r="B33" s="291" t="str">
        <f>'A) Base RI'!B29</f>
        <v>Gimel</v>
      </c>
      <c r="C33" s="10">
        <f>'A) Base RI'!V29</f>
        <v>2238</v>
      </c>
      <c r="D33" s="422">
        <f>'C) Prél. conj.'!H27</f>
        <v>249129.78</v>
      </c>
      <c r="E33" s="10">
        <f>'D) Ecrêtage'!M27</f>
        <v>0</v>
      </c>
      <c r="F33" s="422">
        <f>$F$10*'D) Ecrêtage'!C27</f>
        <v>1015783.7136187778</v>
      </c>
      <c r="G33" s="55">
        <f t="shared" si="0"/>
        <v>1264913.4936187777</v>
      </c>
    </row>
    <row r="34" spans="1:7" x14ac:dyDescent="0.25">
      <c r="A34" s="49">
        <f>'A) Base RI'!A30</f>
        <v>5429</v>
      </c>
      <c r="B34" s="291" t="str">
        <f>'A) Base RI'!B30</f>
        <v>Longirod</v>
      </c>
      <c r="C34" s="10">
        <f>'A) Base RI'!V30</f>
        <v>482</v>
      </c>
      <c r="D34" s="422">
        <f>'C) Prél. conj.'!H28</f>
        <v>38472.024999999994</v>
      </c>
      <c r="E34" s="10">
        <f>'D) Ecrêtage'!M28</f>
        <v>0</v>
      </c>
      <c r="F34" s="422">
        <f>$F$10*'D) Ecrêtage'!C28</f>
        <v>234590.88652824025</v>
      </c>
      <c r="G34" s="55">
        <f t="shared" si="0"/>
        <v>273062.91152824025</v>
      </c>
    </row>
    <row r="35" spans="1:7" x14ac:dyDescent="0.25">
      <c r="A35" s="49">
        <f>'A) Base RI'!A31</f>
        <v>5430</v>
      </c>
      <c r="B35" s="291" t="str">
        <f>'A) Base RI'!B31</f>
        <v>Marchissy</v>
      </c>
      <c r="C35" s="10">
        <f>'A) Base RI'!V31</f>
        <v>472</v>
      </c>
      <c r="D35" s="422">
        <f>'C) Prél. conj.'!H29</f>
        <v>29874.284999999996</v>
      </c>
      <c r="E35" s="10">
        <f>'D) Ecrêtage'!M29</f>
        <v>0</v>
      </c>
      <c r="F35" s="422">
        <f>$F$10*'D) Ecrêtage'!C29</f>
        <v>228339.99059764753</v>
      </c>
      <c r="G35" s="55">
        <f t="shared" si="0"/>
        <v>258214.27559764753</v>
      </c>
    </row>
    <row r="36" spans="1:7" x14ac:dyDescent="0.25">
      <c r="A36" s="49">
        <f>'A) Base RI'!A32</f>
        <v>5431</v>
      </c>
      <c r="B36" s="291" t="str">
        <f>'A) Base RI'!B32</f>
        <v>Mollens</v>
      </c>
      <c r="C36" s="10">
        <f>'A) Base RI'!V32</f>
        <v>308</v>
      </c>
      <c r="D36" s="422">
        <f>'C) Prél. conj.'!H30</f>
        <v>58256.139999999992</v>
      </c>
      <c r="E36" s="10">
        <f>'D) Ecrêtage'!M30</f>
        <v>0</v>
      </c>
      <c r="F36" s="422">
        <f>$F$10*'D) Ecrêtage'!C30</f>
        <v>162936.56855664644</v>
      </c>
      <c r="G36" s="55">
        <f t="shared" si="0"/>
        <v>221192.70855664642</v>
      </c>
    </row>
    <row r="37" spans="1:7" x14ac:dyDescent="0.25">
      <c r="A37" s="49">
        <f>'A) Base RI'!A33</f>
        <v>5434</v>
      </c>
      <c r="B37" s="291" t="str">
        <f>'A) Base RI'!B33</f>
        <v>Saint-George</v>
      </c>
      <c r="C37" s="10">
        <f>'A) Base RI'!V33</f>
        <v>1063</v>
      </c>
      <c r="D37" s="422">
        <f>'C) Prél. conj.'!H31</f>
        <v>115321.145</v>
      </c>
      <c r="E37" s="10">
        <f>'D) Ecrêtage'!M31</f>
        <v>0</v>
      </c>
      <c r="F37" s="422">
        <f>$F$10*'D) Ecrêtage'!C31</f>
        <v>611003.52511093102</v>
      </c>
      <c r="G37" s="55">
        <f t="shared" si="0"/>
        <v>726324.67011093104</v>
      </c>
    </row>
    <row r="38" spans="1:7" x14ac:dyDescent="0.25">
      <c r="A38" s="49">
        <f>'A) Base RI'!A34</f>
        <v>5435</v>
      </c>
      <c r="B38" s="291" t="str">
        <f>'A) Base RI'!B34</f>
        <v>Saint-Livres</v>
      </c>
      <c r="C38" s="10">
        <f>'A) Base RI'!V34</f>
        <v>691</v>
      </c>
      <c r="D38" s="422">
        <f>'C) Prél. conj.'!H32</f>
        <v>33623.509999999995</v>
      </c>
      <c r="E38" s="10">
        <f>'D) Ecrêtage'!M32</f>
        <v>0</v>
      </c>
      <c r="F38" s="422">
        <f>$F$10*'D) Ecrêtage'!C32</f>
        <v>372467.0831024794</v>
      </c>
      <c r="G38" s="55">
        <f t="shared" si="0"/>
        <v>406090.59310247941</v>
      </c>
    </row>
    <row r="39" spans="1:7" x14ac:dyDescent="0.25">
      <c r="A39" s="49">
        <f>'A) Base RI'!A35</f>
        <v>5436</v>
      </c>
      <c r="B39" s="291" t="str">
        <f>'A) Base RI'!B35</f>
        <v>Saint-Oyens</v>
      </c>
      <c r="C39" s="10">
        <f>'A) Base RI'!V35</f>
        <v>447</v>
      </c>
      <c r="D39" s="422">
        <f>'C) Prél. conj.'!H33</f>
        <v>24132.355000000003</v>
      </c>
      <c r="E39" s="10">
        <f>'D) Ecrêtage'!M33</f>
        <v>0</v>
      </c>
      <c r="F39" s="422">
        <f>$F$10*'D) Ecrêtage'!C33</f>
        <v>255379.0275708994</v>
      </c>
      <c r="G39" s="55">
        <f t="shared" si="0"/>
        <v>279511.38257089938</v>
      </c>
    </row>
    <row r="40" spans="1:7" x14ac:dyDescent="0.25">
      <c r="A40" s="49">
        <f>'A) Base RI'!A36</f>
        <v>5437</v>
      </c>
      <c r="B40" s="291" t="str">
        <f>'A) Base RI'!B36</f>
        <v>Saubraz</v>
      </c>
      <c r="C40" s="10">
        <f>'A) Base RI'!V36</f>
        <v>423</v>
      </c>
      <c r="D40" s="422">
        <f>'C) Prél. conj.'!H34</f>
        <v>23259.375</v>
      </c>
      <c r="E40" s="10">
        <f>'D) Ecrêtage'!M34</f>
        <v>0</v>
      </c>
      <c r="F40" s="422">
        <f>$F$10*'D) Ecrêtage'!C34</f>
        <v>201711.95388046349</v>
      </c>
      <c r="G40" s="55">
        <f t="shared" si="0"/>
        <v>224971.32888046349</v>
      </c>
    </row>
    <row r="41" spans="1:7" x14ac:dyDescent="0.25">
      <c r="A41" s="49">
        <f>'A) Base RI'!A37</f>
        <v>5451</v>
      </c>
      <c r="B41" s="291" t="str">
        <f>'A) Base RI'!B37</f>
        <v>Avenches</v>
      </c>
      <c r="C41" s="10">
        <f>'A) Base RI'!V37</f>
        <v>4305</v>
      </c>
      <c r="D41" s="422">
        <f>'C) Prél. conj.'!H35</f>
        <v>498829.64</v>
      </c>
      <c r="E41" s="10">
        <f>'D) Ecrêtage'!M35</f>
        <v>0</v>
      </c>
      <c r="F41" s="422">
        <f>$F$10*'D) Ecrêtage'!C35</f>
        <v>2009519.1570377403</v>
      </c>
      <c r="G41" s="55">
        <f t="shared" si="0"/>
        <v>2508348.7970377402</v>
      </c>
    </row>
    <row r="42" spans="1:7" x14ac:dyDescent="0.25">
      <c r="A42" s="49">
        <f>'A) Base RI'!A38</f>
        <v>5456</v>
      </c>
      <c r="B42" s="291" t="str">
        <f>'A) Base RI'!B38</f>
        <v>Cudrefin</v>
      </c>
      <c r="C42" s="10">
        <f>'A) Base RI'!V38</f>
        <v>1735</v>
      </c>
      <c r="D42" s="422">
        <f>'C) Prél. conj.'!H36</f>
        <v>577557.07500000007</v>
      </c>
      <c r="E42" s="10">
        <f>'D) Ecrêtage'!M36</f>
        <v>0</v>
      </c>
      <c r="F42" s="422">
        <f>$F$10*'D) Ecrêtage'!C36</f>
        <v>881397.99227709381</v>
      </c>
      <c r="G42" s="55">
        <f t="shared" si="0"/>
        <v>1458955.0672770939</v>
      </c>
    </row>
    <row r="43" spans="1:7" x14ac:dyDescent="0.25">
      <c r="A43" s="49">
        <f>'A) Base RI'!A39</f>
        <v>5458</v>
      </c>
      <c r="B43" s="291" t="str">
        <f>'A) Base RI'!B39</f>
        <v>Faoug</v>
      </c>
      <c r="C43" s="10">
        <f>'A) Base RI'!V39</f>
        <v>884</v>
      </c>
      <c r="D43" s="422">
        <f>'C) Prél. conj.'!H37</f>
        <v>224652.97500000003</v>
      </c>
      <c r="E43" s="10">
        <f>'D) Ecrêtage'!M37</f>
        <v>0</v>
      </c>
      <c r="F43" s="422">
        <f>$F$10*'D) Ecrêtage'!C37</f>
        <v>507569.31228932278</v>
      </c>
      <c r="G43" s="55">
        <f t="shared" si="0"/>
        <v>732222.28728932282</v>
      </c>
    </row>
    <row r="44" spans="1:7" x14ac:dyDescent="0.25">
      <c r="A44" s="49">
        <f>'A) Base RI'!A40</f>
        <v>5464</v>
      </c>
      <c r="B44" s="291" t="str">
        <f>'A) Base RI'!B40</f>
        <v>Vully-les-Lacs</v>
      </c>
      <c r="C44" s="10">
        <f>'A) Base RI'!V40</f>
        <v>3278</v>
      </c>
      <c r="D44" s="422">
        <f>'C) Prél. conj.'!H38</f>
        <v>380920.69999999995</v>
      </c>
      <c r="E44" s="10">
        <f>'D) Ecrêtage'!M38</f>
        <v>0</v>
      </c>
      <c r="F44" s="422">
        <f>$F$10*'D) Ecrêtage'!C38</f>
        <v>1728122.9937075016</v>
      </c>
      <c r="G44" s="55">
        <f t="shared" si="0"/>
        <v>2109043.6937075015</v>
      </c>
    </row>
    <row r="45" spans="1:7" x14ac:dyDescent="0.25">
      <c r="A45" s="49">
        <f>'A) Base RI'!A41</f>
        <v>5471</v>
      </c>
      <c r="B45" s="291" t="str">
        <f>'A) Base RI'!B41</f>
        <v>Bettens</v>
      </c>
      <c r="C45" s="10">
        <f>'A) Base RI'!V41</f>
        <v>650</v>
      </c>
      <c r="D45" s="422">
        <f>'C) Prél. conj.'!H39</f>
        <v>30590.79</v>
      </c>
      <c r="E45" s="10">
        <f>'D) Ecrêtage'!M39</f>
        <v>0</v>
      </c>
      <c r="F45" s="422">
        <f>$F$10*'D) Ecrêtage'!C39</f>
        <v>332263.27861390071</v>
      </c>
      <c r="G45" s="55">
        <f t="shared" si="0"/>
        <v>362854.06861390069</v>
      </c>
    </row>
    <row r="46" spans="1:7" x14ac:dyDescent="0.25">
      <c r="A46" s="49">
        <f>'A) Base RI'!A42</f>
        <v>5472</v>
      </c>
      <c r="B46" s="291" t="str">
        <f>'A) Base RI'!B42</f>
        <v>Bournens</v>
      </c>
      <c r="C46" s="10">
        <f>'A) Base RI'!V42</f>
        <v>422</v>
      </c>
      <c r="D46" s="422">
        <f>'C) Prél. conj.'!H40</f>
        <v>30123.65</v>
      </c>
      <c r="E46" s="10">
        <f>'D) Ecrêtage'!M40</f>
        <v>0</v>
      </c>
      <c r="F46" s="422">
        <f>$F$10*'D) Ecrêtage'!C40</f>
        <v>230299.98271484228</v>
      </c>
      <c r="G46" s="55">
        <f t="shared" si="0"/>
        <v>260423.63271484227</v>
      </c>
    </row>
    <row r="47" spans="1:7" x14ac:dyDescent="0.25">
      <c r="A47" s="49">
        <f>'A) Base RI'!A43</f>
        <v>5473</v>
      </c>
      <c r="B47" s="291" t="str">
        <f>'A) Base RI'!B43</f>
        <v>Boussens</v>
      </c>
      <c r="C47" s="10">
        <f>'A) Base RI'!V43</f>
        <v>993</v>
      </c>
      <c r="D47" s="422">
        <f>'C) Prél. conj.'!H41</f>
        <v>45387.485000000001</v>
      </c>
      <c r="E47" s="10">
        <f>'D) Ecrêtage'!M41</f>
        <v>0</v>
      </c>
      <c r="F47" s="422">
        <f>$F$10*'D) Ecrêtage'!C41</f>
        <v>525647.43932017346</v>
      </c>
      <c r="G47" s="55">
        <f t="shared" si="0"/>
        <v>571034.92432017345</v>
      </c>
    </row>
    <row r="48" spans="1:7" x14ac:dyDescent="0.25">
      <c r="A48" s="49">
        <f>'A) Base RI'!A44</f>
        <v>5474</v>
      </c>
      <c r="B48" s="291" t="str">
        <f>'A) Base RI'!B44</f>
        <v>La Chaux (Cossonay)</v>
      </c>
      <c r="C48" s="10">
        <f>'A) Base RI'!V44</f>
        <v>395</v>
      </c>
      <c r="D48" s="422">
        <f>'C) Prél. conj.'!H42</f>
        <v>51425.355000000003</v>
      </c>
      <c r="E48" s="10">
        <f>'D) Ecrêtage'!M42</f>
        <v>0</v>
      </c>
      <c r="F48" s="422">
        <f>$F$10*'D) Ecrêtage'!C42</f>
        <v>234791.10893842074</v>
      </c>
      <c r="G48" s="55">
        <f t="shared" si="0"/>
        <v>286216.46393842075</v>
      </c>
    </row>
    <row r="49" spans="1:7" x14ac:dyDescent="0.25">
      <c r="A49" s="49">
        <f>'A) Base RI'!A45</f>
        <v>5475</v>
      </c>
      <c r="B49" s="291" t="str">
        <f>'A) Base RI'!B45</f>
        <v>Chavannes-le-Veyron</v>
      </c>
      <c r="C49" s="10">
        <f>'A) Base RI'!V45</f>
        <v>152</v>
      </c>
      <c r="D49" s="422">
        <f>'C) Prél. conj.'!H43</f>
        <v>12820.45</v>
      </c>
      <c r="E49" s="10">
        <f>'D) Ecrêtage'!M43</f>
        <v>0</v>
      </c>
      <c r="F49" s="422">
        <f>$F$10*'D) Ecrêtage'!C43</f>
        <v>46661.522194499557</v>
      </c>
      <c r="G49" s="55">
        <f t="shared" si="0"/>
        <v>59481.972194499554</v>
      </c>
    </row>
    <row r="50" spans="1:7" x14ac:dyDescent="0.25">
      <c r="A50" s="49">
        <f>'A) Base RI'!A46</f>
        <v>5476</v>
      </c>
      <c r="B50" s="291" t="str">
        <f>'A) Base RI'!B46</f>
        <v>Chevilly</v>
      </c>
      <c r="C50" s="10">
        <f>'A) Base RI'!V46</f>
        <v>317</v>
      </c>
      <c r="D50" s="422">
        <f>'C) Prél. conj.'!H44</f>
        <v>0</v>
      </c>
      <c r="E50" s="10">
        <f>'D) Ecrêtage'!M44</f>
        <v>0</v>
      </c>
      <c r="F50" s="422">
        <f>$F$10*'D) Ecrêtage'!C44</f>
        <v>193757.51334715457</v>
      </c>
      <c r="G50" s="55">
        <f t="shared" si="0"/>
        <v>193757.51334715457</v>
      </c>
    </row>
    <row r="51" spans="1:7" x14ac:dyDescent="0.25">
      <c r="A51" s="49">
        <f>'A) Base RI'!A47</f>
        <v>5477</v>
      </c>
      <c r="B51" s="291" t="str">
        <f>'A) Base RI'!B47</f>
        <v>Cossonay</v>
      </c>
      <c r="C51" s="10">
        <f>'A) Base RI'!V47</f>
        <v>4045</v>
      </c>
      <c r="D51" s="422">
        <f>'C) Prél. conj.'!H45</f>
        <v>254956.19</v>
      </c>
      <c r="E51" s="10">
        <f>'D) Ecrêtage'!M45</f>
        <v>0</v>
      </c>
      <c r="F51" s="422">
        <f>$F$10*'D) Ecrêtage'!C45</f>
        <v>2212488.6968554663</v>
      </c>
      <c r="G51" s="55">
        <f t="shared" si="0"/>
        <v>2467444.8868554663</v>
      </c>
    </row>
    <row r="52" spans="1:7" x14ac:dyDescent="0.25">
      <c r="A52" s="49">
        <f>'A) Base RI'!A48</f>
        <v>5478</v>
      </c>
      <c r="B52" s="291" t="str">
        <f>'A) Base RI'!B48</f>
        <v>Cottens</v>
      </c>
      <c r="C52" s="10">
        <f>'A) Base RI'!V48</f>
        <v>487</v>
      </c>
      <c r="D52" s="422">
        <f>'C) Prél. conj.'!H46</f>
        <v>52542.05</v>
      </c>
      <c r="E52" s="10">
        <f>'D) Ecrêtage'!M46</f>
        <v>0</v>
      </c>
      <c r="F52" s="422">
        <f>$F$10*'D) Ecrêtage'!C46</f>
        <v>268638.44514346676</v>
      </c>
      <c r="G52" s="55">
        <f t="shared" si="0"/>
        <v>321180.49514346675</v>
      </c>
    </row>
    <row r="53" spans="1:7" x14ac:dyDescent="0.25">
      <c r="A53" s="49">
        <f>'A) Base RI'!A49</f>
        <v>5479</v>
      </c>
      <c r="B53" s="291" t="str">
        <f>'A) Base RI'!B49</f>
        <v>Cuarnens</v>
      </c>
      <c r="C53" s="10">
        <f>'A) Base RI'!V49</f>
        <v>486</v>
      </c>
      <c r="D53" s="422">
        <f>'C) Prél. conj.'!H47</f>
        <v>24929.300000000003</v>
      </c>
      <c r="E53" s="10">
        <f>'D) Ecrêtage'!M47</f>
        <v>0</v>
      </c>
      <c r="F53" s="422">
        <f>$F$10*'D) Ecrêtage'!C47</f>
        <v>264853.41623758496</v>
      </c>
      <c r="G53" s="55">
        <f t="shared" si="0"/>
        <v>289782.71623758494</v>
      </c>
    </row>
    <row r="54" spans="1:7" x14ac:dyDescent="0.25">
      <c r="A54" s="49">
        <f>'A) Base RI'!A50</f>
        <v>5480</v>
      </c>
      <c r="B54" s="291" t="str">
        <f>'A) Base RI'!B50</f>
        <v>Daillens</v>
      </c>
      <c r="C54" s="10">
        <f>'A) Base RI'!V50</f>
        <v>1034</v>
      </c>
      <c r="D54" s="422">
        <f>'C) Prél. conj.'!H48</f>
        <v>104782.51499999998</v>
      </c>
      <c r="E54" s="10">
        <f>'D) Ecrêtage'!M48</f>
        <v>0</v>
      </c>
      <c r="F54" s="422">
        <f>$F$10*'D) Ecrêtage'!C48</f>
        <v>616706.15473476727</v>
      </c>
      <c r="G54" s="55">
        <f t="shared" si="0"/>
        <v>721488.66973476729</v>
      </c>
    </row>
    <row r="55" spans="1:7" x14ac:dyDescent="0.25">
      <c r="A55" s="49">
        <f>'A) Base RI'!A51</f>
        <v>5481</v>
      </c>
      <c r="B55" s="291" t="str">
        <f>'A) Base RI'!B51</f>
        <v>Dizy</v>
      </c>
      <c r="C55" s="10">
        <f>'A) Base RI'!V51</f>
        <v>234</v>
      </c>
      <c r="D55" s="422">
        <f>'C) Prél. conj.'!H49</f>
        <v>67.825000000000003</v>
      </c>
      <c r="E55" s="10">
        <f>'D) Ecrêtage'!M49</f>
        <v>0</v>
      </c>
      <c r="F55" s="422">
        <f>$F$10*'D) Ecrêtage'!C49</f>
        <v>148760.98056839471</v>
      </c>
      <c r="G55" s="55">
        <f t="shared" si="0"/>
        <v>148828.80556839472</v>
      </c>
    </row>
    <row r="56" spans="1:7" x14ac:dyDescent="0.25">
      <c r="A56" s="49">
        <f>'A) Base RI'!A52</f>
        <v>5482</v>
      </c>
      <c r="B56" s="291" t="str">
        <f>'A) Base RI'!B52</f>
        <v>Eclépens</v>
      </c>
      <c r="C56" s="10">
        <f>'A) Base RI'!V52</f>
        <v>1222</v>
      </c>
      <c r="D56" s="422">
        <f>'C) Prél. conj.'!H50</f>
        <v>154973.19</v>
      </c>
      <c r="E56" s="10">
        <f>'D) Ecrêtage'!M50</f>
        <v>38407.17815853098</v>
      </c>
      <c r="F56" s="422">
        <f>$F$10*'D) Ecrêtage'!C50</f>
        <v>925917.04363692447</v>
      </c>
      <c r="G56" s="55">
        <f t="shared" si="0"/>
        <v>1119297.4117954555</v>
      </c>
    </row>
    <row r="57" spans="1:7" x14ac:dyDescent="0.25">
      <c r="A57" s="49">
        <f>'A) Base RI'!A53</f>
        <v>5483</v>
      </c>
      <c r="B57" s="291" t="str">
        <f>'A) Base RI'!B53</f>
        <v>Ferreyres</v>
      </c>
      <c r="C57" s="10">
        <f>'A) Base RI'!V53</f>
        <v>320</v>
      </c>
      <c r="D57" s="422">
        <f>'C) Prél. conj.'!H51</f>
        <v>29923.649999999998</v>
      </c>
      <c r="E57" s="10">
        <f>'D) Ecrêtage'!M51</f>
        <v>0</v>
      </c>
      <c r="F57" s="422">
        <f>$F$10*'D) Ecrêtage'!C51</f>
        <v>171049.84755558259</v>
      </c>
      <c r="G57" s="55">
        <f t="shared" si="0"/>
        <v>200973.49755558258</v>
      </c>
    </row>
    <row r="58" spans="1:7" x14ac:dyDescent="0.25">
      <c r="A58" s="49">
        <f>'A) Base RI'!A54</f>
        <v>5484</v>
      </c>
      <c r="B58" s="291" t="str">
        <f>'A) Base RI'!B54</f>
        <v>Gollion</v>
      </c>
      <c r="C58" s="10">
        <f>'A) Base RI'!V54</f>
        <v>939</v>
      </c>
      <c r="D58" s="422">
        <f>'C) Prél. conj.'!H52</f>
        <v>140458.47</v>
      </c>
      <c r="E58" s="10">
        <f>'D) Ecrêtage'!M52</f>
        <v>0</v>
      </c>
      <c r="F58" s="422">
        <f>$F$10*'D) Ecrêtage'!C52</f>
        <v>517684.22854527395</v>
      </c>
      <c r="G58" s="55">
        <f t="shared" si="0"/>
        <v>658142.69854527398</v>
      </c>
    </row>
    <row r="59" spans="1:7" x14ac:dyDescent="0.25">
      <c r="A59" s="49">
        <f>'A) Base RI'!A55</f>
        <v>5485</v>
      </c>
      <c r="B59" s="291" t="str">
        <f>'A) Base RI'!B55</f>
        <v>Grancy</v>
      </c>
      <c r="C59" s="10">
        <f>'A) Base RI'!V55</f>
        <v>397</v>
      </c>
      <c r="D59" s="422">
        <f>'C) Prél. conj.'!H53</f>
        <v>44560.959999999999</v>
      </c>
      <c r="E59" s="10">
        <f>'D) Ecrêtage'!M53</f>
        <v>0</v>
      </c>
      <c r="F59" s="422">
        <f>$F$10*'D) Ecrêtage'!C53</f>
        <v>259342.94123363201</v>
      </c>
      <c r="G59" s="55">
        <f t="shared" si="0"/>
        <v>303903.901233632</v>
      </c>
    </row>
    <row r="60" spans="1:7" x14ac:dyDescent="0.25">
      <c r="A60" s="49">
        <f>'A) Base RI'!A56</f>
        <v>5486</v>
      </c>
      <c r="B60" s="291" t="str">
        <f>'A) Base RI'!B56</f>
        <v>L'Isle</v>
      </c>
      <c r="C60" s="10">
        <f>'A) Base RI'!V56</f>
        <v>1011</v>
      </c>
      <c r="D60" s="422">
        <f>'C) Prél. conj.'!H54</f>
        <v>319730.56</v>
      </c>
      <c r="E60" s="10">
        <f>'D) Ecrêtage'!M54</f>
        <v>0</v>
      </c>
      <c r="F60" s="422">
        <f>$F$10*'D) Ecrêtage'!C54</f>
        <v>548299.112630627</v>
      </c>
      <c r="G60" s="55">
        <f t="shared" si="0"/>
        <v>868029.67263062694</v>
      </c>
    </row>
    <row r="61" spans="1:7" x14ac:dyDescent="0.25">
      <c r="A61" s="49">
        <f>'A) Base RI'!A57</f>
        <v>5487</v>
      </c>
      <c r="B61" s="291" t="str">
        <f>'A) Base RI'!B57</f>
        <v>Lussery-Villars</v>
      </c>
      <c r="C61" s="10">
        <f>'A) Base RI'!V57</f>
        <v>459</v>
      </c>
      <c r="D61" s="422">
        <f>'C) Prél. conj.'!H55</f>
        <v>35106.824999999997</v>
      </c>
      <c r="E61" s="10">
        <f>'D) Ecrêtage'!M55</f>
        <v>0</v>
      </c>
      <c r="F61" s="422">
        <f>$F$10*'D) Ecrêtage'!C55</f>
        <v>237581.72206928153</v>
      </c>
      <c r="G61" s="55">
        <f t="shared" si="0"/>
        <v>272688.54706928151</v>
      </c>
    </row>
    <row r="62" spans="1:7" x14ac:dyDescent="0.25">
      <c r="A62" s="49">
        <f>'A) Base RI'!A58</f>
        <v>5488</v>
      </c>
      <c r="B62" s="291" t="str">
        <f>'A) Base RI'!B58</f>
        <v>Mauraz</v>
      </c>
      <c r="C62" s="10">
        <f>'A) Base RI'!V58</f>
        <v>57</v>
      </c>
      <c r="D62" s="422">
        <f>'C) Prél. conj.'!H56</f>
        <v>0</v>
      </c>
      <c r="E62" s="10">
        <f>'D) Ecrêtage'!M56</f>
        <v>0</v>
      </c>
      <c r="F62" s="422">
        <f>$F$10*'D) Ecrêtage'!C56</f>
        <v>26842.036907526184</v>
      </c>
      <c r="G62" s="55">
        <f t="shared" si="0"/>
        <v>26842.036907526184</v>
      </c>
    </row>
    <row r="63" spans="1:7" x14ac:dyDescent="0.25">
      <c r="A63" s="49">
        <f>'A) Base RI'!A59</f>
        <v>5489</v>
      </c>
      <c r="B63" s="291" t="str">
        <f>'A) Base RI'!B59</f>
        <v>Mex</v>
      </c>
      <c r="C63" s="10">
        <f>'A) Base RI'!V59</f>
        <v>718</v>
      </c>
      <c r="D63" s="422">
        <f>'C) Prél. conj.'!H57</f>
        <v>79509.925000000003</v>
      </c>
      <c r="E63" s="10">
        <f>'D) Ecrêtage'!M57</f>
        <v>601838.6383888222</v>
      </c>
      <c r="F63" s="422">
        <f>$F$10*'D) Ecrêtage'!C57</f>
        <v>973242.23732651444</v>
      </c>
      <c r="G63" s="55">
        <f t="shared" si="0"/>
        <v>1654590.8007153366</v>
      </c>
    </row>
    <row r="64" spans="1:7" x14ac:dyDescent="0.25">
      <c r="A64" s="49">
        <f>'A) Base RI'!A60</f>
        <v>5490</v>
      </c>
      <c r="B64" s="291" t="str">
        <f>'A) Base RI'!B60</f>
        <v>Moiry</v>
      </c>
      <c r="C64" s="10">
        <f>'A) Base RI'!V60</f>
        <v>310</v>
      </c>
      <c r="D64" s="422">
        <f>'C) Prél. conj.'!H58</f>
        <v>9261.1749999999993</v>
      </c>
      <c r="E64" s="10">
        <f>'D) Ecrêtage'!M58</f>
        <v>0</v>
      </c>
      <c r="F64" s="422">
        <f>$F$10*'D) Ecrêtage'!C58</f>
        <v>127850.96982833442</v>
      </c>
      <c r="G64" s="55">
        <f t="shared" si="0"/>
        <v>137112.14482833442</v>
      </c>
    </row>
    <row r="65" spans="1:7" x14ac:dyDescent="0.25">
      <c r="A65" s="49">
        <f>'A) Base RI'!A61</f>
        <v>5491</v>
      </c>
      <c r="B65" s="291" t="str">
        <f>'A) Base RI'!B61</f>
        <v>Mont-la-Ville</v>
      </c>
      <c r="C65" s="10">
        <f>'A) Base RI'!V61</f>
        <v>478</v>
      </c>
      <c r="D65" s="422">
        <f>'C) Prél. conj.'!H59</f>
        <v>13324.125</v>
      </c>
      <c r="E65" s="10">
        <f>'D) Ecrêtage'!M59</f>
        <v>0</v>
      </c>
      <c r="F65" s="422">
        <f>$F$10*'D) Ecrêtage'!C59</f>
        <v>216833.71727581552</v>
      </c>
      <c r="G65" s="55">
        <f t="shared" si="0"/>
        <v>230157.84227581552</v>
      </c>
    </row>
    <row r="66" spans="1:7" x14ac:dyDescent="0.25">
      <c r="A66" s="49">
        <f>'A) Base RI'!A62</f>
        <v>5492</v>
      </c>
      <c r="B66" s="291" t="str">
        <f>'A) Base RI'!B62</f>
        <v>Montricher</v>
      </c>
      <c r="C66" s="10">
        <f>'A) Base RI'!V62</f>
        <v>964</v>
      </c>
      <c r="D66" s="422">
        <f>'C) Prél. conj.'!H60</f>
        <v>67971.8</v>
      </c>
      <c r="E66" s="10">
        <f>'D) Ecrêtage'!M60</f>
        <v>4532736.8644881966</v>
      </c>
      <c r="F66" s="422">
        <f>$F$10*'D) Ecrêtage'!C60</f>
        <v>2909126.5190003985</v>
      </c>
      <c r="G66" s="55">
        <f t="shared" si="0"/>
        <v>7509835.1834885944</v>
      </c>
    </row>
    <row r="67" spans="1:7" x14ac:dyDescent="0.25">
      <c r="A67" s="49">
        <f>'A) Base RI'!A63</f>
        <v>5493</v>
      </c>
      <c r="B67" s="291" t="str">
        <f>'A) Base RI'!B63</f>
        <v>Orny</v>
      </c>
      <c r="C67" s="10">
        <f>'A) Base RI'!V63</f>
        <v>416</v>
      </c>
      <c r="D67" s="422">
        <f>'C) Prél. conj.'!H61</f>
        <v>85390.934999999983</v>
      </c>
      <c r="E67" s="10">
        <f>'D) Ecrêtage'!M61</f>
        <v>0</v>
      </c>
      <c r="F67" s="422">
        <f>$F$10*'D) Ecrêtage'!C61</f>
        <v>163618.00618633867</v>
      </c>
      <c r="G67" s="55">
        <f t="shared" si="0"/>
        <v>249008.94118633866</v>
      </c>
    </row>
    <row r="68" spans="1:7" x14ac:dyDescent="0.25">
      <c r="A68" s="49">
        <f>'A) Base RI'!A64</f>
        <v>5494</v>
      </c>
      <c r="B68" s="291" t="str">
        <f>'A) Base RI'!B64</f>
        <v>Pampigny</v>
      </c>
      <c r="C68" s="10">
        <f>'A) Base RI'!V64</f>
        <v>1103</v>
      </c>
      <c r="D68" s="422">
        <f>'C) Prél. conj.'!H62</f>
        <v>98840.53</v>
      </c>
      <c r="E68" s="10">
        <f>'D) Ecrêtage'!M62</f>
        <v>0</v>
      </c>
      <c r="F68" s="422">
        <f>$F$10*'D) Ecrêtage'!C62</f>
        <v>566824.24374980747</v>
      </c>
      <c r="G68" s="55">
        <f t="shared" si="0"/>
        <v>665664.7737498075</v>
      </c>
    </row>
    <row r="69" spans="1:7" x14ac:dyDescent="0.25">
      <c r="A69" s="49">
        <f>'A) Base RI'!A65</f>
        <v>5495</v>
      </c>
      <c r="B69" s="291" t="str">
        <f>'A) Base RI'!B65</f>
        <v>Penthalaz</v>
      </c>
      <c r="C69" s="10">
        <f>'A) Base RI'!V65</f>
        <v>3257</v>
      </c>
      <c r="D69" s="422">
        <f>'C) Prél. conj.'!H63</f>
        <v>218193.66999999998</v>
      </c>
      <c r="E69" s="10">
        <f>'D) Ecrêtage'!M63</f>
        <v>0</v>
      </c>
      <c r="F69" s="422">
        <f>$F$10*'D) Ecrêtage'!C63</f>
        <v>1457964.3351539443</v>
      </c>
      <c r="G69" s="55">
        <f t="shared" si="0"/>
        <v>1676158.0051539443</v>
      </c>
    </row>
    <row r="70" spans="1:7" x14ac:dyDescent="0.25">
      <c r="A70" s="49">
        <f>'A) Base RI'!A66</f>
        <v>5496</v>
      </c>
      <c r="B70" s="291" t="str">
        <f>'A) Base RI'!B66</f>
        <v>Penthaz</v>
      </c>
      <c r="C70" s="10">
        <f>'A) Base RI'!V66</f>
        <v>1760</v>
      </c>
      <c r="D70" s="422">
        <f>'C) Prél. conj.'!H64</f>
        <v>217375.54</v>
      </c>
      <c r="E70" s="10">
        <f>'D) Ecrêtage'!M64</f>
        <v>0</v>
      </c>
      <c r="F70" s="422">
        <f>$F$10*'D) Ecrêtage'!C64</f>
        <v>909818.18347438553</v>
      </c>
      <c r="G70" s="55">
        <f t="shared" si="0"/>
        <v>1127193.7234743854</v>
      </c>
    </row>
    <row r="71" spans="1:7" x14ac:dyDescent="0.25">
      <c r="A71" s="49">
        <f>'A) Base RI'!A67</f>
        <v>5497</v>
      </c>
      <c r="B71" s="291" t="str">
        <f>'A) Base RI'!B67</f>
        <v>Pompaples</v>
      </c>
      <c r="C71" s="10">
        <f>'A) Base RI'!V67</f>
        <v>851</v>
      </c>
      <c r="D71" s="422">
        <f>'C) Prél. conj.'!H65</f>
        <v>120318.13500000001</v>
      </c>
      <c r="E71" s="10">
        <f>'D) Ecrêtage'!M65</f>
        <v>0</v>
      </c>
      <c r="F71" s="422">
        <f>$F$10*'D) Ecrêtage'!C65</f>
        <v>347637.72507974313</v>
      </c>
      <c r="G71" s="55">
        <f t="shared" si="0"/>
        <v>467955.86007974314</v>
      </c>
    </row>
    <row r="72" spans="1:7" x14ac:dyDescent="0.25">
      <c r="A72" s="49">
        <f>'A) Base RI'!A68</f>
        <v>5498</v>
      </c>
      <c r="B72" s="291" t="str">
        <f>'A) Base RI'!B68</f>
        <v>La Sarraz</v>
      </c>
      <c r="C72" s="10">
        <f>'A) Base RI'!V68</f>
        <v>2651</v>
      </c>
      <c r="D72" s="422">
        <f>'C) Prél. conj.'!H66</f>
        <v>282066.65000000002</v>
      </c>
      <c r="E72" s="10">
        <f>'D) Ecrêtage'!M66</f>
        <v>0</v>
      </c>
      <c r="F72" s="422">
        <f>$F$10*'D) Ecrêtage'!C66</f>
        <v>1186982.3428983521</v>
      </c>
      <c r="G72" s="55">
        <f t="shared" si="0"/>
        <v>1469048.992898352</v>
      </c>
    </row>
    <row r="73" spans="1:7" x14ac:dyDescent="0.25">
      <c r="A73" s="49">
        <f>'A) Base RI'!A69</f>
        <v>5499</v>
      </c>
      <c r="B73" s="291" t="str">
        <f>'A) Base RI'!B69</f>
        <v>Senarclens</v>
      </c>
      <c r="C73" s="10">
        <f>'A) Base RI'!V69</f>
        <v>477</v>
      </c>
      <c r="D73" s="422">
        <f>'C) Prél. conj.'!H67</f>
        <v>60126.784999999996</v>
      </c>
      <c r="E73" s="10">
        <f>'D) Ecrêtage'!M67</f>
        <v>0</v>
      </c>
      <c r="F73" s="422">
        <f>$F$10*'D) Ecrêtage'!C67</f>
        <v>299168.66744904744</v>
      </c>
      <c r="G73" s="55">
        <f t="shared" si="0"/>
        <v>359295.45244904741</v>
      </c>
    </row>
    <row r="74" spans="1:7" x14ac:dyDescent="0.25">
      <c r="A74" s="49">
        <f>'A) Base RI'!A70</f>
        <v>5500</v>
      </c>
      <c r="B74" s="291" t="str">
        <f>'A) Base RI'!B70</f>
        <v>Sévery</v>
      </c>
      <c r="C74" s="10">
        <f>'A) Base RI'!V70</f>
        <v>227</v>
      </c>
      <c r="D74" s="422">
        <f>'C) Prél. conj.'!H68</f>
        <v>15897.625</v>
      </c>
      <c r="E74" s="10">
        <f>'D) Ecrêtage'!M68</f>
        <v>0</v>
      </c>
      <c r="F74" s="422">
        <f>$F$10*'D) Ecrêtage'!C68</f>
        <v>107168.217249469</v>
      </c>
      <c r="G74" s="55">
        <f t="shared" si="0"/>
        <v>123065.842249469</v>
      </c>
    </row>
    <row r="75" spans="1:7" x14ac:dyDescent="0.25">
      <c r="A75" s="49">
        <f>'A) Base RI'!A71</f>
        <v>5501</v>
      </c>
      <c r="B75" s="291" t="str">
        <f>'A) Base RI'!B71</f>
        <v>Sullens</v>
      </c>
      <c r="C75" s="10">
        <f>'A) Base RI'!V71</f>
        <v>1035</v>
      </c>
      <c r="D75" s="422">
        <f>'C) Prél. conj.'!H69</f>
        <v>90387.17</v>
      </c>
      <c r="E75" s="10">
        <f>'D) Ecrêtage'!M69</f>
        <v>0</v>
      </c>
      <c r="F75" s="422">
        <f>$F$10*'D) Ecrêtage'!C69</f>
        <v>619759.50958410045</v>
      </c>
      <c r="G75" s="55">
        <f t="shared" ref="G75:G138" si="1">D75+F75+E75</f>
        <v>710146.67958410049</v>
      </c>
    </row>
    <row r="76" spans="1:7" x14ac:dyDescent="0.25">
      <c r="A76" s="49">
        <f>'A) Base RI'!A72</f>
        <v>5503</v>
      </c>
      <c r="B76" s="291" t="str">
        <f>'A) Base RI'!B72</f>
        <v>Vufflens-la-Ville</v>
      </c>
      <c r="C76" s="10">
        <f>'A) Base RI'!V72</f>
        <v>1295</v>
      </c>
      <c r="D76" s="422">
        <f>'C) Prél. conj.'!H70</f>
        <v>206744.03499999997</v>
      </c>
      <c r="E76" s="10">
        <f>'D) Ecrêtage'!M70</f>
        <v>524247.0017730142</v>
      </c>
      <c r="F76" s="422">
        <f>$F$10*'D) Ecrêtage'!C70</f>
        <v>1373174.3654795925</v>
      </c>
      <c r="G76" s="55">
        <f t="shared" si="1"/>
        <v>2104165.4022526066</v>
      </c>
    </row>
    <row r="77" spans="1:7" x14ac:dyDescent="0.25">
      <c r="A77" s="49">
        <f>'A) Base RI'!A73</f>
        <v>5511</v>
      </c>
      <c r="B77" s="291" t="str">
        <f>'A) Base RI'!B73</f>
        <v>Assens</v>
      </c>
      <c r="C77" s="10">
        <f>'A) Base RI'!V73</f>
        <v>1074</v>
      </c>
      <c r="D77" s="422">
        <f>'C) Prél. conj.'!H71</f>
        <v>123351.04000000001</v>
      </c>
      <c r="E77" s="10">
        <f>'D) Ecrêtage'!M71</f>
        <v>9132.5737921942127</v>
      </c>
      <c r="F77" s="422">
        <f>$F$10*'D) Ecrêtage'!C71</f>
        <v>767520.73381773743</v>
      </c>
      <c r="G77" s="55">
        <f t="shared" si="1"/>
        <v>900004.34760993172</v>
      </c>
    </row>
    <row r="78" spans="1:7" x14ac:dyDescent="0.25">
      <c r="A78" s="49">
        <f>'A) Base RI'!A74</f>
        <v>5512</v>
      </c>
      <c r="B78" s="291" t="str">
        <f>'A) Base RI'!B74</f>
        <v>Bercher</v>
      </c>
      <c r="C78" s="10">
        <f>'A) Base RI'!V74</f>
        <v>1280</v>
      </c>
      <c r="D78" s="422">
        <f>'C) Prél. conj.'!H72</f>
        <v>87855.275000000009</v>
      </c>
      <c r="E78" s="10">
        <f>'D) Ecrêtage'!M72</f>
        <v>0</v>
      </c>
      <c r="F78" s="422">
        <f>$F$10*'D) Ecrêtage'!C72</f>
        <v>613535.27244132198</v>
      </c>
      <c r="G78" s="55">
        <f t="shared" si="1"/>
        <v>701390.54744132201</v>
      </c>
    </row>
    <row r="79" spans="1:7" x14ac:dyDescent="0.25">
      <c r="A79" s="49">
        <f>'A) Base RI'!A75</f>
        <v>5513</v>
      </c>
      <c r="B79" s="291" t="str">
        <f>'A) Base RI'!B75</f>
        <v>Bioley-Orjulaz</v>
      </c>
      <c r="C79" s="10">
        <f>'A) Base RI'!V75</f>
        <v>521</v>
      </c>
      <c r="D79" s="422">
        <f>'C) Prél. conj.'!H73</f>
        <v>63468.43</v>
      </c>
      <c r="E79" s="10">
        <f>'D) Ecrêtage'!M73</f>
        <v>0</v>
      </c>
      <c r="F79" s="422">
        <f>$F$10*'D) Ecrêtage'!C73</f>
        <v>323282.28469450428</v>
      </c>
      <c r="G79" s="55">
        <f t="shared" si="1"/>
        <v>386750.71469450428</v>
      </c>
    </row>
    <row r="80" spans="1:7" x14ac:dyDescent="0.25">
      <c r="A80" s="49">
        <f>'A) Base RI'!A76</f>
        <v>5514</v>
      </c>
      <c r="B80" s="291" t="str">
        <f>'A) Base RI'!B76</f>
        <v>Bottens</v>
      </c>
      <c r="C80" s="10">
        <f>'A) Base RI'!V76</f>
        <v>1299</v>
      </c>
      <c r="D80" s="422">
        <f>'C) Prél. conj.'!H74</f>
        <v>63287.665000000001</v>
      </c>
      <c r="E80" s="10">
        <f>'D) Ecrêtage'!M74</f>
        <v>0</v>
      </c>
      <c r="F80" s="422">
        <f>$F$10*'D) Ecrêtage'!C74</f>
        <v>625714.26626061252</v>
      </c>
      <c r="G80" s="55">
        <f t="shared" si="1"/>
        <v>689001.93126061256</v>
      </c>
    </row>
    <row r="81" spans="1:7" x14ac:dyDescent="0.25">
      <c r="A81" s="49">
        <f>'A) Base RI'!A77</f>
        <v>5515</v>
      </c>
      <c r="B81" s="291" t="str">
        <f>'A) Base RI'!B77</f>
        <v>Bretigny-sur-Morrens</v>
      </c>
      <c r="C81" s="10">
        <f>'A) Base RI'!V77</f>
        <v>861</v>
      </c>
      <c r="D81" s="422">
        <f>'C) Prél. conj.'!H75</f>
        <v>96182.95</v>
      </c>
      <c r="E81" s="10">
        <f>'D) Ecrêtage'!M75</f>
        <v>0</v>
      </c>
      <c r="F81" s="422">
        <f>$F$10*'D) Ecrêtage'!C75</f>
        <v>441854.57332478318</v>
      </c>
      <c r="G81" s="55">
        <f t="shared" si="1"/>
        <v>538037.52332478319</v>
      </c>
    </row>
    <row r="82" spans="1:7" x14ac:dyDescent="0.25">
      <c r="A82" s="49">
        <f>'A) Base RI'!A78</f>
        <v>5516</v>
      </c>
      <c r="B82" s="291" t="str">
        <f>'A) Base RI'!B78</f>
        <v>Cugy</v>
      </c>
      <c r="C82" s="10">
        <f>'A) Base RI'!V78</f>
        <v>2768</v>
      </c>
      <c r="D82" s="422">
        <f>'C) Prél. conj.'!H76</f>
        <v>147649.5</v>
      </c>
      <c r="E82" s="10">
        <f>'D) Ecrêtage'!M76</f>
        <v>0</v>
      </c>
      <c r="F82" s="422">
        <f>$F$10*'D) Ecrêtage'!C76</f>
        <v>1700651.5423102221</v>
      </c>
      <c r="G82" s="55">
        <f t="shared" si="1"/>
        <v>1848301.0423102221</v>
      </c>
    </row>
    <row r="83" spans="1:7" x14ac:dyDescent="0.25">
      <c r="A83" s="49">
        <f>'A) Base RI'!A79</f>
        <v>5518</v>
      </c>
      <c r="B83" s="291" t="str">
        <f>'A) Base RI'!B79</f>
        <v>Echallens</v>
      </c>
      <c r="C83" s="10">
        <f>'A) Base RI'!V79</f>
        <v>5725</v>
      </c>
      <c r="D83" s="422">
        <f>'C) Prél. conj.'!H77</f>
        <v>764506.51</v>
      </c>
      <c r="E83" s="10">
        <f>'D) Ecrêtage'!M77</f>
        <v>0</v>
      </c>
      <c r="F83" s="422">
        <f>$F$10*'D) Ecrêtage'!C77</f>
        <v>2847955.4484235374</v>
      </c>
      <c r="G83" s="55">
        <f t="shared" si="1"/>
        <v>3612461.9584235372</v>
      </c>
    </row>
    <row r="84" spans="1:7" x14ac:dyDescent="0.25">
      <c r="A84" s="49">
        <f>'A) Base RI'!A80</f>
        <v>5520</v>
      </c>
      <c r="B84" s="291" t="str">
        <f>'A) Base RI'!B80</f>
        <v>Essertines-sur-Yverdon</v>
      </c>
      <c r="C84" s="10">
        <f>'A) Base RI'!V80</f>
        <v>1030</v>
      </c>
      <c r="D84" s="422">
        <f>'C) Prél. conj.'!H78</f>
        <v>62991.799999999996</v>
      </c>
      <c r="E84" s="10">
        <f>'D) Ecrêtage'!M78</f>
        <v>0</v>
      </c>
      <c r="F84" s="422">
        <f>$F$10*'D) Ecrêtage'!C78</f>
        <v>457422.541928967</v>
      </c>
      <c r="G84" s="55">
        <f t="shared" si="1"/>
        <v>520414.34192896698</v>
      </c>
    </row>
    <row r="85" spans="1:7" x14ac:dyDescent="0.25">
      <c r="A85" s="49">
        <f>'A) Base RI'!A81</f>
        <v>5521</v>
      </c>
      <c r="B85" s="291" t="str">
        <f>'A) Base RI'!B81</f>
        <v>Etagnières</v>
      </c>
      <c r="C85" s="10">
        <f>'A) Base RI'!V81</f>
        <v>1143</v>
      </c>
      <c r="D85" s="422">
        <f>'C) Prél. conj.'!H79</f>
        <v>131865.79</v>
      </c>
      <c r="E85" s="10">
        <f>'D) Ecrêtage'!M79</f>
        <v>0</v>
      </c>
      <c r="F85" s="422">
        <f>$F$10*'D) Ecrêtage'!C79</f>
        <v>737399.11856611713</v>
      </c>
      <c r="G85" s="55">
        <f t="shared" si="1"/>
        <v>869264.90856611717</v>
      </c>
    </row>
    <row r="86" spans="1:7" x14ac:dyDescent="0.25">
      <c r="A86" s="49">
        <f>'A) Base RI'!A82</f>
        <v>5522</v>
      </c>
      <c r="B86" s="291" t="str">
        <f>'A) Base RI'!B82</f>
        <v>Fey</v>
      </c>
      <c r="C86" s="10">
        <f>'A) Base RI'!V82</f>
        <v>751</v>
      </c>
      <c r="D86" s="422">
        <f>'C) Prél. conj.'!H80</f>
        <v>52140.214999999997</v>
      </c>
      <c r="E86" s="10">
        <f>'D) Ecrêtage'!M80</f>
        <v>0</v>
      </c>
      <c r="F86" s="422">
        <f>$F$10*'D) Ecrêtage'!C80</f>
        <v>347523.0158618578</v>
      </c>
      <c r="G86" s="55">
        <f t="shared" si="1"/>
        <v>399663.23086185777</v>
      </c>
    </row>
    <row r="87" spans="1:7" x14ac:dyDescent="0.25">
      <c r="A87" s="49">
        <f>'A) Base RI'!A83</f>
        <v>5523</v>
      </c>
      <c r="B87" s="291" t="str">
        <f>'A) Base RI'!B83</f>
        <v>Froideville</v>
      </c>
      <c r="C87" s="10">
        <f>'A) Base RI'!V83</f>
        <v>2638</v>
      </c>
      <c r="D87" s="422">
        <f>'C) Prél. conj.'!H81</f>
        <v>124868.83500000001</v>
      </c>
      <c r="E87" s="10">
        <f>'D) Ecrêtage'!M81</f>
        <v>0</v>
      </c>
      <c r="F87" s="422">
        <f>$F$10*'D) Ecrêtage'!C81</f>
        <v>1366704.0173105411</v>
      </c>
      <c r="G87" s="55">
        <f t="shared" si="1"/>
        <v>1491572.8523105411</v>
      </c>
    </row>
    <row r="88" spans="1:7" x14ac:dyDescent="0.25">
      <c r="A88" s="49">
        <f>'A) Base RI'!A84</f>
        <v>5527</v>
      </c>
      <c r="B88" s="291" t="str">
        <f>'A) Base RI'!B84</f>
        <v>Morrens</v>
      </c>
      <c r="C88" s="10">
        <f>'A) Base RI'!V84</f>
        <v>1126</v>
      </c>
      <c r="D88" s="422">
        <f>'C) Prél. conj.'!H82</f>
        <v>118710.88499999999</v>
      </c>
      <c r="E88" s="10">
        <f>'D) Ecrêtage'!M82</f>
        <v>0</v>
      </c>
      <c r="F88" s="422">
        <f>$F$10*'D) Ecrêtage'!C82</f>
        <v>615770.2994908297</v>
      </c>
      <c r="G88" s="55">
        <f t="shared" si="1"/>
        <v>734481.18449082971</v>
      </c>
    </row>
    <row r="89" spans="1:7" x14ac:dyDescent="0.25">
      <c r="A89" s="49">
        <f>'A) Base RI'!A85</f>
        <v>5529</v>
      </c>
      <c r="B89" s="291" t="str">
        <f>'A) Base RI'!B85</f>
        <v>Oulens-sous-Echallens</v>
      </c>
      <c r="C89" s="10">
        <f>'A) Base RI'!V85</f>
        <v>615</v>
      </c>
      <c r="D89" s="422">
        <f>'C) Prél. conj.'!H83</f>
        <v>39416.415000000001</v>
      </c>
      <c r="E89" s="10">
        <f>'D) Ecrêtage'!M83</f>
        <v>0</v>
      </c>
      <c r="F89" s="422">
        <f>$F$10*'D) Ecrêtage'!C83</f>
        <v>331172.9823938341</v>
      </c>
      <c r="G89" s="55">
        <f t="shared" si="1"/>
        <v>370589.39739383408</v>
      </c>
    </row>
    <row r="90" spans="1:7" x14ac:dyDescent="0.25">
      <c r="A90" s="49">
        <f>'A) Base RI'!A86</f>
        <v>5530</v>
      </c>
      <c r="B90" s="291" t="str">
        <f>'A) Base RI'!B86</f>
        <v>Pailly</v>
      </c>
      <c r="C90" s="10">
        <f>'A) Base RI'!V86</f>
        <v>563</v>
      </c>
      <c r="D90" s="422">
        <f>'C) Prél. conj.'!H84</f>
        <v>52889.1</v>
      </c>
      <c r="E90" s="10">
        <f>'D) Ecrêtage'!M84</f>
        <v>0</v>
      </c>
      <c r="F90" s="422">
        <f>$F$10*'D) Ecrêtage'!C84</f>
        <v>269955.7261976946</v>
      </c>
      <c r="G90" s="55">
        <f t="shared" si="1"/>
        <v>322844.82619769458</v>
      </c>
    </row>
    <row r="91" spans="1:7" x14ac:dyDescent="0.25">
      <c r="A91" s="49">
        <f>'A) Base RI'!A87</f>
        <v>5531</v>
      </c>
      <c r="B91" s="291" t="str">
        <f>'A) Base RI'!B87</f>
        <v>Penthéréaz</v>
      </c>
      <c r="C91" s="10">
        <f>'A) Base RI'!V87</f>
        <v>421</v>
      </c>
      <c r="D91" s="422">
        <f>'C) Prél. conj.'!H85</f>
        <v>7123.3600000000006</v>
      </c>
      <c r="E91" s="10">
        <f>'D) Ecrêtage'!M85</f>
        <v>0</v>
      </c>
      <c r="F91" s="422">
        <f>$F$10*'D) Ecrêtage'!C85</f>
        <v>224571.95975445749</v>
      </c>
      <c r="G91" s="55">
        <f t="shared" si="1"/>
        <v>231695.31975445751</v>
      </c>
    </row>
    <row r="92" spans="1:7" x14ac:dyDescent="0.25">
      <c r="A92" s="49">
        <f>'A) Base RI'!A88</f>
        <v>5533</v>
      </c>
      <c r="B92" s="291" t="str">
        <f>'A) Base RI'!B88</f>
        <v>Poliez-Pittet</v>
      </c>
      <c r="C92" s="10">
        <f>'A) Base RI'!V88</f>
        <v>829</v>
      </c>
      <c r="D92" s="422">
        <f>'C) Prél. conj.'!H86</f>
        <v>71402.934999999998</v>
      </c>
      <c r="E92" s="10">
        <f>'D) Ecrêtage'!M86</f>
        <v>0</v>
      </c>
      <c r="F92" s="422">
        <f>$F$10*'D) Ecrêtage'!C86</f>
        <v>345293.54129704664</v>
      </c>
      <c r="G92" s="55">
        <f t="shared" si="1"/>
        <v>416696.47629704664</v>
      </c>
    </row>
    <row r="93" spans="1:7" x14ac:dyDescent="0.25">
      <c r="A93" s="49">
        <f>'A) Base RI'!A89</f>
        <v>5534</v>
      </c>
      <c r="B93" s="291" t="str">
        <f>'A) Base RI'!B89</f>
        <v>Rueyres</v>
      </c>
      <c r="C93" s="10">
        <f>'A) Base RI'!V89</f>
        <v>265</v>
      </c>
      <c r="D93" s="422">
        <f>'C) Prél. conj.'!H87</f>
        <v>25147.55</v>
      </c>
      <c r="E93" s="10">
        <f>'D) Ecrêtage'!M87</f>
        <v>0</v>
      </c>
      <c r="F93" s="422">
        <f>$F$10*'D) Ecrêtage'!C87</f>
        <v>158793.93778114795</v>
      </c>
      <c r="G93" s="55">
        <f t="shared" si="1"/>
        <v>183941.48778114794</v>
      </c>
    </row>
    <row r="94" spans="1:7" x14ac:dyDescent="0.25">
      <c r="A94" s="49">
        <f>'A) Base RI'!A90</f>
        <v>5535</v>
      </c>
      <c r="B94" s="291" t="str">
        <f>'A) Base RI'!B90</f>
        <v>Saint-Barthélemy</v>
      </c>
      <c r="C94" s="10">
        <f>'A) Base RI'!V90</f>
        <v>791</v>
      </c>
      <c r="D94" s="422">
        <f>'C) Prél. conj.'!H88</f>
        <v>48375.07</v>
      </c>
      <c r="E94" s="10">
        <f>'D) Ecrêtage'!M88</f>
        <v>0</v>
      </c>
      <c r="F94" s="422">
        <f>$F$10*'D) Ecrêtage'!C88</f>
        <v>344146.74592681444</v>
      </c>
      <c r="G94" s="55">
        <f t="shared" si="1"/>
        <v>392521.81592681445</v>
      </c>
    </row>
    <row r="95" spans="1:7" x14ac:dyDescent="0.25">
      <c r="A95" s="49">
        <f>'A) Base RI'!A91</f>
        <v>5537</v>
      </c>
      <c r="B95" s="291" t="str">
        <f>'A) Base RI'!B91</f>
        <v>Villars-le-Terroir</v>
      </c>
      <c r="C95" s="10">
        <f>'A) Base RI'!V91</f>
        <v>1228</v>
      </c>
      <c r="D95" s="422">
        <f>'C) Prél. conj.'!H89</f>
        <v>47089.225000000006</v>
      </c>
      <c r="E95" s="10">
        <f>'D) Ecrêtage'!M89</f>
        <v>0</v>
      </c>
      <c r="F95" s="422">
        <f>$F$10*'D) Ecrêtage'!C89</f>
        <v>556269.2979353593</v>
      </c>
      <c r="G95" s="55">
        <f t="shared" si="1"/>
        <v>603358.52293535927</v>
      </c>
    </row>
    <row r="96" spans="1:7" x14ac:dyDescent="0.25">
      <c r="A96" s="49">
        <f>'A) Base RI'!A92</f>
        <v>5539</v>
      </c>
      <c r="B96" s="291" t="str">
        <f>'A) Base RI'!B92</f>
        <v>Vuarrens</v>
      </c>
      <c r="C96" s="10">
        <f>'A) Base RI'!V92</f>
        <v>1054</v>
      </c>
      <c r="D96" s="422">
        <f>'C) Prél. conj.'!H90</f>
        <v>103342.37</v>
      </c>
      <c r="E96" s="10">
        <f>'D) Ecrêtage'!M90</f>
        <v>0</v>
      </c>
      <c r="F96" s="422">
        <f>$F$10*'D) Ecrêtage'!C90</f>
        <v>460015.47614285309</v>
      </c>
      <c r="G96" s="55">
        <f t="shared" si="1"/>
        <v>563357.84614285314</v>
      </c>
    </row>
    <row r="97" spans="1:7" x14ac:dyDescent="0.25">
      <c r="A97" s="49">
        <f>'A) Base RI'!A93</f>
        <v>5540</v>
      </c>
      <c r="B97" s="291" t="str">
        <f>'A) Base RI'!B93</f>
        <v>Montilliez</v>
      </c>
      <c r="C97" s="10">
        <f>'A) Base RI'!V93</f>
        <v>1819</v>
      </c>
      <c r="D97" s="422">
        <f>'C) Prél. conj.'!H91</f>
        <v>78916.19</v>
      </c>
      <c r="E97" s="10">
        <f>'D) Ecrêtage'!M91</f>
        <v>0</v>
      </c>
      <c r="F97" s="422">
        <f>$F$10*'D) Ecrêtage'!C91</f>
        <v>991085.71366900881</v>
      </c>
      <c r="G97" s="55">
        <f t="shared" si="1"/>
        <v>1070001.9036690088</v>
      </c>
    </row>
    <row r="98" spans="1:7" x14ac:dyDescent="0.25">
      <c r="A98" s="49">
        <f>'A) Base RI'!A94</f>
        <v>5541</v>
      </c>
      <c r="B98" s="291" t="str">
        <f>'A) Base RI'!B94</f>
        <v>Goumoëns</v>
      </c>
      <c r="C98" s="10">
        <f>'A) Base RI'!V94</f>
        <v>1140</v>
      </c>
      <c r="D98" s="422">
        <f>'C) Prél. conj.'!H92</f>
        <v>108573.57</v>
      </c>
      <c r="E98" s="10">
        <f>'D) Ecrêtage'!M92</f>
        <v>0</v>
      </c>
      <c r="F98" s="422">
        <f>$F$10*'D) Ecrêtage'!C92</f>
        <v>571740.96119509311</v>
      </c>
      <c r="G98" s="55">
        <f t="shared" si="1"/>
        <v>680314.53119509318</v>
      </c>
    </row>
    <row r="99" spans="1:7" x14ac:dyDescent="0.25">
      <c r="A99" s="49">
        <f>'A) Base RI'!A95</f>
        <v>5551</v>
      </c>
      <c r="B99" s="291" t="str">
        <f>'A) Base RI'!B95</f>
        <v>Bonvillars</v>
      </c>
      <c r="C99" s="10">
        <f>'A) Base RI'!V95</f>
        <v>490</v>
      </c>
      <c r="D99" s="422">
        <f>'C) Prél. conj.'!H93</f>
        <v>12254.75</v>
      </c>
      <c r="E99" s="10">
        <f>'D) Ecrêtage'!M93</f>
        <v>0</v>
      </c>
      <c r="F99" s="422">
        <f>$F$10*'D) Ecrêtage'!C93</f>
        <v>280096.28545096633</v>
      </c>
      <c r="G99" s="55">
        <f t="shared" si="1"/>
        <v>292351.03545096633</v>
      </c>
    </row>
    <row r="100" spans="1:7" x14ac:dyDescent="0.25">
      <c r="A100" s="49">
        <f>'A) Base RI'!A96</f>
        <v>5552</v>
      </c>
      <c r="B100" s="291" t="str">
        <f>'A) Base RI'!B96</f>
        <v>Bullet</v>
      </c>
      <c r="C100" s="10">
        <f>'A) Base RI'!V96</f>
        <v>657</v>
      </c>
      <c r="D100" s="422">
        <f>'C) Prél. conj.'!H94</f>
        <v>66570.875</v>
      </c>
      <c r="E100" s="10">
        <f>'D) Ecrêtage'!M94</f>
        <v>0</v>
      </c>
      <c r="F100" s="422">
        <f>$F$10*'D) Ecrêtage'!C94</f>
        <v>281670.34203164652</v>
      </c>
      <c r="G100" s="55">
        <f t="shared" si="1"/>
        <v>348241.21703164652</v>
      </c>
    </row>
    <row r="101" spans="1:7" x14ac:dyDescent="0.25">
      <c r="A101" s="49">
        <f>'A) Base RI'!A97</f>
        <v>5553</v>
      </c>
      <c r="B101" s="291" t="str">
        <f>'A) Base RI'!B97</f>
        <v>Champagne</v>
      </c>
      <c r="C101" s="10">
        <f>'A) Base RI'!V97</f>
        <v>1059</v>
      </c>
      <c r="D101" s="422">
        <f>'C) Prél. conj.'!H95</f>
        <v>109462.675</v>
      </c>
      <c r="E101" s="10">
        <f>'D) Ecrêtage'!M95</f>
        <v>0</v>
      </c>
      <c r="F101" s="422">
        <f>$F$10*'D) Ecrêtage'!C95</f>
        <v>578479.84019072063</v>
      </c>
      <c r="G101" s="55">
        <f t="shared" si="1"/>
        <v>687942.51519072067</v>
      </c>
    </row>
    <row r="102" spans="1:7" x14ac:dyDescent="0.25">
      <c r="A102" s="49">
        <f>'A) Base RI'!A98</f>
        <v>5554</v>
      </c>
      <c r="B102" s="291" t="str">
        <f>'A) Base RI'!B98</f>
        <v>Concise</v>
      </c>
      <c r="C102" s="10">
        <f>'A) Base RI'!V98</f>
        <v>1025</v>
      </c>
      <c r="D102" s="422">
        <f>'C) Prél. conj.'!H96</f>
        <v>185270.31499999997</v>
      </c>
      <c r="E102" s="10">
        <f>'D) Ecrêtage'!M96</f>
        <v>0</v>
      </c>
      <c r="F102" s="422">
        <f>$F$10*'D) Ecrêtage'!C96</f>
        <v>510181.05443692434</v>
      </c>
      <c r="G102" s="55">
        <f t="shared" si="1"/>
        <v>695451.36943692435</v>
      </c>
    </row>
    <row r="103" spans="1:7" x14ac:dyDescent="0.25">
      <c r="A103" s="49">
        <f>'A) Base RI'!A99</f>
        <v>5555</v>
      </c>
      <c r="B103" s="291" t="str">
        <f>'A) Base RI'!B99</f>
        <v>Corcelles-près-Concise</v>
      </c>
      <c r="C103" s="10">
        <f>'A) Base RI'!V99</f>
        <v>401</v>
      </c>
      <c r="D103" s="422">
        <f>'C) Prél. conj.'!H97</f>
        <v>46103.684999999998</v>
      </c>
      <c r="E103" s="10">
        <f>'D) Ecrêtage'!M97</f>
        <v>0</v>
      </c>
      <c r="F103" s="422">
        <f>$F$10*'D) Ecrêtage'!C97</f>
        <v>207498.67117999925</v>
      </c>
      <c r="G103" s="55">
        <f t="shared" si="1"/>
        <v>253602.35617999925</v>
      </c>
    </row>
    <row r="104" spans="1:7" x14ac:dyDescent="0.25">
      <c r="A104" s="49">
        <f>'A) Base RI'!A100</f>
        <v>5556</v>
      </c>
      <c r="B104" s="291" t="str">
        <f>'A) Base RI'!B100</f>
        <v>Fiez</v>
      </c>
      <c r="C104" s="10">
        <f>'A) Base RI'!V100</f>
        <v>445</v>
      </c>
      <c r="D104" s="422">
        <f>'C) Prél. conj.'!H98</f>
        <v>14574.55</v>
      </c>
      <c r="E104" s="10">
        <f>'D) Ecrêtage'!M98</f>
        <v>0</v>
      </c>
      <c r="F104" s="422">
        <f>$F$10*'D) Ecrêtage'!C98</f>
        <v>200329.98217573346</v>
      </c>
      <c r="G104" s="55">
        <f t="shared" si="1"/>
        <v>214904.53217573345</v>
      </c>
    </row>
    <row r="105" spans="1:7" x14ac:dyDescent="0.25">
      <c r="A105" s="49">
        <f>'A) Base RI'!A101</f>
        <v>5557</v>
      </c>
      <c r="B105" s="291" t="str">
        <f>'A) Base RI'!B101</f>
        <v>Fontaines-sur-Grandson</v>
      </c>
      <c r="C105" s="10">
        <f>'A) Base RI'!V101</f>
        <v>215</v>
      </c>
      <c r="D105" s="422">
        <f>'C) Prél. conj.'!H99</f>
        <v>2183.8000000000002</v>
      </c>
      <c r="E105" s="10">
        <f>'D) Ecrêtage'!M99</f>
        <v>0</v>
      </c>
      <c r="F105" s="422">
        <f>$F$10*'D) Ecrêtage'!C99</f>
        <v>100096.90490223638</v>
      </c>
      <c r="G105" s="55">
        <f t="shared" si="1"/>
        <v>102280.70490223638</v>
      </c>
    </row>
    <row r="106" spans="1:7" x14ac:dyDescent="0.25">
      <c r="A106" s="49">
        <f>'A) Base RI'!A102</f>
        <v>5559</v>
      </c>
      <c r="B106" s="291" t="str">
        <f>'A) Base RI'!B102</f>
        <v>Giez</v>
      </c>
      <c r="C106" s="10">
        <f>'A) Base RI'!V102</f>
        <v>414</v>
      </c>
      <c r="D106" s="422">
        <f>'C) Prél. conj.'!H100</f>
        <v>41059.24</v>
      </c>
      <c r="E106" s="10">
        <f>'D) Ecrêtage'!M100</f>
        <v>24884.182825191092</v>
      </c>
      <c r="F106" s="422">
        <f>$F$10*'D) Ecrêtage'!C100</f>
        <v>320909.53656202031</v>
      </c>
      <c r="G106" s="55">
        <f t="shared" si="1"/>
        <v>386852.95938721136</v>
      </c>
    </row>
    <row r="107" spans="1:7" x14ac:dyDescent="0.25">
      <c r="A107" s="49">
        <f>'A) Base RI'!A103</f>
        <v>5560</v>
      </c>
      <c r="B107" s="291" t="str">
        <f>'A) Base RI'!B103</f>
        <v>Grandevent</v>
      </c>
      <c r="C107" s="10">
        <f>'A) Base RI'!V103</f>
        <v>222</v>
      </c>
      <c r="D107" s="422">
        <f>'C) Prél. conj.'!H101</f>
        <v>14172.225</v>
      </c>
      <c r="E107" s="10">
        <f>'D) Ecrêtage'!M101</f>
        <v>0</v>
      </c>
      <c r="F107" s="422">
        <f>$F$10*'D) Ecrêtage'!C101</f>
        <v>113721.83189598151</v>
      </c>
      <c r="G107" s="55">
        <f t="shared" si="1"/>
        <v>127894.05689598151</v>
      </c>
    </row>
    <row r="108" spans="1:7" x14ac:dyDescent="0.25">
      <c r="A108" s="49">
        <f>'A) Base RI'!A104</f>
        <v>5561</v>
      </c>
      <c r="B108" s="291" t="str">
        <f>'A) Base RI'!B104</f>
        <v>Grandson</v>
      </c>
      <c r="C108" s="10">
        <f>'A) Base RI'!V104</f>
        <v>3340</v>
      </c>
      <c r="D108" s="422">
        <f>'C) Prél. conj.'!H102</f>
        <v>1318244.6099999999</v>
      </c>
      <c r="E108" s="10">
        <f>'D) Ecrêtage'!M102</f>
        <v>0</v>
      </c>
      <c r="F108" s="422">
        <f>$F$10*'D) Ecrêtage'!C102</f>
        <v>1736811.84753028</v>
      </c>
      <c r="G108" s="55">
        <f t="shared" si="1"/>
        <v>3055056.4575302796</v>
      </c>
    </row>
    <row r="109" spans="1:7" x14ac:dyDescent="0.25">
      <c r="A109" s="49">
        <f>'A) Base RI'!A105</f>
        <v>5562</v>
      </c>
      <c r="B109" s="291" t="str">
        <f>'A) Base RI'!B105</f>
        <v>Mauborget</v>
      </c>
      <c r="C109" s="10">
        <f>'A) Base RI'!V105</f>
        <v>120</v>
      </c>
      <c r="D109" s="422">
        <f>'C) Prél. conj.'!H103</f>
        <v>41607.224999999999</v>
      </c>
      <c r="E109" s="10">
        <f>'D) Ecrêtage'!M103</f>
        <v>0</v>
      </c>
      <c r="F109" s="422">
        <f>$F$10*'D) Ecrêtage'!C103</f>
        <v>84053.009145614182</v>
      </c>
      <c r="G109" s="55">
        <f t="shared" si="1"/>
        <v>125660.23414561417</v>
      </c>
    </row>
    <row r="110" spans="1:7" x14ac:dyDescent="0.25">
      <c r="A110" s="49">
        <f>'A) Base RI'!A106</f>
        <v>5563</v>
      </c>
      <c r="B110" s="291" t="str">
        <f>'A) Base RI'!B106</f>
        <v>Mutrux</v>
      </c>
      <c r="C110" s="10">
        <f>'A) Base RI'!V106</f>
        <v>153</v>
      </c>
      <c r="D110" s="422">
        <f>'C) Prél. conj.'!H104</f>
        <v>2372.9749999999999</v>
      </c>
      <c r="E110" s="10">
        <f>'D) Ecrêtage'!M104</f>
        <v>0</v>
      </c>
      <c r="F110" s="422">
        <f>$F$10*'D) Ecrêtage'!C104</f>
        <v>61701.907262322769</v>
      </c>
      <c r="G110" s="55">
        <f t="shared" si="1"/>
        <v>64074.882262322768</v>
      </c>
    </row>
    <row r="111" spans="1:7" x14ac:dyDescent="0.25">
      <c r="A111" s="49">
        <f>'A) Base RI'!A107</f>
        <v>5564</v>
      </c>
      <c r="B111" s="291" t="str">
        <f>'A) Base RI'!B107</f>
        <v>Novalles</v>
      </c>
      <c r="C111" s="10">
        <f>'A) Base RI'!V107</f>
        <v>100</v>
      </c>
      <c r="D111" s="422">
        <f>'C) Prél. conj.'!H105</f>
        <v>9.9</v>
      </c>
      <c r="E111" s="10">
        <f>'D) Ecrêtage'!M105</f>
        <v>0</v>
      </c>
      <c r="F111" s="422">
        <f>$F$10*'D) Ecrêtage'!C105</f>
        <v>34696.931090843471</v>
      </c>
      <c r="G111" s="55">
        <f t="shared" si="1"/>
        <v>34706.831090843472</v>
      </c>
    </row>
    <row r="112" spans="1:7" x14ac:dyDescent="0.25">
      <c r="A112" s="49">
        <f>'A) Base RI'!A108</f>
        <v>5565</v>
      </c>
      <c r="B112" s="291" t="str">
        <f>'A) Base RI'!B108</f>
        <v>Onnens</v>
      </c>
      <c r="C112" s="10">
        <f>'A) Base RI'!V108</f>
        <v>497</v>
      </c>
      <c r="D112" s="422">
        <f>'C) Prél. conj.'!H106</f>
        <v>89918.510000000009</v>
      </c>
      <c r="E112" s="10">
        <f>'D) Ecrêtage'!M106</f>
        <v>0</v>
      </c>
      <c r="F112" s="422">
        <f>$F$10*'D) Ecrêtage'!C106</f>
        <v>286151.10296092863</v>
      </c>
      <c r="G112" s="55">
        <f t="shared" si="1"/>
        <v>376069.61296092864</v>
      </c>
    </row>
    <row r="113" spans="1:7" x14ac:dyDescent="0.25">
      <c r="A113" s="49">
        <f>'A) Base RI'!A109</f>
        <v>5566</v>
      </c>
      <c r="B113" s="291" t="str">
        <f>'A) Base RI'!B109</f>
        <v>Provence</v>
      </c>
      <c r="C113" s="10">
        <f>'A) Base RI'!V109</f>
        <v>379</v>
      </c>
      <c r="D113" s="422">
        <f>'C) Prél. conj.'!H107</f>
        <v>43798.744999999995</v>
      </c>
      <c r="E113" s="10">
        <f>'D) Ecrêtage'!M107</f>
        <v>0</v>
      </c>
      <c r="F113" s="422">
        <f>$F$10*'D) Ecrêtage'!C107</f>
        <v>130445.41987126286</v>
      </c>
      <c r="G113" s="55">
        <f t="shared" si="1"/>
        <v>174244.16487126285</v>
      </c>
    </row>
    <row r="114" spans="1:7" x14ac:dyDescent="0.25">
      <c r="A114" s="49">
        <f>'A) Base RI'!A110</f>
        <v>5568</v>
      </c>
      <c r="B114" s="291" t="str">
        <f>'A) Base RI'!B110</f>
        <v>Sainte-Croix</v>
      </c>
      <c r="C114" s="10">
        <f>'A) Base RI'!V110</f>
        <v>4888</v>
      </c>
      <c r="D114" s="422">
        <f>'C) Prél. conj.'!H108</f>
        <v>1059804.105</v>
      </c>
      <c r="E114" s="10">
        <f>'D) Ecrêtage'!M108</f>
        <v>0</v>
      </c>
      <c r="F114" s="422">
        <f>$F$10*'D) Ecrêtage'!C108</f>
        <v>1678076.2465944581</v>
      </c>
      <c r="G114" s="55">
        <f t="shared" si="1"/>
        <v>2737880.3515944583</v>
      </c>
    </row>
    <row r="115" spans="1:7" x14ac:dyDescent="0.25">
      <c r="A115" s="49">
        <f>'A) Base RI'!A111</f>
        <v>5571</v>
      </c>
      <c r="B115" s="291" t="str">
        <f>'A) Base RI'!B111</f>
        <v>Tévenon</v>
      </c>
      <c r="C115" s="10">
        <f>'A) Base RI'!V111</f>
        <v>896</v>
      </c>
      <c r="D115" s="422">
        <f>'C) Prél. conj.'!H109</f>
        <v>69635.615000000005</v>
      </c>
      <c r="E115" s="10">
        <f>'D) Ecrêtage'!M109</f>
        <v>0</v>
      </c>
      <c r="F115" s="422">
        <f>$F$10*'D) Ecrêtage'!C109</f>
        <v>380483.12995583098</v>
      </c>
      <c r="G115" s="55">
        <f t="shared" si="1"/>
        <v>450118.74495583097</v>
      </c>
    </row>
    <row r="116" spans="1:7" x14ac:dyDescent="0.25">
      <c r="A116" s="49">
        <f>'A) Base RI'!A112</f>
        <v>5581</v>
      </c>
      <c r="B116" s="291" t="str">
        <f>'A) Base RI'!B112</f>
        <v>Belmont-sur-Lausanne</v>
      </c>
      <c r="C116" s="10">
        <f>'A) Base RI'!V112</f>
        <v>3773</v>
      </c>
      <c r="D116" s="422">
        <f>'C) Prél. conj.'!H110</f>
        <v>370172.22500000003</v>
      </c>
      <c r="E116" s="10">
        <f>'D) Ecrêtage'!M110</f>
        <v>199153.25716093229</v>
      </c>
      <c r="F116" s="422">
        <f>$F$10*'D) Ecrêtage'!C110</f>
        <v>2873245.8107758272</v>
      </c>
      <c r="G116" s="55">
        <f t="shared" si="1"/>
        <v>3442571.2929367595</v>
      </c>
    </row>
    <row r="117" spans="1:7" x14ac:dyDescent="0.25">
      <c r="A117" s="49">
        <f>'A) Base RI'!A113</f>
        <v>5582</v>
      </c>
      <c r="B117" s="291" t="str">
        <f>'A) Base RI'!B113</f>
        <v>Cheseaux-sur-Lausanne</v>
      </c>
      <c r="C117" s="10">
        <f>'A) Base RI'!V113</f>
        <v>4339</v>
      </c>
      <c r="D117" s="422">
        <f>'C) Prél. conj.'!H111</f>
        <v>606649.02500000002</v>
      </c>
      <c r="E117" s="10">
        <f>'D) Ecrêtage'!M111</f>
        <v>0</v>
      </c>
      <c r="F117" s="422">
        <f>$F$10*'D) Ecrêtage'!C111</f>
        <v>2539078.1017413517</v>
      </c>
      <c r="G117" s="55">
        <f t="shared" si="1"/>
        <v>3145727.1267413516</v>
      </c>
    </row>
    <row r="118" spans="1:7" x14ac:dyDescent="0.25">
      <c r="A118" s="49">
        <f>'A) Base RI'!A114</f>
        <v>5583</v>
      </c>
      <c r="B118" s="291" t="str">
        <f>'A) Base RI'!B114</f>
        <v>Crissier</v>
      </c>
      <c r="C118" s="10">
        <f>'A) Base RI'!V114</f>
        <v>7944</v>
      </c>
      <c r="D118" s="422">
        <f>'C) Prél. conj.'!H112</f>
        <v>1440795.22</v>
      </c>
      <c r="E118" s="10">
        <f>'D) Ecrêtage'!M112</f>
        <v>0</v>
      </c>
      <c r="F118" s="422">
        <f>$F$10*'D) Ecrêtage'!C112</f>
        <v>4713135.6245186357</v>
      </c>
      <c r="G118" s="55">
        <f t="shared" si="1"/>
        <v>6153930.8445186354</v>
      </c>
    </row>
    <row r="119" spans="1:7" x14ac:dyDescent="0.25">
      <c r="A119" s="49">
        <f>'A) Base RI'!A115</f>
        <v>5584</v>
      </c>
      <c r="B119" s="291" t="str">
        <f>'A) Base RI'!B115</f>
        <v>Epalinges</v>
      </c>
      <c r="C119" s="10">
        <f>'A) Base RI'!V115</f>
        <v>9701</v>
      </c>
      <c r="D119" s="422">
        <f>'C) Prél. conj.'!H113</f>
        <v>1218354.885</v>
      </c>
      <c r="E119" s="10">
        <f>'D) Ecrêtage'!M113</f>
        <v>369048.97063993249</v>
      </c>
      <c r="F119" s="422">
        <f>$F$10*'D) Ecrêtage'!C113</f>
        <v>7271036.6346787969</v>
      </c>
      <c r="G119" s="55">
        <f t="shared" si="1"/>
        <v>8858440.4903187305</v>
      </c>
    </row>
    <row r="120" spans="1:7" x14ac:dyDescent="0.25">
      <c r="A120" s="49">
        <f>'A) Base RI'!A116</f>
        <v>5585</v>
      </c>
      <c r="B120" s="291" t="str">
        <f>'A) Base RI'!B116</f>
        <v>Jouxtens-Mézery</v>
      </c>
      <c r="C120" s="10">
        <f>'A) Base RI'!V116</f>
        <v>1423</v>
      </c>
      <c r="D120" s="422">
        <f>'C) Prél. conj.'!H114</f>
        <v>219651.28</v>
      </c>
      <c r="E120" s="10">
        <f>'D) Ecrêtage'!M114</f>
        <v>4384012.131439209</v>
      </c>
      <c r="F120" s="422">
        <f>$F$10*'D) Ecrêtage'!C114</f>
        <v>3521476.3857371719</v>
      </c>
      <c r="G120" s="55">
        <f t="shared" si="1"/>
        <v>8125139.7971763806</v>
      </c>
    </row>
    <row r="121" spans="1:7" x14ac:dyDescent="0.25">
      <c r="A121" s="49">
        <f>'A) Base RI'!A117</f>
        <v>5586</v>
      </c>
      <c r="B121" s="291" t="str">
        <f>'A) Base RI'!B117</f>
        <v>Lausanne</v>
      </c>
      <c r="C121" s="10">
        <f>'A) Base RI'!V117</f>
        <v>139726</v>
      </c>
      <c r="D121" s="422">
        <f>'C) Prél. conj.'!H115</f>
        <v>20210803.754999999</v>
      </c>
      <c r="E121" s="10">
        <f>'D) Ecrêtage'!M115</f>
        <v>0</v>
      </c>
      <c r="F121" s="422">
        <f>$F$10*'D) Ecrêtage'!C115</f>
        <v>90788678.410804138</v>
      </c>
      <c r="G121" s="55">
        <f t="shared" si="1"/>
        <v>110999482.16580413</v>
      </c>
    </row>
    <row r="122" spans="1:7" x14ac:dyDescent="0.25">
      <c r="A122" s="49">
        <f>'A) Base RI'!A118</f>
        <v>5587</v>
      </c>
      <c r="B122" s="291" t="str">
        <f>'A) Base RI'!B118</f>
        <v>Le Mont-sur-Lausanne</v>
      </c>
      <c r="C122" s="10">
        <f>'A) Base RI'!V118</f>
        <v>8991</v>
      </c>
      <c r="D122" s="422">
        <f>'C) Prél. conj.'!H116</f>
        <v>923755.06</v>
      </c>
      <c r="E122" s="10">
        <f>'D) Ecrêtage'!M116</f>
        <v>326015.02558170049</v>
      </c>
      <c r="F122" s="422">
        <f>$F$10*'D) Ecrêtage'!C116</f>
        <v>6674825.1035494367</v>
      </c>
      <c r="G122" s="55">
        <f t="shared" si="1"/>
        <v>7924595.189131137</v>
      </c>
    </row>
    <row r="123" spans="1:7" x14ac:dyDescent="0.25">
      <c r="A123" s="49">
        <f>'A) Base RI'!A119</f>
        <v>5588</v>
      </c>
      <c r="B123" s="291" t="str">
        <f>'A) Base RI'!B119</f>
        <v>Paudex</v>
      </c>
      <c r="C123" s="10">
        <f>'A) Base RI'!V119</f>
        <v>1532</v>
      </c>
      <c r="D123" s="422">
        <f>'C) Prél. conj.'!H117</f>
        <v>84542.714999999997</v>
      </c>
      <c r="E123" s="10">
        <f>'D) Ecrêtage'!M117</f>
        <v>1370473.0550902353</v>
      </c>
      <c r="F123" s="422">
        <f>$F$10*'D) Ecrêtage'!C117</f>
        <v>2042206.0635280567</v>
      </c>
      <c r="G123" s="55">
        <f t="shared" si="1"/>
        <v>3497221.8336182917</v>
      </c>
    </row>
    <row r="124" spans="1:7" x14ac:dyDescent="0.25">
      <c r="A124" s="49">
        <f>'A) Base RI'!A120</f>
        <v>5589</v>
      </c>
      <c r="B124" s="291" t="str">
        <f>'A) Base RI'!B120</f>
        <v>Prilly</v>
      </c>
      <c r="C124" s="10">
        <f>'A) Base RI'!V120</f>
        <v>12423</v>
      </c>
      <c r="D124" s="422">
        <f>'C) Prél. conj.'!H118</f>
        <v>1091007.075</v>
      </c>
      <c r="E124" s="10">
        <f>'D) Ecrêtage'!M118</f>
        <v>0</v>
      </c>
      <c r="F124" s="422">
        <f>$F$10*'D) Ecrêtage'!C118</f>
        <v>6232924.416012588</v>
      </c>
      <c r="G124" s="55">
        <f t="shared" si="1"/>
        <v>7323931.4910125881</v>
      </c>
    </row>
    <row r="125" spans="1:7" x14ac:dyDescent="0.25">
      <c r="A125" s="49">
        <f>'A) Base RI'!A121</f>
        <v>5590</v>
      </c>
      <c r="B125" s="291" t="str">
        <f>'A) Base RI'!B121</f>
        <v>Pully</v>
      </c>
      <c r="C125" s="10">
        <f>'A) Base RI'!V121</f>
        <v>18495</v>
      </c>
      <c r="D125" s="422">
        <f>'C) Prél. conj.'!H119</f>
        <v>5003895.95</v>
      </c>
      <c r="E125" s="10">
        <f>'D) Ecrêtage'!M119</f>
        <v>12821460.049326114</v>
      </c>
      <c r="F125" s="422">
        <f>$F$10*'D) Ecrêtage'!C119</f>
        <v>23384849.703155179</v>
      </c>
      <c r="G125" s="55">
        <f t="shared" si="1"/>
        <v>41210205.702481292</v>
      </c>
    </row>
    <row r="126" spans="1:7" x14ac:dyDescent="0.25">
      <c r="A126" s="49">
        <f>'A) Base RI'!A122</f>
        <v>5591</v>
      </c>
      <c r="B126" s="291" t="str">
        <f>'A) Base RI'!B122</f>
        <v>Renens</v>
      </c>
      <c r="C126" s="10">
        <f>'A) Base RI'!V122</f>
        <v>20928</v>
      </c>
      <c r="D126" s="422">
        <f>'C) Prél. conj.'!H120</f>
        <v>1971917.925</v>
      </c>
      <c r="E126" s="10">
        <f>'D) Ecrêtage'!M120</f>
        <v>0</v>
      </c>
      <c r="F126" s="422">
        <f>$F$10*'D) Ecrêtage'!C120</f>
        <v>8600174.0831022933</v>
      </c>
      <c r="G126" s="55">
        <f t="shared" si="1"/>
        <v>10572092.008102294</v>
      </c>
    </row>
    <row r="127" spans="1:7" x14ac:dyDescent="0.25">
      <c r="A127" s="49">
        <f>'A) Base RI'!A123</f>
        <v>5592</v>
      </c>
      <c r="B127" s="291" t="str">
        <f>'A) Base RI'!B123</f>
        <v>Romanel-sur-Lausanne</v>
      </c>
      <c r="C127" s="10">
        <f>'A) Base RI'!V123</f>
        <v>3294</v>
      </c>
      <c r="D127" s="422">
        <f>'C) Prél. conj.'!H121</f>
        <v>358719.44999999995</v>
      </c>
      <c r="E127" s="10">
        <f>'D) Ecrêtage'!M121</f>
        <v>0</v>
      </c>
      <c r="F127" s="422">
        <f>$F$10*'D) Ecrêtage'!C121</f>
        <v>1726347.6230195498</v>
      </c>
      <c r="G127" s="55">
        <f t="shared" si="1"/>
        <v>2085067.0730195497</v>
      </c>
    </row>
    <row r="128" spans="1:7" x14ac:dyDescent="0.25">
      <c r="A128" s="49">
        <f>'A) Base RI'!A124</f>
        <v>5601</v>
      </c>
      <c r="B128" s="291" t="str">
        <f>'A) Base RI'!B124</f>
        <v>Chexbres</v>
      </c>
      <c r="C128" s="10">
        <f>'A) Base RI'!V124</f>
        <v>2235</v>
      </c>
      <c r="D128" s="422">
        <f>'C) Prél. conj.'!H122</f>
        <v>425245.15</v>
      </c>
      <c r="E128" s="10">
        <f>'D) Ecrêtage'!M122</f>
        <v>6521.9785295135571</v>
      </c>
      <c r="F128" s="422">
        <f>$F$10*'D) Ecrêtage'!C122</f>
        <v>1583646.9869815828</v>
      </c>
      <c r="G128" s="55">
        <f t="shared" si="1"/>
        <v>2015414.1155110963</v>
      </c>
    </row>
    <row r="129" spans="1:7" x14ac:dyDescent="0.25">
      <c r="A129" s="49">
        <f>'A) Base RI'!A125</f>
        <v>5604</v>
      </c>
      <c r="B129" s="291" t="str">
        <f>'A) Base RI'!B125</f>
        <v>Forel (Lavaux)</v>
      </c>
      <c r="C129" s="10">
        <f>'A) Base RI'!V125</f>
        <v>2064</v>
      </c>
      <c r="D129" s="422">
        <f>'C) Prél. conj.'!H123</f>
        <v>198194.49</v>
      </c>
      <c r="E129" s="10">
        <f>'D) Ecrêtage'!M123</f>
        <v>0</v>
      </c>
      <c r="F129" s="422">
        <f>$F$10*'D) Ecrêtage'!C123</f>
        <v>1129464.6054345963</v>
      </c>
      <c r="G129" s="55">
        <f t="shared" si="1"/>
        <v>1327659.0954345963</v>
      </c>
    </row>
    <row r="130" spans="1:7" x14ac:dyDescent="0.25">
      <c r="A130" s="49">
        <f>'A) Base RI'!A126</f>
        <v>5606</v>
      </c>
      <c r="B130" s="291" t="str">
        <f>'A) Base RI'!B126</f>
        <v>Lutry</v>
      </c>
      <c r="C130" s="10">
        <f>'A) Base RI'!V126</f>
        <v>10357</v>
      </c>
      <c r="D130" s="422">
        <f>'C) Prél. conj.'!H124</f>
        <v>3681832.5050000004</v>
      </c>
      <c r="E130" s="10">
        <f>'D) Ecrêtage'!M124</f>
        <v>5508506.9615460848</v>
      </c>
      <c r="F130" s="422">
        <f>$F$10*'D) Ecrêtage'!C124</f>
        <v>12388009.369108308</v>
      </c>
      <c r="G130" s="55">
        <f t="shared" si="1"/>
        <v>21578348.835654393</v>
      </c>
    </row>
    <row r="131" spans="1:7" x14ac:dyDescent="0.25">
      <c r="A131" s="49">
        <f>'A) Base RI'!A127</f>
        <v>5607</v>
      </c>
      <c r="B131" s="291" t="str">
        <f>'A) Base RI'!B127</f>
        <v>Puidoux</v>
      </c>
      <c r="C131" s="10">
        <f>'A) Base RI'!V127</f>
        <v>2881</v>
      </c>
      <c r="D131" s="422">
        <f>'C) Prél. conj.'!H125</f>
        <v>183236.31</v>
      </c>
      <c r="E131" s="10">
        <f>'D) Ecrêtage'!M125</f>
        <v>0</v>
      </c>
      <c r="F131" s="422">
        <f>$F$10*'D) Ecrêtage'!C125</f>
        <v>1532225.3866371796</v>
      </c>
      <c r="G131" s="55">
        <f t="shared" si="1"/>
        <v>1715461.6966371797</v>
      </c>
    </row>
    <row r="132" spans="1:7" x14ac:dyDescent="0.25">
      <c r="A132" s="49">
        <f>'A) Base RI'!A128</f>
        <v>5609</v>
      </c>
      <c r="B132" s="291" t="str">
        <f>'A) Base RI'!B128</f>
        <v>Rivaz</v>
      </c>
      <c r="C132" s="10">
        <f>'A) Base RI'!V128</f>
        <v>342</v>
      </c>
      <c r="D132" s="422">
        <f>'C) Prél. conj.'!H126</f>
        <v>18617.5</v>
      </c>
      <c r="E132" s="10">
        <f>'D) Ecrêtage'!M126</f>
        <v>0</v>
      </c>
      <c r="F132" s="422">
        <f>$F$10*'D) Ecrêtage'!C126</f>
        <v>209618.93886706271</v>
      </c>
      <c r="G132" s="55">
        <f t="shared" si="1"/>
        <v>228236.43886706271</v>
      </c>
    </row>
    <row r="133" spans="1:7" x14ac:dyDescent="0.25">
      <c r="A133" s="49">
        <f>'A) Base RI'!A129</f>
        <v>5610</v>
      </c>
      <c r="B133" s="291" t="str">
        <f>'A) Base RI'!B129</f>
        <v>St-Saphorin (Lavaux)</v>
      </c>
      <c r="C133" s="10">
        <f>'A) Base RI'!V129</f>
        <v>384</v>
      </c>
      <c r="D133" s="422">
        <f>'C) Prél. conj.'!H127</f>
        <v>16901.174999999999</v>
      </c>
      <c r="E133" s="10">
        <f>'D) Ecrêtage'!M127</f>
        <v>72056.573984611692</v>
      </c>
      <c r="F133" s="422">
        <f>$F$10*'D) Ecrêtage'!C127</f>
        <v>341512.38116903149</v>
      </c>
      <c r="G133" s="55">
        <f t="shared" si="1"/>
        <v>430470.1301536432</v>
      </c>
    </row>
    <row r="134" spans="1:7" x14ac:dyDescent="0.25">
      <c r="A134" s="49">
        <f>'A) Base RI'!A130</f>
        <v>5611</v>
      </c>
      <c r="B134" s="291" t="str">
        <f>'A) Base RI'!B130</f>
        <v>Savigny</v>
      </c>
      <c r="C134" s="10">
        <f>'A) Base RI'!V130</f>
        <v>3359</v>
      </c>
      <c r="D134" s="422">
        <f>'C) Prél. conj.'!H128</f>
        <v>655172.8550000001</v>
      </c>
      <c r="E134" s="10">
        <f>'D) Ecrêtage'!M128</f>
        <v>0</v>
      </c>
      <c r="F134" s="422">
        <f>$F$10*'D) Ecrêtage'!C128</f>
        <v>2062463.8079576048</v>
      </c>
      <c r="G134" s="55">
        <f t="shared" si="1"/>
        <v>2717636.662957605</v>
      </c>
    </row>
    <row r="135" spans="1:7" x14ac:dyDescent="0.25">
      <c r="A135" s="49">
        <f>'A) Base RI'!A131</f>
        <v>5613</v>
      </c>
      <c r="B135" s="291" t="str">
        <f>'A) Base RI'!B131</f>
        <v>Bourg-en-Lavaux</v>
      </c>
      <c r="C135" s="10">
        <f>'A) Base RI'!V131</f>
        <v>5345</v>
      </c>
      <c r="D135" s="422">
        <f>'C) Prél. conj.'!H129</f>
        <v>993464.78999999992</v>
      </c>
      <c r="E135" s="10">
        <f>'D) Ecrêtage'!M129</f>
        <v>1356819.8994313863</v>
      </c>
      <c r="F135" s="422">
        <f>$F$10*'D) Ecrêtage'!C129</f>
        <v>5104835.0335649252</v>
      </c>
      <c r="G135" s="55">
        <f t="shared" si="1"/>
        <v>7455119.7229963113</v>
      </c>
    </row>
    <row r="136" spans="1:7" x14ac:dyDescent="0.25">
      <c r="A136" s="49">
        <f>'A) Base RI'!A132</f>
        <v>5621</v>
      </c>
      <c r="B136" s="291" t="str">
        <f>'A) Base RI'!B132</f>
        <v>Aclens</v>
      </c>
      <c r="C136" s="10">
        <f>'A) Base RI'!V132</f>
        <v>539</v>
      </c>
      <c r="D136" s="422">
        <f>'C) Prél. conj.'!H130</f>
        <v>142543.66</v>
      </c>
      <c r="E136" s="10">
        <f>'D) Ecrêtage'!M130</f>
        <v>27491.981745197681</v>
      </c>
      <c r="F136" s="422">
        <f>$F$10*'D) Ecrêtage'!C130</f>
        <v>414164.578763308</v>
      </c>
      <c r="G136" s="55">
        <f t="shared" si="1"/>
        <v>584200.22050850571</v>
      </c>
    </row>
    <row r="137" spans="1:7" x14ac:dyDescent="0.25">
      <c r="A137" s="49">
        <f>'A) Base RI'!A133</f>
        <v>5622</v>
      </c>
      <c r="B137" s="291" t="str">
        <f>'A) Base RI'!B133</f>
        <v>Bremblens</v>
      </c>
      <c r="C137" s="10">
        <f>'A) Base RI'!V133</f>
        <v>577</v>
      </c>
      <c r="D137" s="422">
        <f>'C) Prél. conj.'!H131</f>
        <v>121160.04000000001</v>
      </c>
      <c r="E137" s="10">
        <f>'D) Ecrêtage'!M131</f>
        <v>5214.1013004190918</v>
      </c>
      <c r="F137" s="422">
        <f>$F$10*'D) Ecrêtage'!C131</f>
        <v>413028.9382098419</v>
      </c>
      <c r="G137" s="55">
        <f t="shared" si="1"/>
        <v>539403.07951026096</v>
      </c>
    </row>
    <row r="138" spans="1:7" x14ac:dyDescent="0.25">
      <c r="A138" s="49">
        <f>'A) Base RI'!A134</f>
        <v>5623</v>
      </c>
      <c r="B138" s="291" t="str">
        <f>'A) Base RI'!B134</f>
        <v>Buchillon</v>
      </c>
      <c r="C138" s="10">
        <f>'A) Base RI'!V134</f>
        <v>686</v>
      </c>
      <c r="D138" s="422">
        <f>'C) Prél. conj.'!H132</f>
        <v>233419.58499999999</v>
      </c>
      <c r="E138" s="10">
        <f>'D) Ecrêtage'!M132</f>
        <v>1250171.9247317673</v>
      </c>
      <c r="F138" s="422">
        <f>$F$10*'D) Ecrêtage'!C132</f>
        <v>1371714.3767846776</v>
      </c>
      <c r="G138" s="55">
        <f t="shared" si="1"/>
        <v>2855305.8865164449</v>
      </c>
    </row>
    <row r="139" spans="1:7" x14ac:dyDescent="0.25">
      <c r="A139" s="49">
        <f>'A) Base RI'!A135</f>
        <v>5624</v>
      </c>
      <c r="B139" s="291" t="str">
        <f>'A) Base RI'!B135</f>
        <v>Bussigny</v>
      </c>
      <c r="C139" s="10">
        <f>'A) Base RI'!V135</f>
        <v>8962</v>
      </c>
      <c r="D139" s="422">
        <f>'C) Prél. conj.'!H133</f>
        <v>1931827.5199999998</v>
      </c>
      <c r="E139" s="10">
        <f>'D) Ecrêtage'!M133</f>
        <v>0</v>
      </c>
      <c r="F139" s="422">
        <f>$F$10*'D) Ecrêtage'!C133</f>
        <v>6139160.9794684397</v>
      </c>
      <c r="G139" s="55">
        <f t="shared" ref="G139:G202" si="2">D139+F139+E139</f>
        <v>8070988.4994684393</v>
      </c>
    </row>
    <row r="140" spans="1:7" x14ac:dyDescent="0.25">
      <c r="A140" s="49">
        <f>'A) Base RI'!A136</f>
        <v>5625</v>
      </c>
      <c r="B140" s="291" t="str">
        <f>'A) Base RI'!B136</f>
        <v>Bussy-Chardonney</v>
      </c>
      <c r="C140" s="10">
        <f>'A) Base RI'!V136</f>
        <v>384</v>
      </c>
      <c r="D140" s="422">
        <f>'C) Prél. conj.'!H134</f>
        <v>43560.925000000003</v>
      </c>
      <c r="E140" s="10">
        <f>'D) Ecrêtage'!M134</f>
        <v>0</v>
      </c>
      <c r="F140" s="422">
        <f>$F$10*'D) Ecrêtage'!C134</f>
        <v>257825.49494812218</v>
      </c>
      <c r="G140" s="55">
        <f t="shared" si="2"/>
        <v>301386.41994812217</v>
      </c>
    </row>
    <row r="141" spans="1:7" x14ac:dyDescent="0.25">
      <c r="A141" s="49">
        <f>'A) Base RI'!A137</f>
        <v>5627</v>
      </c>
      <c r="B141" s="291" t="str">
        <f>'A) Base RI'!B137</f>
        <v>Chavannes-près-Renens</v>
      </c>
      <c r="C141" s="10">
        <f>'A) Base RI'!V137</f>
        <v>7887</v>
      </c>
      <c r="D141" s="422">
        <f>'C) Prél. conj.'!H135</f>
        <v>1418757.9849999999</v>
      </c>
      <c r="E141" s="10">
        <f>'D) Ecrêtage'!M135</f>
        <v>0</v>
      </c>
      <c r="F141" s="422">
        <f>$F$10*'D) Ecrêtage'!C135</f>
        <v>3286445.4218355496</v>
      </c>
      <c r="G141" s="55">
        <f t="shared" si="2"/>
        <v>4705203.4068355495</v>
      </c>
    </row>
    <row r="142" spans="1:7" x14ac:dyDescent="0.25">
      <c r="A142" s="49">
        <f>'A) Base RI'!A138</f>
        <v>5628</v>
      </c>
      <c r="B142" s="291" t="str">
        <f>'A) Base RI'!B138</f>
        <v>Chigny</v>
      </c>
      <c r="C142" s="10">
        <f>'A) Base RI'!V138</f>
        <v>382</v>
      </c>
      <c r="D142" s="422">
        <f>'C) Prél. conj.'!H136</f>
        <v>79545.574999999997</v>
      </c>
      <c r="E142" s="10">
        <f>'D) Ecrêtage'!M136</f>
        <v>67486.677274770249</v>
      </c>
      <c r="F142" s="422">
        <f>$F$10*'D) Ecrêtage'!C136</f>
        <v>343029.05469167489</v>
      </c>
      <c r="G142" s="55">
        <f t="shared" si="2"/>
        <v>490061.30696644518</v>
      </c>
    </row>
    <row r="143" spans="1:7" x14ac:dyDescent="0.25">
      <c r="A143" s="49">
        <f>'A) Base RI'!A139</f>
        <v>5629</v>
      </c>
      <c r="B143" s="291" t="str">
        <f>'A) Base RI'!B139</f>
        <v>Clarmont</v>
      </c>
      <c r="C143" s="10">
        <f>'A) Base RI'!V139</f>
        <v>191</v>
      </c>
      <c r="D143" s="422">
        <f>'C) Prél. conj.'!H137</f>
        <v>51346.474999999999</v>
      </c>
      <c r="E143" s="10">
        <f>'D) Ecrêtage'!M137</f>
        <v>0</v>
      </c>
      <c r="F143" s="422">
        <f>$F$10*'D) Ecrêtage'!C137</f>
        <v>103496.13209189304</v>
      </c>
      <c r="G143" s="55">
        <f t="shared" si="2"/>
        <v>154842.60709189303</v>
      </c>
    </row>
    <row r="144" spans="1:7" x14ac:dyDescent="0.25">
      <c r="A144" s="49">
        <f>'A) Base RI'!A140</f>
        <v>5631</v>
      </c>
      <c r="B144" s="291" t="str">
        <f>'A) Base RI'!B140</f>
        <v>Denens</v>
      </c>
      <c r="C144" s="10">
        <f>'A) Base RI'!V140</f>
        <v>742</v>
      </c>
      <c r="D144" s="422">
        <f>'C) Prél. conj.'!H138</f>
        <v>52009.8</v>
      </c>
      <c r="E144" s="10">
        <f>'D) Ecrêtage'!M138</f>
        <v>315517.57873278338</v>
      </c>
      <c r="F144" s="422">
        <f>$F$10*'D) Ecrêtage'!C138</f>
        <v>787716.37174911716</v>
      </c>
      <c r="G144" s="55">
        <f t="shared" si="2"/>
        <v>1155243.7504819005</v>
      </c>
    </row>
    <row r="145" spans="1:7" x14ac:dyDescent="0.25">
      <c r="A145" s="49">
        <f>'A) Base RI'!A141</f>
        <v>5632</v>
      </c>
      <c r="B145" s="291" t="str">
        <f>'A) Base RI'!B141</f>
        <v>Denges</v>
      </c>
      <c r="C145" s="10">
        <f>'A) Base RI'!V141</f>
        <v>1609</v>
      </c>
      <c r="D145" s="422">
        <f>'C) Prél. conj.'!H139</f>
        <v>172045.965</v>
      </c>
      <c r="E145" s="10">
        <f>'D) Ecrêtage'!M139</f>
        <v>0</v>
      </c>
      <c r="F145" s="422">
        <f>$F$10*'D) Ecrêtage'!C139</f>
        <v>1121761.6556162976</v>
      </c>
      <c r="G145" s="55">
        <f t="shared" si="2"/>
        <v>1293807.6206162977</v>
      </c>
    </row>
    <row r="146" spans="1:7" x14ac:dyDescent="0.25">
      <c r="A146" s="49">
        <f>'A) Base RI'!A142</f>
        <v>5633</v>
      </c>
      <c r="B146" s="291" t="str">
        <f>'A) Base RI'!B142</f>
        <v>Echandens</v>
      </c>
      <c r="C146" s="10">
        <f>'A) Base RI'!V142</f>
        <v>2739</v>
      </c>
      <c r="D146" s="422">
        <f>'C) Prél. conj.'!H140</f>
        <v>304910.73499999999</v>
      </c>
      <c r="E146" s="10">
        <f>'D) Ecrêtage'!M140</f>
        <v>478383.08540309133</v>
      </c>
      <c r="F146" s="422">
        <f>$F$10*'D) Ecrêtage'!C140</f>
        <v>2455032.5018417505</v>
      </c>
      <c r="G146" s="55">
        <f t="shared" si="2"/>
        <v>3238326.3222448416</v>
      </c>
    </row>
    <row r="147" spans="1:7" x14ac:dyDescent="0.25">
      <c r="A147" s="49">
        <f>'A) Base RI'!A143</f>
        <v>5634</v>
      </c>
      <c r="B147" s="291" t="str">
        <f>'A) Base RI'!B143</f>
        <v>Echichens</v>
      </c>
      <c r="C147" s="10">
        <f>'A) Base RI'!V143</f>
        <v>3077</v>
      </c>
      <c r="D147" s="422">
        <f>'C) Prél. conj.'!H141</f>
        <v>655514.46500000008</v>
      </c>
      <c r="E147" s="10">
        <f>'D) Ecrêtage'!M141</f>
        <v>467341.73039864987</v>
      </c>
      <c r="F147" s="422">
        <f>$F$10*'D) Ecrêtage'!C141</f>
        <v>2666230.5629719202</v>
      </c>
      <c r="G147" s="55">
        <f t="shared" si="2"/>
        <v>3789086.7583705704</v>
      </c>
    </row>
    <row r="148" spans="1:7" x14ac:dyDescent="0.25">
      <c r="A148" s="49">
        <f>'A) Base RI'!A144</f>
        <v>5635</v>
      </c>
      <c r="B148" s="291" t="str">
        <f>'A) Base RI'!B144</f>
        <v>Ecublens</v>
      </c>
      <c r="C148" s="10">
        <f>'A) Base RI'!V144</f>
        <v>13089</v>
      </c>
      <c r="D148" s="422">
        <f>'C) Prél. conj.'!H142</f>
        <v>1928374.6600000001</v>
      </c>
      <c r="E148" s="10">
        <f>'D) Ecrêtage'!M142</f>
        <v>0</v>
      </c>
      <c r="F148" s="422">
        <f>$F$10*'D) Ecrêtage'!C142</f>
        <v>7490263.9135676371</v>
      </c>
      <c r="G148" s="55">
        <f t="shared" si="2"/>
        <v>9418638.5735676363</v>
      </c>
    </row>
    <row r="149" spans="1:7" x14ac:dyDescent="0.25">
      <c r="A149" s="49">
        <f>'A) Base RI'!A145</f>
        <v>5636</v>
      </c>
      <c r="B149" s="291" t="str">
        <f>'A) Base RI'!B145</f>
        <v>Etoy</v>
      </c>
      <c r="C149" s="10">
        <f>'A) Base RI'!V145</f>
        <v>2933</v>
      </c>
      <c r="D149" s="422">
        <f>'C) Prél. conj.'!H143</f>
        <v>642825.49</v>
      </c>
      <c r="E149" s="10">
        <f>'D) Ecrêtage'!M143</f>
        <v>602385.82880992163</v>
      </c>
      <c r="F149" s="422">
        <f>$F$10*'D) Ecrêtage'!C143</f>
        <v>2711350.2192116044</v>
      </c>
      <c r="G149" s="55">
        <f t="shared" si="2"/>
        <v>3956561.5380215263</v>
      </c>
    </row>
    <row r="150" spans="1:7" x14ac:dyDescent="0.25">
      <c r="A150" s="49">
        <f>'A) Base RI'!A146</f>
        <v>5637</v>
      </c>
      <c r="B150" s="291" t="str">
        <f>'A) Base RI'!B146</f>
        <v>Lavigny</v>
      </c>
      <c r="C150" s="10">
        <f>'A) Base RI'!V146</f>
        <v>992</v>
      </c>
      <c r="D150" s="422">
        <f>'C) Prél. conj.'!H144</f>
        <v>120063.94499999999</v>
      </c>
      <c r="E150" s="10">
        <f>'D) Ecrêtage'!M144</f>
        <v>0</v>
      </c>
      <c r="F150" s="422">
        <f>$F$10*'D) Ecrêtage'!C144</f>
        <v>569430.17896277527</v>
      </c>
      <c r="G150" s="55">
        <f t="shared" si="2"/>
        <v>689494.12396277522</v>
      </c>
    </row>
    <row r="151" spans="1:7" x14ac:dyDescent="0.25">
      <c r="A151" s="49">
        <f>'A) Base RI'!A147</f>
        <v>5638</v>
      </c>
      <c r="B151" s="291" t="str">
        <f>'A) Base RI'!B147</f>
        <v>Lonay</v>
      </c>
      <c r="C151" s="10">
        <f>'A) Base RI'!V147</f>
        <v>2676</v>
      </c>
      <c r="D151" s="422">
        <f>'C) Prél. conj.'!H145</f>
        <v>1638077.5649999999</v>
      </c>
      <c r="E151" s="10">
        <f>'D) Ecrêtage'!M145</f>
        <v>387639.77267107734</v>
      </c>
      <c r="F151" s="422">
        <f>$F$10*'D) Ecrêtage'!C145</f>
        <v>2373500.4591215765</v>
      </c>
      <c r="G151" s="55">
        <f t="shared" si="2"/>
        <v>4399217.7967926534</v>
      </c>
    </row>
    <row r="152" spans="1:7" x14ac:dyDescent="0.25">
      <c r="A152" s="49">
        <f>'A) Base RI'!A148</f>
        <v>5639</v>
      </c>
      <c r="B152" s="291" t="str">
        <f>'A) Base RI'!B148</f>
        <v>Lully</v>
      </c>
      <c r="C152" s="10">
        <f>'A) Base RI'!V148</f>
        <v>818</v>
      </c>
      <c r="D152" s="422">
        <f>'C) Prél. conj.'!H146</f>
        <v>65147.840000000004</v>
      </c>
      <c r="E152" s="10">
        <f>'D) Ecrêtage'!M146</f>
        <v>125418.05147869699</v>
      </c>
      <c r="F152" s="422">
        <f>$F$10*'D) Ecrêtage'!C146</f>
        <v>720502.76913687598</v>
      </c>
      <c r="G152" s="55">
        <f t="shared" si="2"/>
        <v>911068.66061557294</v>
      </c>
    </row>
    <row r="153" spans="1:7" x14ac:dyDescent="0.25">
      <c r="A153" s="49">
        <f>'A) Base RI'!A149</f>
        <v>5640</v>
      </c>
      <c r="B153" s="291" t="str">
        <f>'A) Base RI'!B149</f>
        <v>Lussy-sur-Morges</v>
      </c>
      <c r="C153" s="10">
        <f>'A) Base RI'!V149</f>
        <v>696</v>
      </c>
      <c r="D153" s="422">
        <f>'C) Prél. conj.'!H147</f>
        <v>231036.08499999999</v>
      </c>
      <c r="E153" s="10">
        <f>'D) Ecrêtage'!M147</f>
        <v>615473.12291181413</v>
      </c>
      <c r="F153" s="422">
        <f>$F$10*'D) Ecrêtage'!C147</f>
        <v>934277.27046342066</v>
      </c>
      <c r="G153" s="55">
        <f t="shared" si="2"/>
        <v>1780786.4783752349</v>
      </c>
    </row>
    <row r="154" spans="1:7" x14ac:dyDescent="0.25">
      <c r="A154" s="49">
        <f>'A) Base RI'!A150</f>
        <v>5642</v>
      </c>
      <c r="B154" s="291" t="str">
        <f>'A) Base RI'!B150</f>
        <v>Morges</v>
      </c>
      <c r="C154" s="10">
        <f>'A) Base RI'!V150</f>
        <v>15862</v>
      </c>
      <c r="D154" s="422">
        <f>'C) Prél. conj.'!H148</f>
        <v>3379873.4550000001</v>
      </c>
      <c r="E154" s="10">
        <f>'D) Ecrêtage'!M148</f>
        <v>1786646.87901458</v>
      </c>
      <c r="F154" s="422">
        <f>$F$10*'D) Ecrêtage'!C148</f>
        <v>13187462.404198673</v>
      </c>
      <c r="G154" s="55">
        <f t="shared" si="2"/>
        <v>18353982.738213252</v>
      </c>
    </row>
    <row r="155" spans="1:7" x14ac:dyDescent="0.25">
      <c r="A155" s="49">
        <f>'A) Base RI'!A151</f>
        <v>5643</v>
      </c>
      <c r="B155" s="291" t="str">
        <f>'A) Base RI'!B151</f>
        <v>Préverenges</v>
      </c>
      <c r="C155" s="10">
        <f>'A) Base RI'!V151</f>
        <v>5243</v>
      </c>
      <c r="D155" s="422">
        <f>'C) Prél. conj.'!H149</f>
        <v>927538.64</v>
      </c>
      <c r="E155" s="10">
        <f>'D) Ecrêtage'!M149</f>
        <v>224902.63200893198</v>
      </c>
      <c r="F155" s="422">
        <f>$F$10*'D) Ecrêtage'!C149</f>
        <v>3967424.8362535164</v>
      </c>
      <c r="G155" s="55">
        <f t="shared" si="2"/>
        <v>5119866.1082624476</v>
      </c>
    </row>
    <row r="156" spans="1:7" x14ac:dyDescent="0.25">
      <c r="A156" s="49">
        <f>'A) Base RI'!A152</f>
        <v>5644</v>
      </c>
      <c r="B156" s="291" t="str">
        <f>'A) Base RI'!B152</f>
        <v>Reverolle</v>
      </c>
      <c r="C156" s="10">
        <f>'A) Base RI'!V152</f>
        <v>413</v>
      </c>
      <c r="D156" s="422">
        <f>'C) Prél. conj.'!H150</f>
        <v>40790.045000000006</v>
      </c>
      <c r="E156" s="10">
        <f>'D) Ecrêtage'!M150</f>
        <v>0</v>
      </c>
      <c r="F156" s="422">
        <f>$F$10*'D) Ecrêtage'!C150</f>
        <v>257686.03173667428</v>
      </c>
      <c r="G156" s="55">
        <f t="shared" si="2"/>
        <v>298476.07673667429</v>
      </c>
    </row>
    <row r="157" spans="1:7" x14ac:dyDescent="0.25">
      <c r="A157" s="49">
        <f>'A) Base RI'!A153</f>
        <v>5645</v>
      </c>
      <c r="B157" s="291" t="str">
        <f>'A) Base RI'!B153</f>
        <v>Romanel-sur-Morges</v>
      </c>
      <c r="C157" s="10">
        <f>'A) Base RI'!V153</f>
        <v>470</v>
      </c>
      <c r="D157" s="422">
        <f>'C) Prél. conj.'!H151</f>
        <v>90026.755000000005</v>
      </c>
      <c r="E157" s="10">
        <f>'D) Ecrêtage'!M151</f>
        <v>118322.35979220871</v>
      </c>
      <c r="F157" s="422">
        <f>$F$10*'D) Ecrêtage'!C151</f>
        <v>461592.66385937633</v>
      </c>
      <c r="G157" s="55">
        <f t="shared" si="2"/>
        <v>669941.7786515851</v>
      </c>
    </row>
    <row r="158" spans="1:7" x14ac:dyDescent="0.25">
      <c r="A158" s="49">
        <f>'A) Base RI'!A154</f>
        <v>5646</v>
      </c>
      <c r="B158" s="291" t="str">
        <f>'A) Base RI'!B154</f>
        <v>Saint-Prex</v>
      </c>
      <c r="C158" s="10">
        <f>'A) Base RI'!V154</f>
        <v>5774</v>
      </c>
      <c r="D158" s="422">
        <f>'C) Prél. conj.'!H152</f>
        <v>936150.03</v>
      </c>
      <c r="E158" s="10">
        <f>'D) Ecrêtage'!M152</f>
        <v>2173777.7472497891</v>
      </c>
      <c r="F158" s="422">
        <f>$F$10*'D) Ecrêtage'!C152</f>
        <v>6300258.8315249458</v>
      </c>
      <c r="G158" s="55">
        <f t="shared" si="2"/>
        <v>9410186.6087747347</v>
      </c>
    </row>
    <row r="159" spans="1:7" x14ac:dyDescent="0.25">
      <c r="A159" s="49">
        <f>'A) Base RI'!A155</f>
        <v>5648</v>
      </c>
      <c r="B159" s="291" t="str">
        <f>'A) Base RI'!B155</f>
        <v>Saint-Sulpice</v>
      </c>
      <c r="C159" s="10">
        <f>'A) Base RI'!V155</f>
        <v>4717</v>
      </c>
      <c r="D159" s="422">
        <f>'C) Prél. conj.'!H153</f>
        <v>1188425.72</v>
      </c>
      <c r="E159" s="10">
        <f>'D) Ecrêtage'!M153</f>
        <v>2810364.480956208</v>
      </c>
      <c r="F159" s="422">
        <f>$F$10*'D) Ecrêtage'!C153</f>
        <v>5867933.8195999926</v>
      </c>
      <c r="G159" s="55">
        <f t="shared" si="2"/>
        <v>9866724.0205562003</v>
      </c>
    </row>
    <row r="160" spans="1:7" x14ac:dyDescent="0.25">
      <c r="A160" s="49">
        <f>'A) Base RI'!A156</f>
        <v>5649</v>
      </c>
      <c r="B160" s="291" t="str">
        <f>'A) Base RI'!B156</f>
        <v>Tolochenaz</v>
      </c>
      <c r="C160" s="10">
        <f>'A) Base RI'!V156</f>
        <v>1907</v>
      </c>
      <c r="D160" s="422">
        <f>'C) Prél. conj.'!H154</f>
        <v>184224.48499999999</v>
      </c>
      <c r="E160" s="10">
        <f>'D) Ecrêtage'!M154</f>
        <v>195378.35315429355</v>
      </c>
      <c r="F160" s="422">
        <f>$F$10*'D) Ecrêtage'!C154</f>
        <v>1575494.5325104189</v>
      </c>
      <c r="G160" s="55">
        <f t="shared" si="2"/>
        <v>1955097.3706647123</v>
      </c>
    </row>
    <row r="161" spans="1:7" x14ac:dyDescent="0.25">
      <c r="A161" s="49">
        <f>'A) Base RI'!A157</f>
        <v>5650</v>
      </c>
      <c r="B161" s="291" t="str">
        <f>'A) Base RI'!B157</f>
        <v>Vaux-sur-Morges</v>
      </c>
      <c r="C161" s="10">
        <f>'A) Base RI'!V157</f>
        <v>196</v>
      </c>
      <c r="D161" s="422">
        <f>'C) Prél. conj.'!H155</f>
        <v>6924.5</v>
      </c>
      <c r="E161" s="10">
        <f>'D) Ecrêtage'!M155</f>
        <v>2579966.8585318727</v>
      </c>
      <c r="F161" s="422">
        <f>$F$10*'D) Ecrêtage'!C155</f>
        <v>1400830.155391712</v>
      </c>
      <c r="G161" s="55">
        <f t="shared" si="2"/>
        <v>3987721.5139235845</v>
      </c>
    </row>
    <row r="162" spans="1:7" x14ac:dyDescent="0.25">
      <c r="A162" s="49">
        <f>'A) Base RI'!A158</f>
        <v>5651</v>
      </c>
      <c r="B162" s="291" t="str">
        <f>'A) Base RI'!B158</f>
        <v>Villars-Sainte-Croix</v>
      </c>
      <c r="C162" s="10">
        <f>'A) Base RI'!V158</f>
        <v>973</v>
      </c>
      <c r="D162" s="422">
        <f>'C) Prél. conj.'!H156</f>
        <v>140810.14499999999</v>
      </c>
      <c r="E162" s="10">
        <f>'D) Ecrêtage'!M156</f>
        <v>203123.71072891331</v>
      </c>
      <c r="F162" s="422">
        <f>$F$10*'D) Ecrêtage'!C156</f>
        <v>899478.36592925712</v>
      </c>
      <c r="G162" s="55">
        <f t="shared" si="2"/>
        <v>1243412.2216581705</v>
      </c>
    </row>
    <row r="163" spans="1:7" x14ac:dyDescent="0.25">
      <c r="A163" s="49">
        <f>'A) Base RI'!A159</f>
        <v>5652</v>
      </c>
      <c r="B163" s="291" t="str">
        <f>'A) Base RI'!B159</f>
        <v>Villars-sous-Yens</v>
      </c>
      <c r="C163" s="10">
        <f>'A) Base RI'!V159</f>
        <v>603</v>
      </c>
      <c r="D163" s="422">
        <f>'C) Prél. conj.'!H157</f>
        <v>33721.81</v>
      </c>
      <c r="E163" s="10">
        <f>'D) Ecrêtage'!M157</f>
        <v>78680.789254582007</v>
      </c>
      <c r="F163" s="422">
        <f>$F$10*'D) Ecrêtage'!C157</f>
        <v>504679.72652536287</v>
      </c>
      <c r="G163" s="55">
        <f t="shared" si="2"/>
        <v>617082.32577994489</v>
      </c>
    </row>
    <row r="164" spans="1:7" x14ac:dyDescent="0.25">
      <c r="A164" s="49">
        <f>'A) Base RI'!A160</f>
        <v>5653</v>
      </c>
      <c r="B164" s="291" t="str">
        <f>'A) Base RI'!B160</f>
        <v>Vufflens-le-Château</v>
      </c>
      <c r="C164" s="10">
        <f>'A) Base RI'!V160</f>
        <v>883</v>
      </c>
      <c r="D164" s="422">
        <f>'C) Prél. conj.'!H158</f>
        <v>913471.01</v>
      </c>
      <c r="E164" s="10">
        <f>'D) Ecrêtage'!M158</f>
        <v>581237.97740094597</v>
      </c>
      <c r="F164" s="422">
        <f>$F$10*'D) Ecrêtage'!C158</f>
        <v>1103129.0968249852</v>
      </c>
      <c r="G164" s="55">
        <f t="shared" si="2"/>
        <v>2597838.0842259312</v>
      </c>
    </row>
    <row r="165" spans="1:7" x14ac:dyDescent="0.25">
      <c r="A165" s="49">
        <f>'A) Base RI'!A161</f>
        <v>5654</v>
      </c>
      <c r="B165" s="291" t="str">
        <f>'A) Base RI'!B161</f>
        <v>Vullierens</v>
      </c>
      <c r="C165" s="10">
        <f>'A) Base RI'!V161</f>
        <v>513</v>
      </c>
      <c r="D165" s="422">
        <f>'C) Prél. conj.'!H159</f>
        <v>26829.84</v>
      </c>
      <c r="E165" s="10">
        <f>'D) Ecrêtage'!M159</f>
        <v>0</v>
      </c>
      <c r="F165" s="422">
        <f>$F$10*'D) Ecrêtage'!C159</f>
        <v>276364.55271133827</v>
      </c>
      <c r="G165" s="55">
        <f t="shared" si="2"/>
        <v>303194.3927113383</v>
      </c>
    </row>
    <row r="166" spans="1:7" x14ac:dyDescent="0.25">
      <c r="A166" s="49">
        <f>'A) Base RI'!A162</f>
        <v>5655</v>
      </c>
      <c r="B166" s="291" t="str">
        <f>'A) Base RI'!B162</f>
        <v>Yens</v>
      </c>
      <c r="C166" s="10">
        <f>'A) Base RI'!V162</f>
        <v>1477</v>
      </c>
      <c r="D166" s="422">
        <f>'C) Prél. conj.'!H160</f>
        <v>264284.69499999995</v>
      </c>
      <c r="E166" s="10">
        <f>'D) Ecrêtage'!M160</f>
        <v>132260.8186624379</v>
      </c>
      <c r="F166" s="422">
        <f>$F$10*'D) Ecrêtage'!C160</f>
        <v>1180665.0356309908</v>
      </c>
      <c r="G166" s="55">
        <f t="shared" si="2"/>
        <v>1577210.5492934284</v>
      </c>
    </row>
    <row r="167" spans="1:7" x14ac:dyDescent="0.25">
      <c r="A167" s="49">
        <f>'A) Base RI'!A163</f>
        <v>5661</v>
      </c>
      <c r="B167" s="291" t="str">
        <f>'A) Base RI'!B163</f>
        <v>Boulens</v>
      </c>
      <c r="C167" s="10">
        <f>'A) Base RI'!V163</f>
        <v>361</v>
      </c>
      <c r="D167" s="422">
        <f>'C) Prél. conj.'!H161</f>
        <v>6181.5549999999985</v>
      </c>
      <c r="E167" s="10">
        <f>'D) Ecrêtage'!M161</f>
        <v>0</v>
      </c>
      <c r="F167" s="422">
        <f>$F$10*'D) Ecrêtage'!C161</f>
        <v>154312.34622570302</v>
      </c>
      <c r="G167" s="55">
        <f t="shared" si="2"/>
        <v>160493.90122570301</v>
      </c>
    </row>
    <row r="168" spans="1:7" x14ac:dyDescent="0.25">
      <c r="A168" s="49">
        <f>'A) Base RI'!A164</f>
        <v>5663</v>
      </c>
      <c r="B168" s="291" t="str">
        <f>'A) Base RI'!B164</f>
        <v>Bussy-sur-Moudon</v>
      </c>
      <c r="C168" s="10">
        <f>'A) Base RI'!V164</f>
        <v>218</v>
      </c>
      <c r="D168" s="422">
        <f>'C) Prél. conj.'!H162</f>
        <v>22697.075000000001</v>
      </c>
      <c r="E168" s="10">
        <f>'D) Ecrêtage'!M162</f>
        <v>0</v>
      </c>
      <c r="F168" s="422">
        <f>$F$10*'D) Ecrêtage'!C162</f>
        <v>97672.576776638511</v>
      </c>
      <c r="G168" s="55">
        <f t="shared" si="2"/>
        <v>120369.65177663851</v>
      </c>
    </row>
    <row r="169" spans="1:7" x14ac:dyDescent="0.25">
      <c r="A169" s="49">
        <f>'A) Base RI'!A165</f>
        <v>5665</v>
      </c>
      <c r="B169" s="291" t="str">
        <f>'A) Base RI'!B165</f>
        <v>Chavannes-sur-Moudon</v>
      </c>
      <c r="C169" s="10">
        <f>'A) Base RI'!V165</f>
        <v>210</v>
      </c>
      <c r="D169" s="422">
        <f>'C) Prél. conj.'!H163</f>
        <v>14750.674999999999</v>
      </c>
      <c r="E169" s="10">
        <f>'D) Ecrêtage'!M163</f>
        <v>0</v>
      </c>
      <c r="F169" s="422">
        <f>$F$10*'D) Ecrêtage'!C163</f>
        <v>72460.690498516487</v>
      </c>
      <c r="G169" s="55">
        <f t="shared" si="2"/>
        <v>87211.36549851649</v>
      </c>
    </row>
    <row r="170" spans="1:7" x14ac:dyDescent="0.25">
      <c r="A170" s="49">
        <f>'A) Base RI'!A166</f>
        <v>5669</v>
      </c>
      <c r="B170" s="291" t="str">
        <f>'A) Base RI'!B166</f>
        <v>Curtilles</v>
      </c>
      <c r="C170" s="10">
        <f>'A) Base RI'!V166</f>
        <v>310</v>
      </c>
      <c r="D170" s="422">
        <f>'C) Prél. conj.'!H164</f>
        <v>7616.55</v>
      </c>
      <c r="E170" s="10">
        <f>'D) Ecrêtage'!M164</f>
        <v>0</v>
      </c>
      <c r="F170" s="422">
        <f>$F$10*'D) Ecrêtage'!C164</f>
        <v>153041.70895405498</v>
      </c>
      <c r="G170" s="55">
        <f t="shared" si="2"/>
        <v>160658.25895405497</v>
      </c>
    </row>
    <row r="171" spans="1:7" x14ac:dyDescent="0.25">
      <c r="A171" s="49">
        <f>'A) Base RI'!A167</f>
        <v>5671</v>
      </c>
      <c r="B171" s="291" t="str">
        <f>'A) Base RI'!B167</f>
        <v>Dompierre</v>
      </c>
      <c r="C171" s="10">
        <f>'A) Base RI'!V167</f>
        <v>232</v>
      </c>
      <c r="D171" s="422">
        <f>'C) Prél. conj.'!H165</f>
        <v>24007.025000000001</v>
      </c>
      <c r="E171" s="10">
        <f>'D) Ecrêtage'!M165</f>
        <v>0</v>
      </c>
      <c r="F171" s="422">
        <f>$F$10*'D) Ecrêtage'!C165</f>
        <v>100373.57080864423</v>
      </c>
      <c r="G171" s="55">
        <f t="shared" si="2"/>
        <v>124380.59580864423</v>
      </c>
    </row>
    <row r="172" spans="1:7" x14ac:dyDescent="0.25">
      <c r="A172" s="49">
        <f>'A) Base RI'!A168</f>
        <v>5673</v>
      </c>
      <c r="B172" s="291" t="str">
        <f>'A) Base RI'!B168</f>
        <v>Hermenches</v>
      </c>
      <c r="C172" s="10">
        <f>'A) Base RI'!V168</f>
        <v>367</v>
      </c>
      <c r="D172" s="422">
        <f>'C) Prél. conj.'!H166</f>
        <v>23311.829999999998</v>
      </c>
      <c r="E172" s="10">
        <f>'D) Ecrêtage'!M166</f>
        <v>0</v>
      </c>
      <c r="F172" s="422">
        <f>$F$10*'D) Ecrêtage'!C166</f>
        <v>151972.3034652264</v>
      </c>
      <c r="G172" s="55">
        <f t="shared" si="2"/>
        <v>175284.13346522639</v>
      </c>
    </row>
    <row r="173" spans="1:7" x14ac:dyDescent="0.25">
      <c r="A173" s="49">
        <f>'A) Base RI'!A169</f>
        <v>5674</v>
      </c>
      <c r="B173" s="291" t="str">
        <f>'A) Base RI'!B169</f>
        <v>Lovatens</v>
      </c>
      <c r="C173" s="10">
        <f>'A) Base RI'!V169</f>
        <v>136</v>
      </c>
      <c r="D173" s="422">
        <f>'C) Prél. conj.'!H167</f>
        <v>94.674999999999997</v>
      </c>
      <c r="E173" s="10">
        <f>'D) Ecrêtage'!M167</f>
        <v>0</v>
      </c>
      <c r="F173" s="422">
        <f>$F$10*'D) Ecrêtage'!C167</f>
        <v>49260.472982070663</v>
      </c>
      <c r="G173" s="55">
        <f t="shared" si="2"/>
        <v>49355.147982070666</v>
      </c>
    </row>
    <row r="174" spans="1:7" x14ac:dyDescent="0.25">
      <c r="A174" s="49">
        <f>'A) Base RI'!A170</f>
        <v>5675</v>
      </c>
      <c r="B174" s="291" t="str">
        <f>'A) Base RI'!B170</f>
        <v>Lucens</v>
      </c>
      <c r="C174" s="10">
        <f>'A) Base RI'!V170</f>
        <v>4220</v>
      </c>
      <c r="D174" s="422">
        <f>'C) Prél. conj.'!H168</f>
        <v>459429.995</v>
      </c>
      <c r="E174" s="10">
        <f>'D) Ecrêtage'!M168</f>
        <v>0</v>
      </c>
      <c r="F174" s="422">
        <f>$F$10*'D) Ecrêtage'!C168</f>
        <v>1489932.6323378079</v>
      </c>
      <c r="G174" s="55">
        <f t="shared" si="2"/>
        <v>1949362.6273378078</v>
      </c>
    </row>
    <row r="175" spans="1:7" x14ac:dyDescent="0.25">
      <c r="A175" s="49">
        <f>'A) Base RI'!A171</f>
        <v>5678</v>
      </c>
      <c r="B175" s="291" t="str">
        <f>'A) Base RI'!B171</f>
        <v>Moudon</v>
      </c>
      <c r="C175" s="10">
        <f>'A) Base RI'!V171</f>
        <v>6080</v>
      </c>
      <c r="D175" s="422">
        <f>'C) Prél. conj.'!H169</f>
        <v>754097.07</v>
      </c>
      <c r="E175" s="10">
        <f>'D) Ecrêtage'!M169</f>
        <v>0</v>
      </c>
      <c r="F175" s="422">
        <f>$F$10*'D) Ecrêtage'!C169</f>
        <v>1916479.1647000934</v>
      </c>
      <c r="G175" s="55">
        <f t="shared" si="2"/>
        <v>2670576.2347000935</v>
      </c>
    </row>
    <row r="176" spans="1:7" x14ac:dyDescent="0.25">
      <c r="A176" s="49">
        <f>'A) Base RI'!A172</f>
        <v>5680</v>
      </c>
      <c r="B176" s="291" t="str">
        <f>'A) Base RI'!B172</f>
        <v>Ogens</v>
      </c>
      <c r="C176" s="10">
        <f>'A) Base RI'!V172</f>
        <v>296</v>
      </c>
      <c r="D176" s="422">
        <f>'C) Prél. conj.'!H170</f>
        <v>36675.025000000001</v>
      </c>
      <c r="E176" s="10">
        <f>'D) Ecrêtage'!M170</f>
        <v>0</v>
      </c>
      <c r="F176" s="422">
        <f>$F$10*'D) Ecrêtage'!C170</f>
        <v>96903.99721987253</v>
      </c>
      <c r="G176" s="55">
        <f t="shared" si="2"/>
        <v>133579.02221987254</v>
      </c>
    </row>
    <row r="177" spans="1:7" x14ac:dyDescent="0.25">
      <c r="A177" s="49">
        <f>'A) Base RI'!A173</f>
        <v>5683</v>
      </c>
      <c r="B177" s="291" t="str">
        <f>'A) Base RI'!B173</f>
        <v>Prévonloup</v>
      </c>
      <c r="C177" s="10">
        <f>'A) Base RI'!V173</f>
        <v>194</v>
      </c>
      <c r="D177" s="422">
        <f>'C) Prél. conj.'!H171</f>
        <v>4126.6499999999996</v>
      </c>
      <c r="E177" s="10">
        <f>'D) Ecrêtage'!M171</f>
        <v>0</v>
      </c>
      <c r="F177" s="422">
        <f>$F$10*'D) Ecrêtage'!C171</f>
        <v>69828.146336333986</v>
      </c>
      <c r="G177" s="55">
        <f t="shared" si="2"/>
        <v>73954.79633633398</v>
      </c>
    </row>
    <row r="178" spans="1:7" x14ac:dyDescent="0.25">
      <c r="A178" s="49">
        <f>'A) Base RI'!A174</f>
        <v>5684</v>
      </c>
      <c r="B178" s="291" t="str">
        <f>'A) Base RI'!B174</f>
        <v>Rossenges</v>
      </c>
      <c r="C178" s="10">
        <f>'A) Base RI'!V174</f>
        <v>84</v>
      </c>
      <c r="D178" s="422">
        <f>'C) Prél. conj.'!H172</f>
        <v>0</v>
      </c>
      <c r="E178" s="10">
        <f>'D) Ecrêtage'!M172</f>
        <v>0</v>
      </c>
      <c r="F178" s="422">
        <f>$F$10*'D) Ecrêtage'!C172</f>
        <v>47525.926467217316</v>
      </c>
      <c r="G178" s="55">
        <f t="shared" si="2"/>
        <v>47525.926467217316</v>
      </c>
    </row>
    <row r="179" spans="1:7" x14ac:dyDescent="0.25">
      <c r="A179" s="49">
        <f>'A) Base RI'!A175</f>
        <v>5688</v>
      </c>
      <c r="B179" s="291" t="str">
        <f>'A) Base RI'!B175</f>
        <v>Syens</v>
      </c>
      <c r="C179" s="10">
        <f>'A) Base RI'!V175</f>
        <v>155</v>
      </c>
      <c r="D179" s="422">
        <f>'C) Prél. conj.'!H173</f>
        <v>121.59499999999998</v>
      </c>
      <c r="E179" s="10">
        <f>'D) Ecrêtage'!M173</f>
        <v>0</v>
      </c>
      <c r="F179" s="422">
        <f>$F$10*'D) Ecrêtage'!C173</f>
        <v>41741.111369121514</v>
      </c>
      <c r="G179" s="55">
        <f t="shared" si="2"/>
        <v>41862.706369121515</v>
      </c>
    </row>
    <row r="180" spans="1:7" x14ac:dyDescent="0.25">
      <c r="A180" s="49">
        <f>'A) Base RI'!A176</f>
        <v>5690</v>
      </c>
      <c r="B180" s="291" t="str">
        <f>'A) Base RI'!B176</f>
        <v>Villars-le-Comte</v>
      </c>
      <c r="C180" s="10">
        <f>'A) Base RI'!V176</f>
        <v>122</v>
      </c>
      <c r="D180" s="422">
        <f>'C) Prél. conj.'!H174</f>
        <v>11797.199999999993</v>
      </c>
      <c r="E180" s="10">
        <f>'D) Ecrêtage'!M174</f>
        <v>0</v>
      </c>
      <c r="F180" s="422">
        <f>$F$10*'D) Ecrêtage'!C174</f>
        <v>46243.823573869806</v>
      </c>
      <c r="G180" s="55">
        <f t="shared" si="2"/>
        <v>58041.023573869796</v>
      </c>
    </row>
    <row r="181" spans="1:7" x14ac:dyDescent="0.25">
      <c r="A181" s="49">
        <f>'A) Base RI'!A177</f>
        <v>5692</v>
      </c>
      <c r="B181" s="291" t="str">
        <f>'A) Base RI'!B177</f>
        <v>Vucherens</v>
      </c>
      <c r="C181" s="10">
        <f>'A) Base RI'!V177</f>
        <v>580</v>
      </c>
      <c r="D181" s="422">
        <f>'C) Prél. conj.'!H175</f>
        <v>50592.014999999999</v>
      </c>
      <c r="E181" s="10">
        <f>'D) Ecrêtage'!M175</f>
        <v>0</v>
      </c>
      <c r="F181" s="422">
        <f>$F$10*'D) Ecrêtage'!C175</f>
        <v>244967.13628442222</v>
      </c>
      <c r="G181" s="55">
        <f t="shared" si="2"/>
        <v>295559.1512844222</v>
      </c>
    </row>
    <row r="182" spans="1:7" x14ac:dyDescent="0.25">
      <c r="A182" s="49">
        <f>'A) Base RI'!A178</f>
        <v>5693</v>
      </c>
      <c r="B182" s="291" t="str">
        <f>'A) Base RI'!B178</f>
        <v>Montanaire</v>
      </c>
      <c r="C182" s="10">
        <f>'A) Base RI'!V178</f>
        <v>2717</v>
      </c>
      <c r="D182" s="422">
        <f>'C) Prél. conj.'!H176</f>
        <v>168577.74999999997</v>
      </c>
      <c r="E182" s="10">
        <f>'D) Ecrêtage'!M176</f>
        <v>0</v>
      </c>
      <c r="F182" s="422">
        <f>$F$10*'D) Ecrêtage'!C176</f>
        <v>1080680.4546437005</v>
      </c>
      <c r="G182" s="55">
        <f t="shared" si="2"/>
        <v>1249258.2046437005</v>
      </c>
    </row>
    <row r="183" spans="1:7" x14ac:dyDescent="0.25">
      <c r="A183" s="49">
        <f>'A) Base RI'!A179</f>
        <v>5701</v>
      </c>
      <c r="B183" s="291" t="str">
        <f>'A) Base RI'!B179</f>
        <v>Arnex-sur-Nyon</v>
      </c>
      <c r="C183" s="10">
        <f>'A) Base RI'!V179</f>
        <v>229</v>
      </c>
      <c r="D183" s="422">
        <f>'C) Prél. conj.'!H177</f>
        <v>21056.9</v>
      </c>
      <c r="E183" s="10">
        <f>'D) Ecrêtage'!M177</f>
        <v>22120.874900084204</v>
      </c>
      <c r="F183" s="422">
        <f>$F$10*'D) Ecrêtage'!C177</f>
        <v>185746.35514696527</v>
      </c>
      <c r="G183" s="55">
        <f t="shared" si="2"/>
        <v>228924.13004704946</v>
      </c>
    </row>
    <row r="184" spans="1:7" x14ac:dyDescent="0.25">
      <c r="A184" s="49">
        <f>'A) Base RI'!A180</f>
        <v>5702</v>
      </c>
      <c r="B184" s="291" t="str">
        <f>'A) Base RI'!B180</f>
        <v>Arzier-Le Muids</v>
      </c>
      <c r="C184" s="10">
        <f>'A) Base RI'!V180</f>
        <v>2801</v>
      </c>
      <c r="D184" s="422">
        <f>'C) Prél. conj.'!H178</f>
        <v>672152.8949999999</v>
      </c>
      <c r="E184" s="10">
        <f>'D) Ecrêtage'!M178</f>
        <v>710843.23653004121</v>
      </c>
      <c r="F184" s="422">
        <f>$F$10*'D) Ecrêtage'!C178</f>
        <v>2674994.944858368</v>
      </c>
      <c r="G184" s="55">
        <f t="shared" si="2"/>
        <v>4057991.0763884094</v>
      </c>
    </row>
    <row r="185" spans="1:7" x14ac:dyDescent="0.25">
      <c r="A185" s="49">
        <f>'A) Base RI'!A181</f>
        <v>5703</v>
      </c>
      <c r="B185" s="291" t="str">
        <f>'A) Base RI'!B181</f>
        <v>Bassins</v>
      </c>
      <c r="C185" s="10">
        <f>'A) Base RI'!V181</f>
        <v>1395</v>
      </c>
      <c r="D185" s="422">
        <f>'C) Prél. conj.'!H179</f>
        <v>175257.04499999998</v>
      </c>
      <c r="E185" s="10">
        <f>'D) Ecrêtage'!M179</f>
        <v>0</v>
      </c>
      <c r="F185" s="422">
        <f>$F$10*'D) Ecrêtage'!C179</f>
        <v>903655.92486256605</v>
      </c>
      <c r="G185" s="55">
        <f t="shared" si="2"/>
        <v>1078912.9698625661</v>
      </c>
    </row>
    <row r="186" spans="1:7" x14ac:dyDescent="0.25">
      <c r="A186" s="49">
        <f>'A) Base RI'!A182</f>
        <v>5704</v>
      </c>
      <c r="B186" s="291" t="str">
        <f>'A) Base RI'!B182</f>
        <v>Begnins</v>
      </c>
      <c r="C186" s="10">
        <f>'A) Base RI'!V182</f>
        <v>1931</v>
      </c>
      <c r="D186" s="422">
        <f>'C) Prél. conj.'!H180</f>
        <v>315307.01000000007</v>
      </c>
      <c r="E186" s="10">
        <f>'D) Ecrêtage'!M180</f>
        <v>667389.87301141955</v>
      </c>
      <c r="F186" s="422">
        <f>$F$10*'D) Ecrêtage'!C180</f>
        <v>1985752.2289797568</v>
      </c>
      <c r="G186" s="55">
        <f t="shared" si="2"/>
        <v>2968449.1119911764</v>
      </c>
    </row>
    <row r="187" spans="1:7" x14ac:dyDescent="0.25">
      <c r="A187" s="49">
        <f>'A) Base RI'!A183</f>
        <v>5705</v>
      </c>
      <c r="B187" s="291" t="str">
        <f>'A) Base RI'!B183</f>
        <v>Bogis-Bossey</v>
      </c>
      <c r="C187" s="10">
        <f>'A) Base RI'!V183</f>
        <v>825</v>
      </c>
      <c r="D187" s="422">
        <f>'C) Prél. conj.'!H181</f>
        <v>162222.67000000001</v>
      </c>
      <c r="E187" s="10">
        <f>'D) Ecrêtage'!M181</f>
        <v>157764.22435448813</v>
      </c>
      <c r="F187" s="422">
        <f>$F$10*'D) Ecrêtage'!C181</f>
        <v>726781.75158739078</v>
      </c>
      <c r="G187" s="55">
        <f t="shared" si="2"/>
        <v>1046768.6459418789</v>
      </c>
    </row>
    <row r="188" spans="1:7" x14ac:dyDescent="0.25">
      <c r="A188" s="49">
        <f>'A) Base RI'!A184</f>
        <v>5706</v>
      </c>
      <c r="B188" s="291" t="str">
        <f>'A) Base RI'!B184</f>
        <v>Borex</v>
      </c>
      <c r="C188" s="10">
        <f>'A) Base RI'!V184</f>
        <v>1132</v>
      </c>
      <c r="D188" s="422">
        <f>'C) Prél. conj.'!H182</f>
        <v>120545.37</v>
      </c>
      <c r="E188" s="10">
        <f>'D) Ecrêtage'!M182</f>
        <v>368674.07948835578</v>
      </c>
      <c r="F188" s="422">
        <f>$F$10*'D) Ecrêtage'!C182</f>
        <v>1176533.0223735347</v>
      </c>
      <c r="G188" s="55">
        <f t="shared" si="2"/>
        <v>1665752.4718618905</v>
      </c>
    </row>
    <row r="189" spans="1:7" x14ac:dyDescent="0.25">
      <c r="A189" s="49">
        <f>'A) Base RI'!A185</f>
        <v>5707</v>
      </c>
      <c r="B189" s="291" t="str">
        <f>'A) Base RI'!B185</f>
        <v>Chavannes-de-Bogis</v>
      </c>
      <c r="C189" s="10">
        <f>'A) Base RI'!V185</f>
        <v>1357</v>
      </c>
      <c r="D189" s="422">
        <f>'C) Prél. conj.'!H183</f>
        <v>382674.58999999997</v>
      </c>
      <c r="E189" s="10">
        <f>'D) Ecrêtage'!M183</f>
        <v>245133.63458404018</v>
      </c>
      <c r="F189" s="422">
        <f>$F$10*'D) Ecrêtage'!C183</f>
        <v>1233285.3707465129</v>
      </c>
      <c r="G189" s="55">
        <f t="shared" si="2"/>
        <v>1861093.5953305529</v>
      </c>
    </row>
    <row r="190" spans="1:7" x14ac:dyDescent="0.25">
      <c r="A190" s="49">
        <f>'A) Base RI'!A186</f>
        <v>5708</v>
      </c>
      <c r="B190" s="291" t="str">
        <f>'A) Base RI'!B186</f>
        <v>Chavannes-des-Bois</v>
      </c>
      <c r="C190" s="10">
        <f>'A) Base RI'!V186</f>
        <v>960</v>
      </c>
      <c r="D190" s="422">
        <f>'C) Prél. conj.'!H184</f>
        <v>239083.16499999998</v>
      </c>
      <c r="E190" s="10">
        <f>'D) Ecrêtage'!M184</f>
        <v>358407.6096625207</v>
      </c>
      <c r="F190" s="422">
        <f>$F$10*'D) Ecrêtage'!C184</f>
        <v>991636.99391515378</v>
      </c>
      <c r="G190" s="55">
        <f t="shared" si="2"/>
        <v>1589127.7685776744</v>
      </c>
    </row>
    <row r="191" spans="1:7" x14ac:dyDescent="0.25">
      <c r="A191" s="49">
        <f>'A) Base RI'!A187</f>
        <v>5709</v>
      </c>
      <c r="B191" s="291" t="str">
        <f>'A) Base RI'!B187</f>
        <v>Chéserex</v>
      </c>
      <c r="C191" s="10">
        <f>'A) Base RI'!V187</f>
        <v>1238</v>
      </c>
      <c r="D191" s="422">
        <f>'C) Prél. conj.'!H185</f>
        <v>315315.39</v>
      </c>
      <c r="E191" s="10">
        <f>'D) Ecrêtage'!M185</f>
        <v>678318.53024272493</v>
      </c>
      <c r="F191" s="422">
        <f>$F$10*'D) Ecrêtage'!C185</f>
        <v>1482168.1439285206</v>
      </c>
      <c r="G191" s="55">
        <f t="shared" si="2"/>
        <v>2475802.0641712453</v>
      </c>
    </row>
    <row r="192" spans="1:7" x14ac:dyDescent="0.25">
      <c r="A192" s="49">
        <f>'A) Base RI'!A188</f>
        <v>5710</v>
      </c>
      <c r="B192" s="291" t="str">
        <f>'A) Base RI'!B188</f>
        <v>Coinsins</v>
      </c>
      <c r="C192" s="10">
        <f>'A) Base RI'!V188</f>
        <v>494</v>
      </c>
      <c r="D192" s="422">
        <f>'C) Prél. conj.'!H186</f>
        <v>75543.37</v>
      </c>
      <c r="E192" s="10">
        <f>'D) Ecrêtage'!M186</f>
        <v>2447522.907308165</v>
      </c>
      <c r="F192" s="422">
        <f>$F$10*'D) Ecrêtage'!C186</f>
        <v>1789692.588141581</v>
      </c>
      <c r="G192" s="55">
        <f t="shared" si="2"/>
        <v>4312758.8654497461</v>
      </c>
    </row>
    <row r="193" spans="1:7" x14ac:dyDescent="0.25">
      <c r="A193" s="49">
        <f>'A) Base RI'!A189</f>
        <v>5711</v>
      </c>
      <c r="B193" s="291" t="str">
        <f>'A) Base RI'!B189</f>
        <v>Commugny</v>
      </c>
      <c r="C193" s="10">
        <f>'A) Base RI'!V189</f>
        <v>2935</v>
      </c>
      <c r="D193" s="422">
        <f>'C) Prél. conj.'!H187</f>
        <v>693631.09000000008</v>
      </c>
      <c r="E193" s="10">
        <f>'D) Ecrêtage'!M187</f>
        <v>2252827.3398996117</v>
      </c>
      <c r="F193" s="422">
        <f>$F$10*'D) Ecrêtage'!C187</f>
        <v>3947421.4349577315</v>
      </c>
      <c r="G193" s="55">
        <f t="shared" si="2"/>
        <v>6893879.864857343</v>
      </c>
    </row>
    <row r="194" spans="1:7" x14ac:dyDescent="0.25">
      <c r="A194" s="49">
        <f>'A) Base RI'!A190</f>
        <v>5712</v>
      </c>
      <c r="B194" s="291" t="str">
        <f>'A) Base RI'!B190</f>
        <v>Coppet</v>
      </c>
      <c r="C194" s="10">
        <f>'A) Base RI'!V190</f>
        <v>3211</v>
      </c>
      <c r="D194" s="422">
        <f>'C) Prél. conj.'!H188</f>
        <v>1148127.75</v>
      </c>
      <c r="E194" s="10">
        <f>'D) Ecrêtage'!M188</f>
        <v>5078771.1030339925</v>
      </c>
      <c r="F194" s="422">
        <f>$F$10*'D) Ecrêtage'!C188</f>
        <v>5973414.749017084</v>
      </c>
      <c r="G194" s="55">
        <f t="shared" si="2"/>
        <v>12200313.602051076</v>
      </c>
    </row>
    <row r="195" spans="1:7" x14ac:dyDescent="0.25">
      <c r="A195" s="49">
        <f>'A) Base RI'!A191</f>
        <v>5713</v>
      </c>
      <c r="B195" s="291" t="str">
        <f>'A) Base RI'!B191</f>
        <v>Crans-près-Céligny</v>
      </c>
      <c r="C195" s="10">
        <f>'A) Base RI'!V191</f>
        <v>2286</v>
      </c>
      <c r="D195" s="422">
        <f>'C) Prél. conj.'!H189</f>
        <v>537325.255</v>
      </c>
      <c r="E195" s="10">
        <f>'D) Ecrêtage'!M189</f>
        <v>4053771.0773769803</v>
      </c>
      <c r="F195" s="422">
        <f>$F$10*'D) Ecrêtage'!C189</f>
        <v>4380445.159266023</v>
      </c>
      <c r="G195" s="55">
        <f t="shared" si="2"/>
        <v>8971541.4916430041</v>
      </c>
    </row>
    <row r="196" spans="1:7" x14ac:dyDescent="0.25">
      <c r="A196" s="49">
        <f>'A) Base RI'!A192</f>
        <v>5714</v>
      </c>
      <c r="B196" s="291" t="str">
        <f>'A) Base RI'!B192</f>
        <v>Crassier</v>
      </c>
      <c r="C196" s="10">
        <f>'A) Base RI'!V192</f>
        <v>1169</v>
      </c>
      <c r="D196" s="422">
        <f>'C) Prél. conj.'!H190</f>
        <v>176756.95</v>
      </c>
      <c r="E196" s="10">
        <f>'D) Ecrêtage'!M190</f>
        <v>246940.72254043975</v>
      </c>
      <c r="F196" s="422">
        <f>$F$10*'D) Ecrêtage'!C190</f>
        <v>1065097.1634584588</v>
      </c>
      <c r="G196" s="55">
        <f t="shared" si="2"/>
        <v>1488794.8359988986</v>
      </c>
    </row>
    <row r="197" spans="1:7" x14ac:dyDescent="0.25">
      <c r="A197" s="49">
        <f>'A) Base RI'!A193</f>
        <v>5715</v>
      </c>
      <c r="B197" s="291" t="str">
        <f>'A) Base RI'!B193</f>
        <v>Duillier</v>
      </c>
      <c r="C197" s="10">
        <f>'A) Base RI'!V193</f>
        <v>1090</v>
      </c>
      <c r="D197" s="422">
        <f>'C) Prél. conj.'!H191</f>
        <v>167086.88500000001</v>
      </c>
      <c r="E197" s="10">
        <f>'D) Ecrêtage'!M191</f>
        <v>328173.04679143871</v>
      </c>
      <c r="F197" s="422">
        <f>$F$10*'D) Ecrêtage'!C191</f>
        <v>1074191.7931756151</v>
      </c>
      <c r="G197" s="55">
        <f t="shared" si="2"/>
        <v>1569451.7249670539</v>
      </c>
    </row>
    <row r="198" spans="1:7" x14ac:dyDescent="0.25">
      <c r="A198" s="49">
        <f>'A) Base RI'!A194</f>
        <v>5716</v>
      </c>
      <c r="B198" s="291" t="str">
        <f>'A) Base RI'!B194</f>
        <v>Eysins</v>
      </c>
      <c r="C198" s="10">
        <f>'A) Base RI'!V194</f>
        <v>1737</v>
      </c>
      <c r="D198" s="422">
        <f>'C) Prél. conj.'!H192</f>
        <v>407066.43499999994</v>
      </c>
      <c r="E198" s="10">
        <f>'D) Ecrêtage'!M192</f>
        <v>3304704.3237426495</v>
      </c>
      <c r="F198" s="422">
        <f>$F$10*'D) Ecrêtage'!C192</f>
        <v>3303039.2122189724</v>
      </c>
      <c r="G198" s="55">
        <f t="shared" si="2"/>
        <v>7014809.970961622</v>
      </c>
    </row>
    <row r="199" spans="1:7" x14ac:dyDescent="0.25">
      <c r="A199" s="49">
        <f>'A) Base RI'!A195</f>
        <v>5717</v>
      </c>
      <c r="B199" s="291" t="str">
        <f>'A) Base RI'!B195</f>
        <v>Founex</v>
      </c>
      <c r="C199" s="10">
        <f>'A) Base RI'!V195</f>
        <v>3772</v>
      </c>
      <c r="D199" s="422">
        <f>'C) Prél. conj.'!H193</f>
        <v>1243631.415</v>
      </c>
      <c r="E199" s="10">
        <f>'D) Ecrêtage'!M193</f>
        <v>3212665.5476525007</v>
      </c>
      <c r="F199" s="422">
        <f>$F$10*'D) Ecrêtage'!C193</f>
        <v>5286579.6006731335</v>
      </c>
      <c r="G199" s="55">
        <f t="shared" si="2"/>
        <v>9742876.5633256342</v>
      </c>
    </row>
    <row r="200" spans="1:7" x14ac:dyDescent="0.25">
      <c r="A200" s="49">
        <f>'A) Base RI'!A196</f>
        <v>5718</v>
      </c>
      <c r="B200" s="291" t="str">
        <f>'A) Base RI'!B196</f>
        <v>Genolier</v>
      </c>
      <c r="C200" s="10">
        <f>'A) Base RI'!V196</f>
        <v>2000</v>
      </c>
      <c r="D200" s="422">
        <f>'C) Prél. conj.'!H194</f>
        <v>798637.37999999989</v>
      </c>
      <c r="E200" s="10">
        <f>'D) Ecrêtage'!M194</f>
        <v>1367853.819562414</v>
      </c>
      <c r="F200" s="422">
        <f>$F$10*'D) Ecrêtage'!C194</f>
        <v>2610841.6045515081</v>
      </c>
      <c r="G200" s="55">
        <f t="shared" si="2"/>
        <v>4777332.8041139217</v>
      </c>
    </row>
    <row r="201" spans="1:7" x14ac:dyDescent="0.25">
      <c r="A201" s="49">
        <f>'A) Base RI'!A197</f>
        <v>5719</v>
      </c>
      <c r="B201" s="291" t="str">
        <f>'A) Base RI'!B197</f>
        <v>Gingins</v>
      </c>
      <c r="C201" s="10">
        <f>'A) Base RI'!V197</f>
        <v>1239</v>
      </c>
      <c r="D201" s="422">
        <f>'C) Prél. conj.'!H195</f>
        <v>193849.31999999998</v>
      </c>
      <c r="E201" s="10">
        <f>'D) Ecrêtage'!M195</f>
        <v>1879691.505561539</v>
      </c>
      <c r="F201" s="422">
        <f>$F$10*'D) Ecrêtage'!C195</f>
        <v>2182292.9001355646</v>
      </c>
      <c r="G201" s="55">
        <f t="shared" si="2"/>
        <v>4255833.7256971039</v>
      </c>
    </row>
    <row r="202" spans="1:7" x14ac:dyDescent="0.25">
      <c r="A202" s="49">
        <f>'A) Base RI'!A198</f>
        <v>5720</v>
      </c>
      <c r="B202" s="291" t="str">
        <f>'A) Base RI'!B198</f>
        <v>Givrins</v>
      </c>
      <c r="C202" s="10">
        <f>'A) Base RI'!V198</f>
        <v>1032</v>
      </c>
      <c r="D202" s="422">
        <f>'C) Prél. conj.'!H196</f>
        <v>293565.15500000003</v>
      </c>
      <c r="E202" s="10">
        <f>'D) Ecrêtage'!M196</f>
        <v>713868.70607548044</v>
      </c>
      <c r="F202" s="422">
        <f>$F$10*'D) Ecrêtage'!C196</f>
        <v>1263698.733103551</v>
      </c>
      <c r="G202" s="55">
        <f t="shared" si="2"/>
        <v>2271132.5941790314</v>
      </c>
    </row>
    <row r="203" spans="1:7" x14ac:dyDescent="0.25">
      <c r="A203" s="49">
        <f>'A) Base RI'!A199</f>
        <v>5721</v>
      </c>
      <c r="B203" s="291" t="str">
        <f>'A) Base RI'!B199</f>
        <v>Gland</v>
      </c>
      <c r="C203" s="10">
        <f>'A) Base RI'!V199</f>
        <v>13194</v>
      </c>
      <c r="D203" s="422">
        <f>'C) Prél. conj.'!H197</f>
        <v>2271745.9249999998</v>
      </c>
      <c r="E203" s="10">
        <f>'D) Ecrêtage'!M197</f>
        <v>637183.86972109438</v>
      </c>
      <c r="F203" s="422">
        <f>$F$10*'D) Ecrêtage'!C197</f>
        <v>10087645.644569829</v>
      </c>
      <c r="G203" s="55">
        <f t="shared" ref="G203:G266" si="3">D203+F203+E203</f>
        <v>12996575.439290924</v>
      </c>
    </row>
    <row r="204" spans="1:7" x14ac:dyDescent="0.25">
      <c r="A204" s="49">
        <f>'A) Base RI'!A200</f>
        <v>5722</v>
      </c>
      <c r="B204" s="291" t="str">
        <f>'A) Base RI'!B200</f>
        <v>Grens</v>
      </c>
      <c r="C204" s="10">
        <f>'A) Base RI'!V200</f>
        <v>383</v>
      </c>
      <c r="D204" s="422">
        <f>'C) Prél. conj.'!H198</f>
        <v>68932.040000000008</v>
      </c>
      <c r="E204" s="10">
        <f>'D) Ecrêtage'!M198</f>
        <v>32770.192534419199</v>
      </c>
      <c r="F204" s="422">
        <f>$F$10*'D) Ecrêtage'!C198</f>
        <v>310660.59409362625</v>
      </c>
      <c r="G204" s="55">
        <f t="shared" si="3"/>
        <v>412362.82662804547</v>
      </c>
    </row>
    <row r="205" spans="1:7" x14ac:dyDescent="0.25">
      <c r="A205" s="49">
        <f>'A) Base RI'!A201</f>
        <v>5723</v>
      </c>
      <c r="B205" s="291" t="str">
        <f>'A) Base RI'!B201</f>
        <v>Mies</v>
      </c>
      <c r="C205" s="10">
        <f>'A) Base RI'!V201</f>
        <v>2116</v>
      </c>
      <c r="D205" s="422">
        <f>'C) Prél. conj.'!H199</f>
        <v>552865.72499999998</v>
      </c>
      <c r="E205" s="10">
        <f>'D) Ecrêtage'!M199</f>
        <v>1753044.1308878108</v>
      </c>
      <c r="F205" s="422">
        <f>$F$10*'D) Ecrêtage'!C199</f>
        <v>3014220.196415876</v>
      </c>
      <c r="G205" s="55">
        <f t="shared" si="3"/>
        <v>5320130.0523036867</v>
      </c>
    </row>
    <row r="206" spans="1:7" x14ac:dyDescent="0.25">
      <c r="A206" s="49">
        <f>'A) Base RI'!A202</f>
        <v>5724</v>
      </c>
      <c r="B206" s="291" t="str">
        <f>'A) Base RI'!B202</f>
        <v>Nyon</v>
      </c>
      <c r="C206" s="10">
        <f>'A) Base RI'!V202</f>
        <v>21416</v>
      </c>
      <c r="D206" s="422">
        <f>'C) Prél. conj.'!H200</f>
        <v>5582764.585</v>
      </c>
      <c r="E206" s="10">
        <f>'D) Ecrêtage'!M200</f>
        <v>6120366.5526711075</v>
      </c>
      <c r="F206" s="422">
        <f>$F$10*'D) Ecrêtage'!C200</f>
        <v>21240294.877302833</v>
      </c>
      <c r="G206" s="55">
        <f t="shared" si="3"/>
        <v>32943426.014973942</v>
      </c>
    </row>
    <row r="207" spans="1:7" x14ac:dyDescent="0.25">
      <c r="A207" s="49">
        <f>'A) Base RI'!A203</f>
        <v>5725</v>
      </c>
      <c r="B207" s="291" t="str">
        <f>'A) Base RI'!B203</f>
        <v>Prangins</v>
      </c>
      <c r="C207" s="10">
        <f>'A) Base RI'!V203</f>
        <v>4088</v>
      </c>
      <c r="D207" s="422">
        <f>'C) Prél. conj.'!H201</f>
        <v>1643919.01</v>
      </c>
      <c r="E207" s="10">
        <f>'D) Ecrêtage'!M201</f>
        <v>2728286.604562541</v>
      </c>
      <c r="F207" s="422">
        <f>$F$10*'D) Ecrêtage'!C201</f>
        <v>5255486.5721418979</v>
      </c>
      <c r="G207" s="55">
        <f t="shared" si="3"/>
        <v>9627692.1867044382</v>
      </c>
    </row>
    <row r="208" spans="1:7" x14ac:dyDescent="0.25">
      <c r="A208" s="49">
        <f>'A) Base RI'!A204</f>
        <v>5726</v>
      </c>
      <c r="B208" s="291" t="str">
        <f>'A) Base RI'!B204</f>
        <v>La Rippe</v>
      </c>
      <c r="C208" s="10">
        <f>'A) Base RI'!V204</f>
        <v>1136</v>
      </c>
      <c r="D208" s="422">
        <f>'C) Prél. conj.'!H202</f>
        <v>133248.46</v>
      </c>
      <c r="E208" s="10">
        <f>'D) Ecrêtage'!M202</f>
        <v>117030.44377647125</v>
      </c>
      <c r="F208" s="422">
        <f>$F$10*'D) Ecrêtage'!C202</f>
        <v>939281.21386442392</v>
      </c>
      <c r="G208" s="55">
        <f t="shared" si="3"/>
        <v>1189560.1176408953</v>
      </c>
    </row>
    <row r="209" spans="1:7" x14ac:dyDescent="0.25">
      <c r="A209" s="49">
        <f>'A) Base RI'!A205</f>
        <v>5727</v>
      </c>
      <c r="B209" s="291" t="str">
        <f>'A) Base RI'!B205</f>
        <v>Saint-Cergue</v>
      </c>
      <c r="C209" s="10">
        <f>'A) Base RI'!V205</f>
        <v>2603</v>
      </c>
      <c r="D209" s="422">
        <f>'C) Prél. conj.'!H203</f>
        <v>371835.31499999994</v>
      </c>
      <c r="E209" s="10">
        <f>'D) Ecrêtage'!M203</f>
        <v>0</v>
      </c>
      <c r="F209" s="422">
        <f>$F$10*'D) Ecrêtage'!C203</f>
        <v>1472469.977112202</v>
      </c>
      <c r="G209" s="55">
        <f t="shared" si="3"/>
        <v>1844305.2921122019</v>
      </c>
    </row>
    <row r="210" spans="1:7" x14ac:dyDescent="0.25">
      <c r="A210" s="49">
        <f>'A) Base RI'!A206</f>
        <v>5728</v>
      </c>
      <c r="B210" s="291" t="str">
        <f>'A) Base RI'!B206</f>
        <v>Signy-Avenex</v>
      </c>
      <c r="C210" s="10">
        <f>'A) Base RI'!V206</f>
        <v>586</v>
      </c>
      <c r="D210" s="422">
        <f>'C) Prél. conj.'!H204</f>
        <v>107279.465</v>
      </c>
      <c r="E210" s="10">
        <f>'D) Ecrêtage'!M204</f>
        <v>272630.46687812783</v>
      </c>
      <c r="F210" s="422">
        <f>$F$10*'D) Ecrêtage'!C204</f>
        <v>665833.55001809273</v>
      </c>
      <c r="G210" s="55">
        <f t="shared" si="3"/>
        <v>1045743.4818962205</v>
      </c>
    </row>
    <row r="211" spans="1:7" x14ac:dyDescent="0.25">
      <c r="A211" s="49">
        <f>'A) Base RI'!A207</f>
        <v>5729</v>
      </c>
      <c r="B211" s="291" t="str">
        <f>'A) Base RI'!B207</f>
        <v>Tannay</v>
      </c>
      <c r="C211" s="10">
        <f>'A) Base RI'!V207</f>
        <v>1600</v>
      </c>
      <c r="D211" s="422">
        <f>'C) Prél. conj.'!H205</f>
        <v>477620.98000000004</v>
      </c>
      <c r="E211" s="10">
        <f>'D) Ecrêtage'!M205</f>
        <v>2383875.986148614</v>
      </c>
      <c r="F211" s="422">
        <f>$F$10*'D) Ecrêtage'!C205</f>
        <v>2710637.2378346436</v>
      </c>
      <c r="G211" s="55">
        <f t="shared" si="3"/>
        <v>5572134.2039832575</v>
      </c>
    </row>
    <row r="212" spans="1:7" x14ac:dyDescent="0.25">
      <c r="A212" s="49">
        <f>'A) Base RI'!A208</f>
        <v>5730</v>
      </c>
      <c r="B212" s="291" t="str">
        <f>'A) Base RI'!B208</f>
        <v>Trélex</v>
      </c>
      <c r="C212" s="10">
        <f>'A) Base RI'!V208</f>
        <v>1434</v>
      </c>
      <c r="D212" s="422">
        <f>'C) Prél. conj.'!H206</f>
        <v>262900.51500000001</v>
      </c>
      <c r="E212" s="10">
        <f>'D) Ecrêtage'!M206</f>
        <v>1310910.4851952374</v>
      </c>
      <c r="F212" s="422">
        <f>$F$10*'D) Ecrêtage'!C206</f>
        <v>2060591.0582806927</v>
      </c>
      <c r="G212" s="55">
        <f t="shared" si="3"/>
        <v>3634402.0584759302</v>
      </c>
    </row>
    <row r="213" spans="1:7" x14ac:dyDescent="0.25">
      <c r="A213" s="49">
        <f>'A) Base RI'!A209</f>
        <v>5731</v>
      </c>
      <c r="B213" s="291" t="str">
        <f>'A) Base RI'!B209</f>
        <v>Le Vaud</v>
      </c>
      <c r="C213" s="10">
        <f>'A) Base RI'!V209</f>
        <v>1362</v>
      </c>
      <c r="D213" s="422">
        <f>'C) Prél. conj.'!H207</f>
        <v>370987.29000000004</v>
      </c>
      <c r="E213" s="10">
        <f>'D) Ecrêtage'!M207</f>
        <v>0</v>
      </c>
      <c r="F213" s="422">
        <f>$F$10*'D) Ecrêtage'!C207</f>
        <v>949898.3576856564</v>
      </c>
      <c r="G213" s="55">
        <f t="shared" si="3"/>
        <v>1320885.6476856563</v>
      </c>
    </row>
    <row r="214" spans="1:7" x14ac:dyDescent="0.25">
      <c r="A214" s="49">
        <f>'A) Base RI'!A210</f>
        <v>5732</v>
      </c>
      <c r="B214" s="291" t="str">
        <f>'A) Base RI'!B210</f>
        <v>Vich</v>
      </c>
      <c r="C214" s="10">
        <f>'A) Base RI'!V210</f>
        <v>1083</v>
      </c>
      <c r="D214" s="422">
        <f>'C) Prél. conj.'!H208</f>
        <v>206967.285</v>
      </c>
      <c r="E214" s="10">
        <f>'D) Ecrêtage'!M208</f>
        <v>187119.25398573</v>
      </c>
      <c r="F214" s="422">
        <f>$F$10*'D) Ecrêtage'!C208</f>
        <v>959694.53254742222</v>
      </c>
      <c r="G214" s="55">
        <f t="shared" si="3"/>
        <v>1353781.0715331521</v>
      </c>
    </row>
    <row r="215" spans="1:7" x14ac:dyDescent="0.25">
      <c r="A215" s="49">
        <f>'A) Base RI'!A211</f>
        <v>5741</v>
      </c>
      <c r="B215" s="291" t="str">
        <f>'A) Base RI'!B211</f>
        <v>L'Abergement</v>
      </c>
      <c r="C215" s="10">
        <f>'A) Base RI'!V211</f>
        <v>244</v>
      </c>
      <c r="D215" s="422">
        <f>'C) Prél. conj.'!H209</f>
        <v>23870.535</v>
      </c>
      <c r="E215" s="10">
        <f>'D) Ecrêtage'!M209</f>
        <v>0</v>
      </c>
      <c r="F215" s="422">
        <f>$F$10*'D) Ecrêtage'!C209</f>
        <v>109420.90923130192</v>
      </c>
      <c r="G215" s="55">
        <f t="shared" si="3"/>
        <v>133291.44423130192</v>
      </c>
    </row>
    <row r="216" spans="1:7" x14ac:dyDescent="0.25">
      <c r="A216" s="49">
        <f>'A) Base RI'!A212</f>
        <v>5742</v>
      </c>
      <c r="B216" s="291" t="str">
        <f>'A) Base RI'!B212</f>
        <v>Agiez</v>
      </c>
      <c r="C216" s="10">
        <f>'A) Base RI'!V212</f>
        <v>354</v>
      </c>
      <c r="D216" s="422">
        <f>'C) Prél. conj.'!H210</f>
        <v>33456.425000000003</v>
      </c>
      <c r="E216" s="10">
        <f>'D) Ecrêtage'!M210</f>
        <v>0</v>
      </c>
      <c r="F216" s="422">
        <f>$F$10*'D) Ecrêtage'!C210</f>
        <v>138185.55618854697</v>
      </c>
      <c r="G216" s="55">
        <f t="shared" si="3"/>
        <v>171641.98118854698</v>
      </c>
    </row>
    <row r="217" spans="1:7" x14ac:dyDescent="0.25">
      <c r="A217" s="49">
        <f>'A) Base RI'!A213</f>
        <v>5743</v>
      </c>
      <c r="B217" s="291" t="str">
        <f>'A) Base RI'!B213</f>
        <v>Arnex-sur-Orbe</v>
      </c>
      <c r="C217" s="10">
        <f>'A) Base RI'!V213</f>
        <v>633</v>
      </c>
      <c r="D217" s="422">
        <f>'C) Prél. conj.'!H211</f>
        <v>108870.48</v>
      </c>
      <c r="E217" s="10">
        <f>'D) Ecrêtage'!M211</f>
        <v>0</v>
      </c>
      <c r="F217" s="422">
        <f>$F$10*'D) Ecrêtage'!C211</f>
        <v>291101.26212419255</v>
      </c>
      <c r="G217" s="55">
        <f t="shared" si="3"/>
        <v>399971.74212419253</v>
      </c>
    </row>
    <row r="218" spans="1:7" x14ac:dyDescent="0.25">
      <c r="A218" s="49">
        <f>'A) Base RI'!A214</f>
        <v>5744</v>
      </c>
      <c r="B218" s="291" t="str">
        <f>'A) Base RI'!B214</f>
        <v>Ballaigues</v>
      </c>
      <c r="C218" s="10">
        <f>'A) Base RI'!V214</f>
        <v>1108</v>
      </c>
      <c r="D218" s="422">
        <f>'C) Prél. conj.'!H212</f>
        <v>559842.86499999999</v>
      </c>
      <c r="E218" s="10">
        <f>'D) Ecrêtage'!M212</f>
        <v>117276.32065170346</v>
      </c>
      <c r="F218" s="422">
        <f>$F$10*'D) Ecrêtage'!C212</f>
        <v>917726.33120053785</v>
      </c>
      <c r="G218" s="55">
        <f t="shared" si="3"/>
        <v>1594845.5168522415</v>
      </c>
    </row>
    <row r="219" spans="1:7" x14ac:dyDescent="0.25">
      <c r="A219" s="49">
        <f>'A) Base RI'!A215</f>
        <v>5745</v>
      </c>
      <c r="B219" s="291" t="str">
        <f>'A) Base RI'!B215</f>
        <v>Baulmes</v>
      </c>
      <c r="C219" s="10">
        <f>'A) Base RI'!V215</f>
        <v>1042</v>
      </c>
      <c r="D219" s="422">
        <f>'C) Prél. conj.'!H213</f>
        <v>115243.86</v>
      </c>
      <c r="E219" s="10">
        <f>'D) Ecrêtage'!M213</f>
        <v>0</v>
      </c>
      <c r="F219" s="422">
        <f>$F$10*'D) Ecrêtage'!C213</f>
        <v>424545.23523380165</v>
      </c>
      <c r="G219" s="55">
        <f t="shared" si="3"/>
        <v>539789.09523380164</v>
      </c>
    </row>
    <row r="220" spans="1:7" x14ac:dyDescent="0.25">
      <c r="A220" s="49">
        <f>'A) Base RI'!A216</f>
        <v>5746</v>
      </c>
      <c r="B220" s="291" t="str">
        <f>'A) Base RI'!B216</f>
        <v>Bavois</v>
      </c>
      <c r="C220" s="10">
        <f>'A) Base RI'!V216</f>
        <v>952</v>
      </c>
      <c r="D220" s="422">
        <f>'C) Prél. conj.'!H214</f>
        <v>104863.715</v>
      </c>
      <c r="E220" s="10">
        <f>'D) Ecrêtage'!M214</f>
        <v>0</v>
      </c>
      <c r="F220" s="422">
        <f>$F$10*'D) Ecrêtage'!C214</f>
        <v>401877.58054744022</v>
      </c>
      <c r="G220" s="55">
        <f t="shared" si="3"/>
        <v>506741.29554744018</v>
      </c>
    </row>
    <row r="221" spans="1:7" x14ac:dyDescent="0.25">
      <c r="A221" s="49">
        <f>'A) Base RI'!A217</f>
        <v>5747</v>
      </c>
      <c r="B221" s="291" t="str">
        <f>'A) Base RI'!B217</f>
        <v>Bofflens</v>
      </c>
      <c r="C221" s="10">
        <f>'A) Base RI'!V217</f>
        <v>194</v>
      </c>
      <c r="D221" s="422">
        <f>'C) Prél. conj.'!H215</f>
        <v>7085.7250000000004</v>
      </c>
      <c r="E221" s="10">
        <f>'D) Ecrêtage'!M215</f>
        <v>0</v>
      </c>
      <c r="F221" s="422">
        <f>$F$10*'D) Ecrêtage'!C215</f>
        <v>90752.779869327191</v>
      </c>
      <c r="G221" s="55">
        <f t="shared" si="3"/>
        <v>97838.504869327197</v>
      </c>
    </row>
    <row r="222" spans="1:7" x14ac:dyDescent="0.25">
      <c r="A222" s="49">
        <f>'A) Base RI'!A218</f>
        <v>5748</v>
      </c>
      <c r="B222" s="291" t="str">
        <f>'A) Base RI'!B218</f>
        <v>Bretonnières</v>
      </c>
      <c r="C222" s="10">
        <f>'A) Base RI'!V218</f>
        <v>269</v>
      </c>
      <c r="D222" s="422">
        <f>'C) Prél. conj.'!H216</f>
        <v>16274.684999999999</v>
      </c>
      <c r="E222" s="10">
        <f>'D) Ecrêtage'!M216</f>
        <v>0</v>
      </c>
      <c r="F222" s="422">
        <f>$F$10*'D) Ecrêtage'!C216</f>
        <v>112081.38956764787</v>
      </c>
      <c r="G222" s="55">
        <f t="shared" si="3"/>
        <v>128356.07456764787</v>
      </c>
    </row>
    <row r="223" spans="1:7" x14ac:dyDescent="0.25">
      <c r="A223" s="49">
        <f>'A) Base RI'!A219</f>
        <v>5749</v>
      </c>
      <c r="B223" s="291" t="str">
        <f>'A) Base RI'!B219</f>
        <v>Chavornay</v>
      </c>
      <c r="C223" s="10">
        <f>'A) Base RI'!V219</f>
        <v>5135</v>
      </c>
      <c r="D223" s="422">
        <f>'C) Prél. conj.'!H217</f>
        <v>614202.91</v>
      </c>
      <c r="E223" s="10">
        <f>'D) Ecrêtage'!M217</f>
        <v>0</v>
      </c>
      <c r="F223" s="422">
        <f>$F$10*'D) Ecrêtage'!C217</f>
        <v>2030654.8457078475</v>
      </c>
      <c r="G223" s="55">
        <f t="shared" si="3"/>
        <v>2644857.7557078474</v>
      </c>
    </row>
    <row r="224" spans="1:7" x14ac:dyDescent="0.25">
      <c r="A224" s="49">
        <f>'A) Base RI'!A220</f>
        <v>5750</v>
      </c>
      <c r="B224" s="291" t="str">
        <f>'A) Base RI'!B220</f>
        <v>Les Clées</v>
      </c>
      <c r="C224" s="10">
        <f>'A) Base RI'!V220</f>
        <v>185</v>
      </c>
      <c r="D224" s="422">
        <f>'C) Prél. conj.'!H218</f>
        <v>3734.03</v>
      </c>
      <c r="E224" s="10">
        <f>'D) Ecrêtage'!M218</f>
        <v>0</v>
      </c>
      <c r="F224" s="422">
        <f>$F$10*'D) Ecrêtage'!C218</f>
        <v>77364.048946985902</v>
      </c>
      <c r="G224" s="55">
        <f t="shared" si="3"/>
        <v>81098.078946985901</v>
      </c>
    </row>
    <row r="225" spans="1:7" x14ac:dyDescent="0.25">
      <c r="A225" s="49">
        <f>'A) Base RI'!A221</f>
        <v>5752</v>
      </c>
      <c r="B225" s="291" t="str">
        <f>'A) Base RI'!B221</f>
        <v>Croy</v>
      </c>
      <c r="C225" s="10">
        <f>'A) Base RI'!V221</f>
        <v>403</v>
      </c>
      <c r="D225" s="422">
        <f>'C) Prél. conj.'!H219</f>
        <v>24690.09</v>
      </c>
      <c r="E225" s="10">
        <f>'D) Ecrêtage'!M219</f>
        <v>0</v>
      </c>
      <c r="F225" s="422">
        <f>$F$10*'D) Ecrêtage'!C219</f>
        <v>148857.92959547037</v>
      </c>
      <c r="G225" s="55">
        <f t="shared" si="3"/>
        <v>173548.01959547037</v>
      </c>
    </row>
    <row r="226" spans="1:7" x14ac:dyDescent="0.25">
      <c r="A226" s="49">
        <f>'A) Base RI'!A222</f>
        <v>5754</v>
      </c>
      <c r="B226" s="291" t="str">
        <f>'A) Base RI'!B222</f>
        <v>Juriens</v>
      </c>
      <c r="C226" s="10">
        <f>'A) Base RI'!V222</f>
        <v>328</v>
      </c>
      <c r="D226" s="422">
        <f>'C) Prél. conj.'!H220</f>
        <v>2915.22</v>
      </c>
      <c r="E226" s="10">
        <f>'D) Ecrêtage'!M220</f>
        <v>0</v>
      </c>
      <c r="F226" s="422">
        <f>$F$10*'D) Ecrêtage'!C220</f>
        <v>141615.9646276203</v>
      </c>
      <c r="G226" s="55">
        <f t="shared" si="3"/>
        <v>144531.1846276203</v>
      </c>
    </row>
    <row r="227" spans="1:7" x14ac:dyDescent="0.25">
      <c r="A227" s="49">
        <f>'A) Base RI'!A223</f>
        <v>5755</v>
      </c>
      <c r="B227" s="291" t="str">
        <f>'A) Base RI'!B223</f>
        <v>Lignerolle</v>
      </c>
      <c r="C227" s="10">
        <f>'A) Base RI'!V223</f>
        <v>437</v>
      </c>
      <c r="D227" s="422">
        <f>'C) Prél. conj.'!H221</f>
        <v>57028.61</v>
      </c>
      <c r="E227" s="10">
        <f>'D) Ecrêtage'!M221</f>
        <v>0</v>
      </c>
      <c r="F227" s="422">
        <f>$F$10*'D) Ecrêtage'!C221</f>
        <v>150489.79883650519</v>
      </c>
      <c r="G227" s="55">
        <f t="shared" si="3"/>
        <v>207518.4088365052</v>
      </c>
    </row>
    <row r="228" spans="1:7" x14ac:dyDescent="0.25">
      <c r="A228" s="49">
        <f>'A) Base RI'!A224</f>
        <v>5756</v>
      </c>
      <c r="B228" s="291" t="str">
        <f>'A) Base RI'!B224</f>
        <v>Montcherand</v>
      </c>
      <c r="C228" s="10">
        <f>'A) Base RI'!V224</f>
        <v>505</v>
      </c>
      <c r="D228" s="422">
        <f>'C) Prél. conj.'!H222</f>
        <v>28395.03</v>
      </c>
      <c r="E228" s="10">
        <f>'D) Ecrêtage'!M222</f>
        <v>0</v>
      </c>
      <c r="F228" s="422">
        <f>$F$10*'D) Ecrêtage'!C222</f>
        <v>249086.05578347185</v>
      </c>
      <c r="G228" s="55">
        <f t="shared" si="3"/>
        <v>277481.08578347182</v>
      </c>
    </row>
    <row r="229" spans="1:7" x14ac:dyDescent="0.25">
      <c r="A229" s="49">
        <f>'A) Base RI'!A225</f>
        <v>5757</v>
      </c>
      <c r="B229" s="291" t="str">
        <f>'A) Base RI'!B225</f>
        <v>Orbe</v>
      </c>
      <c r="C229" s="10">
        <f>'A) Base RI'!V225</f>
        <v>7030</v>
      </c>
      <c r="D229" s="422">
        <f>'C) Prél. conj.'!H223</f>
        <v>1222051.115</v>
      </c>
      <c r="E229" s="10">
        <f>'D) Ecrêtage'!M223</f>
        <v>0</v>
      </c>
      <c r="F229" s="422">
        <f>$F$10*'D) Ecrêtage'!C223</f>
        <v>3087540.2088727909</v>
      </c>
      <c r="G229" s="55">
        <f t="shared" si="3"/>
        <v>4309591.3238727907</v>
      </c>
    </row>
    <row r="230" spans="1:7" x14ac:dyDescent="0.25">
      <c r="A230" s="49">
        <f>'A) Base RI'!A226</f>
        <v>5758</v>
      </c>
      <c r="B230" s="291" t="str">
        <f>'A) Base RI'!B226</f>
        <v>La Praz</v>
      </c>
      <c r="C230" s="10">
        <f>'A) Base RI'!V226</f>
        <v>165</v>
      </c>
      <c r="D230" s="422">
        <f>'C) Prél. conj.'!H224</f>
        <v>29885.45</v>
      </c>
      <c r="E230" s="10">
        <f>'D) Ecrêtage'!M224</f>
        <v>0</v>
      </c>
      <c r="F230" s="422">
        <f>$F$10*'D) Ecrêtage'!C224</f>
        <v>69279.815969425399</v>
      </c>
      <c r="G230" s="55">
        <f t="shared" si="3"/>
        <v>99165.265969425396</v>
      </c>
    </row>
    <row r="231" spans="1:7" x14ac:dyDescent="0.25">
      <c r="A231" s="49">
        <f>'A) Base RI'!A227</f>
        <v>5759</v>
      </c>
      <c r="B231" s="291" t="str">
        <f>'A) Base RI'!B227</f>
        <v>Premier</v>
      </c>
      <c r="C231" s="10">
        <f>'A) Base RI'!V227</f>
        <v>215</v>
      </c>
      <c r="D231" s="422">
        <f>'C) Prél. conj.'!H225</f>
        <v>12498.174999999999</v>
      </c>
      <c r="E231" s="10">
        <f>'D) Ecrêtage'!M225</f>
        <v>0</v>
      </c>
      <c r="F231" s="422">
        <f>$F$10*'D) Ecrêtage'!C225</f>
        <v>80868.010486322819</v>
      </c>
      <c r="G231" s="55">
        <f t="shared" si="3"/>
        <v>93366.185486322822</v>
      </c>
    </row>
    <row r="232" spans="1:7" x14ac:dyDescent="0.25">
      <c r="A232" s="49">
        <f>'A) Base RI'!A228</f>
        <v>5760</v>
      </c>
      <c r="B232" s="291" t="str">
        <f>'A) Base RI'!B228</f>
        <v>Rances</v>
      </c>
      <c r="C232" s="10">
        <f>'A) Base RI'!V228</f>
        <v>505</v>
      </c>
      <c r="D232" s="422">
        <f>'C) Prél. conj.'!H226</f>
        <v>16310.51</v>
      </c>
      <c r="E232" s="10">
        <f>'D) Ecrêtage'!M226</f>
        <v>0</v>
      </c>
      <c r="F232" s="422">
        <f>$F$10*'D) Ecrêtage'!C226</f>
        <v>189733.72993389686</v>
      </c>
      <c r="G232" s="55">
        <f t="shared" si="3"/>
        <v>206044.23993389687</v>
      </c>
    </row>
    <row r="233" spans="1:7" x14ac:dyDescent="0.25">
      <c r="A233" s="49">
        <f>'A) Base RI'!A229</f>
        <v>5761</v>
      </c>
      <c r="B233" s="291" t="str">
        <f>'A) Base RI'!B229</f>
        <v>Romainmôtier-Envy</v>
      </c>
      <c r="C233" s="10">
        <f>'A) Base RI'!V229</f>
        <v>535</v>
      </c>
      <c r="D233" s="422">
        <f>'C) Prél. conj.'!H227</f>
        <v>71836.485000000001</v>
      </c>
      <c r="E233" s="10">
        <f>'D) Ecrêtage'!M227</f>
        <v>0</v>
      </c>
      <c r="F233" s="422">
        <f>$F$10*'D) Ecrêtage'!C227</f>
        <v>188479.53819016242</v>
      </c>
      <c r="G233" s="55">
        <f t="shared" si="3"/>
        <v>260316.02319016244</v>
      </c>
    </row>
    <row r="234" spans="1:7" x14ac:dyDescent="0.25">
      <c r="A234" s="49">
        <f>'A) Base RI'!A230</f>
        <v>5762</v>
      </c>
      <c r="B234" s="291" t="str">
        <f>'A) Base RI'!B230</f>
        <v>Sergey</v>
      </c>
      <c r="C234" s="10">
        <f>'A) Base RI'!V230</f>
        <v>145</v>
      </c>
      <c r="D234" s="422">
        <f>'C) Prél. conj.'!H228</f>
        <v>3603.125</v>
      </c>
      <c r="E234" s="10">
        <f>'D) Ecrêtage'!M228</f>
        <v>0</v>
      </c>
      <c r="F234" s="422">
        <f>$F$10*'D) Ecrêtage'!C228</f>
        <v>61266.788129566332</v>
      </c>
      <c r="G234" s="55">
        <f t="shared" si="3"/>
        <v>64869.913129566332</v>
      </c>
    </row>
    <row r="235" spans="1:7" x14ac:dyDescent="0.25">
      <c r="A235" s="49">
        <f>'A) Base RI'!A231</f>
        <v>5763</v>
      </c>
      <c r="B235" s="291" t="str">
        <f>'A) Base RI'!B231</f>
        <v>Valeyres-sous-Rances</v>
      </c>
      <c r="C235" s="10">
        <f>'A) Base RI'!V231</f>
        <v>620</v>
      </c>
      <c r="D235" s="422">
        <f>'C) Prél. conj.'!H229</f>
        <v>29162.36</v>
      </c>
      <c r="E235" s="10">
        <f>'D) Ecrêtage'!M229</f>
        <v>0</v>
      </c>
      <c r="F235" s="422">
        <f>$F$10*'D) Ecrêtage'!C229</f>
        <v>336457.04913926282</v>
      </c>
      <c r="G235" s="55">
        <f t="shared" si="3"/>
        <v>365619.4091392628</v>
      </c>
    </row>
    <row r="236" spans="1:7" x14ac:dyDescent="0.25">
      <c r="A236" s="49">
        <f>'A) Base RI'!A232</f>
        <v>5764</v>
      </c>
      <c r="B236" s="291" t="str">
        <f>'A) Base RI'!B232</f>
        <v>Vallorbe</v>
      </c>
      <c r="C236" s="10">
        <f>'A) Base RI'!V232</f>
        <v>3857</v>
      </c>
      <c r="D236" s="422">
        <f>'C) Prél. conj.'!H230</f>
        <v>995212.70500000007</v>
      </c>
      <c r="E236" s="10">
        <f>'D) Ecrêtage'!M230</f>
        <v>0</v>
      </c>
      <c r="F236" s="422">
        <f>$F$10*'D) Ecrêtage'!C230</f>
        <v>1342998.8437717056</v>
      </c>
      <c r="G236" s="55">
        <f t="shared" si="3"/>
        <v>2338211.5487717055</v>
      </c>
    </row>
    <row r="237" spans="1:7" x14ac:dyDescent="0.25">
      <c r="A237" s="49">
        <f>'A) Base RI'!A233</f>
        <v>5765</v>
      </c>
      <c r="B237" s="291" t="str">
        <f>'A) Base RI'!B233</f>
        <v>Vaulion</v>
      </c>
      <c r="C237" s="10">
        <f>'A) Base RI'!V233</f>
        <v>496</v>
      </c>
      <c r="D237" s="422">
        <f>'C) Prél. conj.'!H231</f>
        <v>50084.084999999999</v>
      </c>
      <c r="E237" s="10">
        <f>'D) Ecrêtage'!M231</f>
        <v>0</v>
      </c>
      <c r="F237" s="422">
        <f>$F$10*'D) Ecrêtage'!C231</f>
        <v>183292.48073660376</v>
      </c>
      <c r="G237" s="55">
        <f t="shared" si="3"/>
        <v>233376.56573660375</v>
      </c>
    </row>
    <row r="238" spans="1:7" x14ac:dyDescent="0.25">
      <c r="A238" s="49">
        <f>'A) Base RI'!A234</f>
        <v>5766</v>
      </c>
      <c r="B238" s="291" t="str">
        <f>'A) Base RI'!B234</f>
        <v>Vuiteboeuf</v>
      </c>
      <c r="C238" s="10">
        <f>'A) Base RI'!V234</f>
        <v>576</v>
      </c>
      <c r="D238" s="422">
        <f>'C) Prél. conj.'!H232</f>
        <v>47550.274999999994</v>
      </c>
      <c r="E238" s="10">
        <f>'D) Ecrêtage'!M232</f>
        <v>0</v>
      </c>
      <c r="F238" s="422">
        <f>$F$10*'D) Ecrêtage'!C232</f>
        <v>213821.93052818842</v>
      </c>
      <c r="G238" s="55">
        <f t="shared" si="3"/>
        <v>261372.20552818841</v>
      </c>
    </row>
    <row r="239" spans="1:7" x14ac:dyDescent="0.25">
      <c r="A239" s="49">
        <f>'A) Base RI'!A235</f>
        <v>5785</v>
      </c>
      <c r="B239" s="291" t="str">
        <f>'A) Base RI'!B235</f>
        <v>Corcelles-le-Jorat</v>
      </c>
      <c r="C239" s="10">
        <f>'A) Base RI'!V235</f>
        <v>458</v>
      </c>
      <c r="D239" s="422">
        <f>'C) Prél. conj.'!H233</f>
        <v>45504.800000000003</v>
      </c>
      <c r="E239" s="10">
        <f>'D) Ecrêtage'!M233</f>
        <v>0</v>
      </c>
      <c r="F239" s="422">
        <f>$F$10*'D) Ecrêtage'!C233</f>
        <v>259894.39442707002</v>
      </c>
      <c r="G239" s="55">
        <f t="shared" si="3"/>
        <v>305399.19442707003</v>
      </c>
    </row>
    <row r="240" spans="1:7" x14ac:dyDescent="0.25">
      <c r="A240" s="49">
        <f>'A) Base RI'!A236</f>
        <v>5788</v>
      </c>
      <c r="B240" s="291" t="str">
        <f>'A) Base RI'!B236</f>
        <v>Essertes</v>
      </c>
      <c r="C240" s="10">
        <f>'A) Base RI'!V236</f>
        <v>380</v>
      </c>
      <c r="D240" s="422">
        <f>'C) Prél. conj.'!H234</f>
        <v>49664.4</v>
      </c>
      <c r="E240" s="10">
        <f>'D) Ecrêtage'!M234</f>
        <v>0</v>
      </c>
      <c r="F240" s="422">
        <f>$F$10*'D) Ecrêtage'!C234</f>
        <v>189479.25811792893</v>
      </c>
      <c r="G240" s="55">
        <f t="shared" si="3"/>
        <v>239143.65811792892</v>
      </c>
    </row>
    <row r="241" spans="1:7" x14ac:dyDescent="0.25">
      <c r="A241" s="49">
        <f>'A) Base RI'!A237</f>
        <v>5790</v>
      </c>
      <c r="B241" s="291" t="str">
        <f>'A) Base RI'!B237</f>
        <v>Maracon</v>
      </c>
      <c r="C241" s="10">
        <f>'A) Base RI'!V237</f>
        <v>538</v>
      </c>
      <c r="D241" s="422">
        <f>'C) Prél. conj.'!H235</f>
        <v>121735.78</v>
      </c>
      <c r="E241" s="10">
        <f>'D) Ecrêtage'!M235</f>
        <v>0</v>
      </c>
      <c r="F241" s="422">
        <f>$F$10*'D) Ecrêtage'!C235</f>
        <v>221288.20661585135</v>
      </c>
      <c r="G241" s="55">
        <f t="shared" si="3"/>
        <v>343023.98661585135</v>
      </c>
    </row>
    <row r="242" spans="1:7" x14ac:dyDescent="0.25">
      <c r="A242" s="49">
        <f>'A) Base RI'!A238</f>
        <v>5792</v>
      </c>
      <c r="B242" s="291" t="str">
        <f>'A) Base RI'!B238</f>
        <v>Montpreveyres</v>
      </c>
      <c r="C242" s="10">
        <f>'A) Base RI'!V238</f>
        <v>657</v>
      </c>
      <c r="D242" s="422">
        <f>'C) Prél. conj.'!H236</f>
        <v>60561.375</v>
      </c>
      <c r="E242" s="10">
        <f>'D) Ecrêtage'!M236</f>
        <v>0</v>
      </c>
      <c r="F242" s="422">
        <f>$F$10*'D) Ecrêtage'!C236</f>
        <v>309709.28918552719</v>
      </c>
      <c r="G242" s="55">
        <f t="shared" si="3"/>
        <v>370270.66418552719</v>
      </c>
    </row>
    <row r="243" spans="1:7" x14ac:dyDescent="0.25">
      <c r="A243" s="49">
        <f>'A) Base RI'!A239</f>
        <v>5798</v>
      </c>
      <c r="B243" s="291" t="str">
        <f>'A) Base RI'!B239</f>
        <v>Ropraz</v>
      </c>
      <c r="C243" s="10">
        <f>'A) Base RI'!V239</f>
        <v>488</v>
      </c>
      <c r="D243" s="422">
        <f>'C) Prél. conj.'!H237</f>
        <v>8334.0499999999993</v>
      </c>
      <c r="E243" s="10">
        <f>'D) Ecrêtage'!M237</f>
        <v>0</v>
      </c>
      <c r="F243" s="422">
        <f>$F$10*'D) Ecrêtage'!C237</f>
        <v>220178.26469662163</v>
      </c>
      <c r="G243" s="55">
        <f t="shared" si="3"/>
        <v>228512.31469662162</v>
      </c>
    </row>
    <row r="244" spans="1:7" x14ac:dyDescent="0.25">
      <c r="A244" s="49">
        <f>'A) Base RI'!A240</f>
        <v>5799</v>
      </c>
      <c r="B244" s="291" t="str">
        <f>'A) Base RI'!B240</f>
        <v>Servion</v>
      </c>
      <c r="C244" s="10">
        <f>'A) Base RI'!V240</f>
        <v>1997</v>
      </c>
      <c r="D244" s="422">
        <f>'C) Prél. conj.'!H238</f>
        <v>222354.91</v>
      </c>
      <c r="E244" s="10">
        <f>'D) Ecrêtage'!M238</f>
        <v>0</v>
      </c>
      <c r="F244" s="422">
        <f>$F$10*'D) Ecrêtage'!C238</f>
        <v>1088514.878384134</v>
      </c>
      <c r="G244" s="55">
        <f t="shared" si="3"/>
        <v>1310869.7883841339</v>
      </c>
    </row>
    <row r="245" spans="1:7" x14ac:dyDescent="0.25">
      <c r="A245" s="49">
        <f>'A) Base RI'!A241</f>
        <v>5803</v>
      </c>
      <c r="B245" s="291" t="str">
        <f>'A) Base RI'!B241</f>
        <v>Vulliens</v>
      </c>
      <c r="C245" s="10">
        <f>'A) Base RI'!V241</f>
        <v>614</v>
      </c>
      <c r="D245" s="422">
        <f>'C) Prél. conj.'!H239</f>
        <v>10221.199999999999</v>
      </c>
      <c r="E245" s="10">
        <f>'D) Ecrêtage'!M239</f>
        <v>0</v>
      </c>
      <c r="F245" s="422">
        <f>$F$10*'D) Ecrêtage'!C239</f>
        <v>267401.17224927415</v>
      </c>
      <c r="G245" s="55">
        <f t="shared" si="3"/>
        <v>277622.37224927417</v>
      </c>
    </row>
    <row r="246" spans="1:7" x14ac:dyDescent="0.25">
      <c r="A246" s="49">
        <f>'A) Base RI'!A242</f>
        <v>5804</v>
      </c>
      <c r="B246" s="291" t="str">
        <f>'A) Base RI'!B242</f>
        <v>Jorat-Menthue</v>
      </c>
      <c r="C246" s="10">
        <f>'A) Base RI'!V242</f>
        <v>1591</v>
      </c>
      <c r="D246" s="422">
        <f>'C) Prél. conj.'!H240</f>
        <v>90407.05</v>
      </c>
      <c r="E246" s="10">
        <f>'D) Ecrêtage'!M240</f>
        <v>0</v>
      </c>
      <c r="F246" s="422">
        <f>$F$10*'D) Ecrêtage'!C240</f>
        <v>678125.6772417844</v>
      </c>
      <c r="G246" s="55">
        <f t="shared" si="3"/>
        <v>768532.72724178445</v>
      </c>
    </row>
    <row r="247" spans="1:7" x14ac:dyDescent="0.25">
      <c r="A247" s="49">
        <f>'A) Base RI'!A243</f>
        <v>5805</v>
      </c>
      <c r="B247" s="291" t="str">
        <f>'A) Base RI'!B243</f>
        <v>Oron</v>
      </c>
      <c r="C247" s="10">
        <f>'A) Base RI'!V243</f>
        <v>5669</v>
      </c>
      <c r="D247" s="422">
        <f>'C) Prél. conj.'!H241</f>
        <v>682883.51</v>
      </c>
      <c r="E247" s="10">
        <f>'D) Ecrêtage'!M241</f>
        <v>0</v>
      </c>
      <c r="F247" s="422">
        <f>$F$10*'D) Ecrêtage'!C241</f>
        <v>2419067.6124858619</v>
      </c>
      <c r="G247" s="55">
        <f t="shared" si="3"/>
        <v>3101951.1224858621</v>
      </c>
    </row>
    <row r="248" spans="1:7" x14ac:dyDescent="0.25">
      <c r="A248" s="49">
        <f>'A) Base RI'!A244</f>
        <v>5806</v>
      </c>
      <c r="B248" s="291" t="str">
        <f>'A) Base RI'!B244</f>
        <v>Jorat-Mézières</v>
      </c>
      <c r="C248" s="10">
        <f>'A) Base RI'!V244</f>
        <v>2949</v>
      </c>
      <c r="D248" s="422">
        <f>'C) Prél. conj.'!H242</f>
        <v>180046.58499999999</v>
      </c>
      <c r="E248" s="10">
        <f>'D) Ecrêtage'!M242</f>
        <v>0</v>
      </c>
      <c r="F248" s="422">
        <f>$F$10*'D) Ecrêtage'!C242</f>
        <v>1408022.8867617128</v>
      </c>
      <c r="G248" s="55">
        <f t="shared" si="3"/>
        <v>1588069.4717617128</v>
      </c>
    </row>
    <row r="249" spans="1:7" x14ac:dyDescent="0.25">
      <c r="A249" s="49">
        <f>'A) Base RI'!A245</f>
        <v>5812</v>
      </c>
      <c r="B249" s="291" t="str">
        <f>'A) Base RI'!B245</f>
        <v>Champtauroz</v>
      </c>
      <c r="C249" s="10">
        <f>'A) Base RI'!V245</f>
        <v>130</v>
      </c>
      <c r="D249" s="422">
        <f>'C) Prél. conj.'!H243</f>
        <v>31214</v>
      </c>
      <c r="E249" s="10">
        <f>'D) Ecrêtage'!M243</f>
        <v>0</v>
      </c>
      <c r="F249" s="422">
        <f>$F$10*'D) Ecrêtage'!C243</f>
        <v>56895.321313078362</v>
      </c>
      <c r="G249" s="55">
        <f t="shared" si="3"/>
        <v>88109.32131307837</v>
      </c>
    </row>
    <row r="250" spans="1:7" x14ac:dyDescent="0.25">
      <c r="A250" s="49">
        <f>'A) Base RI'!A246</f>
        <v>5813</v>
      </c>
      <c r="B250" s="291" t="str">
        <f>'A) Base RI'!B246</f>
        <v>Chevroux</v>
      </c>
      <c r="C250" s="10">
        <f>'A) Base RI'!V246</f>
        <v>492</v>
      </c>
      <c r="D250" s="422">
        <f>'C) Prél. conj.'!H244</f>
        <v>20054.650000000001</v>
      </c>
      <c r="E250" s="10">
        <f>'D) Ecrêtage'!M244</f>
        <v>0</v>
      </c>
      <c r="F250" s="422">
        <f>$F$10*'D) Ecrêtage'!C244</f>
        <v>225546.84012729418</v>
      </c>
      <c r="G250" s="55">
        <f t="shared" si="3"/>
        <v>245601.49012729418</v>
      </c>
    </row>
    <row r="251" spans="1:7" x14ac:dyDescent="0.25">
      <c r="A251" s="49">
        <f>'A) Base RI'!A247</f>
        <v>5816</v>
      </c>
      <c r="B251" s="291" t="str">
        <f>'A) Base RI'!B247</f>
        <v>Corcelles-près-Payerne</v>
      </c>
      <c r="C251" s="10">
        <f>'A) Base RI'!V247</f>
        <v>2571</v>
      </c>
      <c r="D251" s="422">
        <f>'C) Prél. conj.'!H245</f>
        <v>108666.955</v>
      </c>
      <c r="E251" s="10">
        <f>'D) Ecrêtage'!M245</f>
        <v>0</v>
      </c>
      <c r="F251" s="422">
        <f>$F$10*'D) Ecrêtage'!C245</f>
        <v>926334.61615143321</v>
      </c>
      <c r="G251" s="55">
        <f t="shared" si="3"/>
        <v>1035001.5711514332</v>
      </c>
    </row>
    <row r="252" spans="1:7" x14ac:dyDescent="0.25">
      <c r="A252" s="49">
        <f>'A) Base RI'!A248</f>
        <v>5817</v>
      </c>
      <c r="B252" s="291" t="str">
        <f>'A) Base RI'!B248</f>
        <v>Grandcour</v>
      </c>
      <c r="C252" s="10">
        <f>'A) Base RI'!V248</f>
        <v>953</v>
      </c>
      <c r="D252" s="422">
        <f>'C) Prél. conj.'!H246</f>
        <v>23966.824999999997</v>
      </c>
      <c r="E252" s="10">
        <f>'D) Ecrêtage'!M246</f>
        <v>0</v>
      </c>
      <c r="F252" s="422">
        <f>$F$10*'D) Ecrêtage'!C246</f>
        <v>334395.82043410098</v>
      </c>
      <c r="G252" s="55">
        <f t="shared" si="3"/>
        <v>358362.645434101</v>
      </c>
    </row>
    <row r="253" spans="1:7" x14ac:dyDescent="0.25">
      <c r="A253" s="49">
        <f>'A) Base RI'!A249</f>
        <v>5819</v>
      </c>
      <c r="B253" s="291" t="str">
        <f>'A) Base RI'!B249</f>
        <v>Henniez</v>
      </c>
      <c r="C253" s="10">
        <f>'A) Base RI'!V249</f>
        <v>376</v>
      </c>
      <c r="D253" s="422">
        <f>'C) Prél. conj.'!H247</f>
        <v>32044.77</v>
      </c>
      <c r="E253" s="10">
        <f>'D) Ecrêtage'!M247</f>
        <v>0</v>
      </c>
      <c r="F253" s="422">
        <f>$F$10*'D) Ecrêtage'!C247</f>
        <v>182106.28518753467</v>
      </c>
      <c r="G253" s="55">
        <f t="shared" si="3"/>
        <v>214151.05518753466</v>
      </c>
    </row>
    <row r="254" spans="1:7" x14ac:dyDescent="0.25">
      <c r="A254" s="49">
        <f>'A) Base RI'!A250</f>
        <v>5821</v>
      </c>
      <c r="B254" s="291" t="str">
        <f>'A) Base RI'!B250</f>
        <v>Missy</v>
      </c>
      <c r="C254" s="10">
        <f>'A) Base RI'!V250</f>
        <v>362</v>
      </c>
      <c r="D254" s="422">
        <f>'C) Prél. conj.'!H248</f>
        <v>1815</v>
      </c>
      <c r="E254" s="10">
        <f>'D) Ecrêtage'!M248</f>
        <v>0</v>
      </c>
      <c r="F254" s="422">
        <f>$F$10*'D) Ecrêtage'!C248</f>
        <v>128009.35399238495</v>
      </c>
      <c r="G254" s="55">
        <f t="shared" si="3"/>
        <v>129824.35399238495</v>
      </c>
    </row>
    <row r="255" spans="1:7" x14ac:dyDescent="0.25">
      <c r="A255" s="49">
        <f>'A) Base RI'!A251</f>
        <v>5822</v>
      </c>
      <c r="B255" s="291" t="str">
        <f>'A) Base RI'!B251</f>
        <v>Payerne</v>
      </c>
      <c r="C255" s="10">
        <f>'A) Base RI'!V251</f>
        <v>10072</v>
      </c>
      <c r="D255" s="422">
        <f>'C) Prél. conj.'!H249</f>
        <v>607420.68999999994</v>
      </c>
      <c r="E255" s="10">
        <f>'D) Ecrêtage'!M249</f>
        <v>0</v>
      </c>
      <c r="F255" s="422">
        <f>$F$10*'D) Ecrêtage'!C249</f>
        <v>3735705.0399065204</v>
      </c>
      <c r="G255" s="55">
        <f t="shared" si="3"/>
        <v>4343125.7299065199</v>
      </c>
    </row>
    <row r="256" spans="1:7" x14ac:dyDescent="0.25">
      <c r="A256" s="49">
        <f>'A) Base RI'!A252</f>
        <v>5827</v>
      </c>
      <c r="B256" s="291" t="str">
        <f>'A) Base RI'!B252</f>
        <v>Trey</v>
      </c>
      <c r="C256" s="10">
        <f>'A) Base RI'!V252</f>
        <v>285</v>
      </c>
      <c r="D256" s="422">
        <f>'C) Prél. conj.'!H250</f>
        <v>10146.35</v>
      </c>
      <c r="E256" s="10">
        <f>'D) Ecrêtage'!M250</f>
        <v>0</v>
      </c>
      <c r="F256" s="422">
        <f>$F$10*'D) Ecrêtage'!C250</f>
        <v>103641.23313018402</v>
      </c>
      <c r="G256" s="55">
        <f t="shared" si="3"/>
        <v>113787.58313018402</v>
      </c>
    </row>
    <row r="257" spans="1:7" x14ac:dyDescent="0.25">
      <c r="A257" s="49">
        <f>'A) Base RI'!A253</f>
        <v>5828</v>
      </c>
      <c r="B257" s="291" t="str">
        <f>'A) Base RI'!B253</f>
        <v>Treytorrens (Payerne)</v>
      </c>
      <c r="C257" s="10">
        <f>'A) Base RI'!V253</f>
        <v>111</v>
      </c>
      <c r="D257" s="422">
        <f>'C) Prél. conj.'!H251</f>
        <v>15980.175000000001</v>
      </c>
      <c r="E257" s="10">
        <f>'D) Ecrêtage'!M251</f>
        <v>0</v>
      </c>
      <c r="F257" s="422">
        <f>$F$10*'D) Ecrêtage'!C251</f>
        <v>37151.957993995791</v>
      </c>
      <c r="G257" s="55">
        <f t="shared" si="3"/>
        <v>53132.132993995794</v>
      </c>
    </row>
    <row r="258" spans="1:7" x14ac:dyDescent="0.25">
      <c r="A258" s="49">
        <f>'A) Base RI'!A254</f>
        <v>5830</v>
      </c>
      <c r="B258" s="291" t="str">
        <f>'A) Base RI'!B254</f>
        <v>Villarzel</v>
      </c>
      <c r="C258" s="10">
        <f>'A) Base RI'!V254</f>
        <v>451</v>
      </c>
      <c r="D258" s="422">
        <f>'C) Prél. conj.'!H252</f>
        <v>40812.9</v>
      </c>
      <c r="E258" s="10">
        <f>'D) Ecrêtage'!M252</f>
        <v>0</v>
      </c>
      <c r="F258" s="422">
        <f>$F$10*'D) Ecrêtage'!C252</f>
        <v>209497.29473735072</v>
      </c>
      <c r="G258" s="55">
        <f t="shared" si="3"/>
        <v>250310.19473735071</v>
      </c>
    </row>
    <row r="259" spans="1:7" x14ac:dyDescent="0.25">
      <c r="A259" s="49">
        <f>'A) Base RI'!A255</f>
        <v>5831</v>
      </c>
      <c r="B259" s="291" t="str">
        <f>'A) Base RI'!B255</f>
        <v>Valbroye</v>
      </c>
      <c r="C259" s="10">
        <f>'A) Base RI'!V255</f>
        <v>3296</v>
      </c>
      <c r="D259" s="422">
        <f>'C) Prél. conj.'!H253</f>
        <v>295152.08499999996</v>
      </c>
      <c r="E259" s="10">
        <f>'D) Ecrêtage'!M253</f>
        <v>0</v>
      </c>
      <c r="F259" s="422">
        <f>$F$10*'D) Ecrêtage'!C253</f>
        <v>1386969.6241504212</v>
      </c>
      <c r="G259" s="55">
        <f t="shared" si="3"/>
        <v>1682121.7091504212</v>
      </c>
    </row>
    <row r="260" spans="1:7" x14ac:dyDescent="0.25">
      <c r="A260" s="49">
        <f>'A) Base RI'!A256</f>
        <v>5841</v>
      </c>
      <c r="B260" s="291" t="str">
        <f>'A) Base RI'!B256</f>
        <v>Château-d'Oex</v>
      </c>
      <c r="C260" s="10">
        <f>'A) Base RI'!V256</f>
        <v>3468</v>
      </c>
      <c r="D260" s="422">
        <f>'C) Prél. conj.'!H254</f>
        <v>341873.82499999995</v>
      </c>
      <c r="E260" s="10">
        <f>'D) Ecrêtage'!M254</f>
        <v>0</v>
      </c>
      <c r="F260" s="422">
        <f>$F$10*'D) Ecrêtage'!C254</f>
        <v>1815094.0366806795</v>
      </c>
      <c r="G260" s="55">
        <f t="shared" si="3"/>
        <v>2156967.8616806795</v>
      </c>
    </row>
    <row r="261" spans="1:7" x14ac:dyDescent="0.25">
      <c r="A261" s="49">
        <f>'A) Base RI'!A257</f>
        <v>5842</v>
      </c>
      <c r="B261" s="291" t="str">
        <f>'A) Base RI'!B257</f>
        <v>Rossinière</v>
      </c>
      <c r="C261" s="10">
        <f>'A) Base RI'!V257</f>
        <v>548</v>
      </c>
      <c r="D261" s="422">
        <f>'C) Prél. conj.'!H255</f>
        <v>23889.825000000001</v>
      </c>
      <c r="E261" s="10">
        <f>'D) Ecrêtage'!M255</f>
        <v>0</v>
      </c>
      <c r="F261" s="422">
        <f>$F$10*'D) Ecrêtage'!C255</f>
        <v>211113.21320593683</v>
      </c>
      <c r="G261" s="55">
        <f t="shared" si="3"/>
        <v>235003.03820593684</v>
      </c>
    </row>
    <row r="262" spans="1:7" x14ac:dyDescent="0.25">
      <c r="A262" s="49">
        <f>'A) Base RI'!A258</f>
        <v>5843</v>
      </c>
      <c r="B262" s="291" t="str">
        <f>'A) Base RI'!B258</f>
        <v>Rougemont</v>
      </c>
      <c r="C262" s="10">
        <f>'A) Base RI'!V258</f>
        <v>858</v>
      </c>
      <c r="D262" s="422">
        <f>'C) Prél. conj.'!H256</f>
        <v>906503.29999999993</v>
      </c>
      <c r="E262" s="10">
        <f>'D) Ecrêtage'!M256</f>
        <v>1221454.878948062</v>
      </c>
      <c r="F262" s="422">
        <f>$F$10*'D) Ecrêtage'!C256</f>
        <v>1317101.6329001391</v>
      </c>
      <c r="G262" s="55">
        <f t="shared" si="3"/>
        <v>3445059.8118482009</v>
      </c>
    </row>
    <row r="263" spans="1:7" x14ac:dyDescent="0.25">
      <c r="A263" s="49">
        <f>'A) Base RI'!A259</f>
        <v>5851</v>
      </c>
      <c r="B263" s="291" t="str">
        <f>'A) Base RI'!B259</f>
        <v>Allaman</v>
      </c>
      <c r="C263" s="10">
        <f>'A) Base RI'!V259</f>
        <v>451</v>
      </c>
      <c r="D263" s="422">
        <f>'C) Prél. conj.'!H257</f>
        <v>196865.15500000003</v>
      </c>
      <c r="E263" s="10">
        <f>'D) Ecrêtage'!M257</f>
        <v>31054.436968737762</v>
      </c>
      <c r="F263" s="422">
        <f>$F$10*'D) Ecrêtage'!C257</f>
        <v>356501.08825607062</v>
      </c>
      <c r="G263" s="55">
        <f t="shared" si="3"/>
        <v>584420.6802248084</v>
      </c>
    </row>
    <row r="264" spans="1:7" x14ac:dyDescent="0.25">
      <c r="A264" s="49">
        <f>'A) Base RI'!A260</f>
        <v>5852</v>
      </c>
      <c r="B264" s="291" t="str">
        <f>'A) Base RI'!B260</f>
        <v>Bursinel</v>
      </c>
      <c r="C264" s="10">
        <f>'A) Base RI'!V260</f>
        <v>473</v>
      </c>
      <c r="D264" s="422">
        <f>'C) Prél. conj.'!H258</f>
        <v>233117.97</v>
      </c>
      <c r="E264" s="10">
        <f>'D) Ecrêtage'!M258</f>
        <v>369756.997836872</v>
      </c>
      <c r="F264" s="422">
        <f>$F$10*'D) Ecrêtage'!C258</f>
        <v>608393.58762020129</v>
      </c>
      <c r="G264" s="55">
        <f t="shared" si="3"/>
        <v>1211268.5554570733</v>
      </c>
    </row>
    <row r="265" spans="1:7" x14ac:dyDescent="0.25">
      <c r="A265" s="49">
        <f>'A) Base RI'!A261</f>
        <v>5853</v>
      </c>
      <c r="B265" s="291" t="str">
        <f>'A) Base RI'!B261</f>
        <v>Bursins</v>
      </c>
      <c r="C265" s="10">
        <f>'A) Base RI'!V261</f>
        <v>782</v>
      </c>
      <c r="D265" s="422">
        <f>'C) Prél. conj.'!H259</f>
        <v>181003.44500000001</v>
      </c>
      <c r="E265" s="10">
        <f>'D) Ecrêtage'!M259</f>
        <v>4140.9191294016637</v>
      </c>
      <c r="F265" s="422">
        <f>$F$10*'D) Ecrêtage'!C259</f>
        <v>556035.15578548715</v>
      </c>
      <c r="G265" s="55">
        <f t="shared" si="3"/>
        <v>741179.51991488878</v>
      </c>
    </row>
    <row r="266" spans="1:7" x14ac:dyDescent="0.25">
      <c r="A266" s="49">
        <f>'A) Base RI'!A262</f>
        <v>5854</v>
      </c>
      <c r="B266" s="291" t="str">
        <f>'A) Base RI'!B262</f>
        <v>Burtigny</v>
      </c>
      <c r="C266" s="10">
        <f>'A) Base RI'!V262</f>
        <v>390</v>
      </c>
      <c r="D266" s="422">
        <f>'C) Prél. conj.'!H260</f>
        <v>97731.854999999996</v>
      </c>
      <c r="E266" s="10">
        <f>'D) Ecrêtage'!M260</f>
        <v>0</v>
      </c>
      <c r="F266" s="422">
        <f>$F$10*'D) Ecrêtage'!C260</f>
        <v>169236.06172117675</v>
      </c>
      <c r="G266" s="55">
        <f t="shared" si="3"/>
        <v>266967.91672117676</v>
      </c>
    </row>
    <row r="267" spans="1:7" x14ac:dyDescent="0.25">
      <c r="A267" s="49">
        <f>'A) Base RI'!A263</f>
        <v>5855</v>
      </c>
      <c r="B267" s="291" t="str">
        <f>'A) Base RI'!B263</f>
        <v>Dully</v>
      </c>
      <c r="C267" s="10">
        <f>'A) Base RI'!V263</f>
        <v>639</v>
      </c>
      <c r="D267" s="422">
        <f>'C) Prél. conj.'!H261</f>
        <v>289519.82499999995</v>
      </c>
      <c r="E267" s="10">
        <f>'D) Ecrêtage'!M261</f>
        <v>984884.36968371971</v>
      </c>
      <c r="F267" s="422">
        <f>$F$10*'D) Ecrêtage'!C261</f>
        <v>1220316.0148422646</v>
      </c>
      <c r="G267" s="55">
        <f t="shared" ref="G267:G318" si="4">D267+F267+E267</f>
        <v>2494720.2095259842</v>
      </c>
    </row>
    <row r="268" spans="1:7" x14ac:dyDescent="0.25">
      <c r="A268" s="49">
        <f>'A) Base RI'!A264</f>
        <v>5856</v>
      </c>
      <c r="B268" s="291" t="str">
        <f>'A) Base RI'!B264</f>
        <v>Essertines-sur-Rolle</v>
      </c>
      <c r="C268" s="10">
        <f>'A) Base RI'!V264</f>
        <v>722</v>
      </c>
      <c r="D268" s="422">
        <f>'C) Prél. conj.'!H262</f>
        <v>64043.594999999994</v>
      </c>
      <c r="E268" s="10">
        <f>'D) Ecrêtage'!M262</f>
        <v>44883.582406000103</v>
      </c>
      <c r="F268" s="422">
        <f>$F$10*'D) Ecrêtage'!C262</f>
        <v>559847.14530748781</v>
      </c>
      <c r="G268" s="55">
        <f t="shared" si="4"/>
        <v>668774.3227134879</v>
      </c>
    </row>
    <row r="269" spans="1:7" x14ac:dyDescent="0.25">
      <c r="A269" s="49">
        <f>'A) Base RI'!A265</f>
        <v>5857</v>
      </c>
      <c r="B269" s="291" t="str">
        <f>'A) Base RI'!B265</f>
        <v>Gilly</v>
      </c>
      <c r="C269" s="10">
        <f>'A) Base RI'!V265</f>
        <v>1370</v>
      </c>
      <c r="D269" s="422">
        <f>'C) Prél. conj.'!H263</f>
        <v>233824.19499999998</v>
      </c>
      <c r="E269" s="10">
        <f>'D) Ecrêtage'!M263</f>
        <v>360814.67287100054</v>
      </c>
      <c r="F269" s="422">
        <f>$F$10*'D) Ecrêtage'!C263</f>
        <v>1310126.1392142135</v>
      </c>
      <c r="G269" s="55">
        <f t="shared" si="4"/>
        <v>1904765.0070852141</v>
      </c>
    </row>
    <row r="270" spans="1:7" x14ac:dyDescent="0.25">
      <c r="A270" s="49">
        <f>'A) Base RI'!A266</f>
        <v>5858</v>
      </c>
      <c r="B270" s="291" t="str">
        <f>'A) Base RI'!B266</f>
        <v>Luins</v>
      </c>
      <c r="C270" s="10">
        <f>'A) Base RI'!V266</f>
        <v>621</v>
      </c>
      <c r="D270" s="422">
        <f>'C) Prél. conj.'!H264</f>
        <v>24960.355</v>
      </c>
      <c r="E270" s="10">
        <f>'D) Ecrêtage'!M264</f>
        <v>314907.21879795118</v>
      </c>
      <c r="F270" s="422">
        <f>$F$10*'D) Ecrêtage'!C264</f>
        <v>715843.41843646124</v>
      </c>
      <c r="G270" s="55">
        <f t="shared" si="4"/>
        <v>1055710.9922344123</v>
      </c>
    </row>
    <row r="271" spans="1:7" x14ac:dyDescent="0.25">
      <c r="A271" s="49">
        <f>'A) Base RI'!A267</f>
        <v>5859</v>
      </c>
      <c r="B271" s="291" t="str">
        <f>'A) Base RI'!B267</f>
        <v>Mont-sur-Rolle</v>
      </c>
      <c r="C271" s="10">
        <f>'A) Base RI'!V267</f>
        <v>2677</v>
      </c>
      <c r="D271" s="422">
        <f>'C) Prél. conj.'!H265</f>
        <v>678149.46499999997</v>
      </c>
      <c r="E271" s="10">
        <f>'D) Ecrêtage'!M265</f>
        <v>171732.05350161236</v>
      </c>
      <c r="F271" s="422">
        <f>$F$10*'D) Ecrêtage'!C265</f>
        <v>2090704.6823477547</v>
      </c>
      <c r="G271" s="55">
        <f t="shared" si="4"/>
        <v>2940586.2008493673</v>
      </c>
    </row>
    <row r="272" spans="1:7" x14ac:dyDescent="0.25">
      <c r="A272" s="49">
        <f>'A) Base RI'!A268</f>
        <v>5860</v>
      </c>
      <c r="B272" s="291" t="str">
        <f>'A) Base RI'!B268</f>
        <v>Perroy</v>
      </c>
      <c r="C272" s="10">
        <f>'A) Base RI'!V268</f>
        <v>1497</v>
      </c>
      <c r="D272" s="422">
        <f>'C) Prél. conj.'!H266</f>
        <v>241873.33499999999</v>
      </c>
      <c r="E272" s="10">
        <f>'D) Ecrêtage'!M266</f>
        <v>525341.13825110567</v>
      </c>
      <c r="F272" s="422">
        <f>$F$10*'D) Ecrêtage'!C266</f>
        <v>1573763.9490191115</v>
      </c>
      <c r="G272" s="55">
        <f t="shared" si="4"/>
        <v>2340978.422270217</v>
      </c>
    </row>
    <row r="273" spans="1:7" x14ac:dyDescent="0.25">
      <c r="A273" s="49">
        <f>'A) Base RI'!A269</f>
        <v>5861</v>
      </c>
      <c r="B273" s="291" t="str">
        <f>'A) Base RI'!B269</f>
        <v>Rolle</v>
      </c>
      <c r="C273" s="10">
        <f>'A) Base RI'!V269</f>
        <v>6245</v>
      </c>
      <c r="D273" s="422">
        <f>'C) Prél. conj.'!H267</f>
        <v>1488950.0599999998</v>
      </c>
      <c r="E273" s="10">
        <f>'D) Ecrêtage'!M267</f>
        <v>4872687.7095224839</v>
      </c>
      <c r="F273" s="422">
        <f>$F$10*'D) Ecrêtage'!C267</f>
        <v>8314771.7399382982</v>
      </c>
      <c r="G273" s="55">
        <f t="shared" si="4"/>
        <v>14676409.509460783</v>
      </c>
    </row>
    <row r="274" spans="1:7" x14ac:dyDescent="0.25">
      <c r="A274" s="49">
        <f>'A) Base RI'!A270</f>
        <v>5862</v>
      </c>
      <c r="B274" s="291" t="str">
        <f>'A) Base RI'!B270</f>
        <v>Tartegnin</v>
      </c>
      <c r="C274" s="10">
        <f>'A) Base RI'!V270</f>
        <v>233</v>
      </c>
      <c r="D274" s="422">
        <f>'C) Prél. conj.'!H268</f>
        <v>3110.99</v>
      </c>
      <c r="E274" s="10">
        <f>'D) Ecrêtage'!M268</f>
        <v>3802.4512723243242</v>
      </c>
      <c r="F274" s="422">
        <f>$F$10*'D) Ecrêtage'!C268</f>
        <v>167939.57415804613</v>
      </c>
      <c r="G274" s="55">
        <f t="shared" si="4"/>
        <v>174853.01543037046</v>
      </c>
    </row>
    <row r="275" spans="1:7" x14ac:dyDescent="0.25">
      <c r="A275" s="49">
        <f>'A) Base RI'!A271</f>
        <v>5863</v>
      </c>
      <c r="B275" s="291" t="str">
        <f>'A) Base RI'!B271</f>
        <v>Vinzel</v>
      </c>
      <c r="C275" s="10">
        <f>'A) Base RI'!V271</f>
        <v>355</v>
      </c>
      <c r="D275" s="422">
        <f>'C) Prél. conj.'!H269</f>
        <v>49071.794999999998</v>
      </c>
      <c r="E275" s="10">
        <f>'D) Ecrêtage'!M269</f>
        <v>20410.027783596841</v>
      </c>
      <c r="F275" s="422">
        <f>$F$10*'D) Ecrêtage'!C269</f>
        <v>273744.41244683519</v>
      </c>
      <c r="G275" s="55">
        <f t="shared" si="4"/>
        <v>343226.23523043201</v>
      </c>
    </row>
    <row r="276" spans="1:7" x14ac:dyDescent="0.25">
      <c r="A276" s="49">
        <f>'A) Base RI'!A272</f>
        <v>5871</v>
      </c>
      <c r="B276" s="291" t="str">
        <f>'A) Base RI'!B272</f>
        <v>L'Abbaye</v>
      </c>
      <c r="C276" s="10">
        <f>'A) Base RI'!V272</f>
        <v>1481</v>
      </c>
      <c r="D276" s="422">
        <f>'C) Prél. conj.'!H270</f>
        <v>329988.41499999998</v>
      </c>
      <c r="E276" s="10">
        <f>'D) Ecrêtage'!M270</f>
        <v>0</v>
      </c>
      <c r="F276" s="422">
        <f>$F$10*'D) Ecrêtage'!C270</f>
        <v>711566.69655879645</v>
      </c>
      <c r="G276" s="55">
        <f t="shared" si="4"/>
        <v>1041555.1115587964</v>
      </c>
    </row>
    <row r="277" spans="1:7" x14ac:dyDescent="0.25">
      <c r="A277" s="49">
        <f>'A) Base RI'!A273</f>
        <v>5872</v>
      </c>
      <c r="B277" s="291" t="str">
        <f>'A) Base RI'!B273</f>
        <v>Le Chenit</v>
      </c>
      <c r="C277" s="10">
        <f>'A) Base RI'!V273</f>
        <v>4657</v>
      </c>
      <c r="D277" s="422">
        <f>'C) Prél. conj.'!H271</f>
        <v>2668050.5049999999</v>
      </c>
      <c r="E277" s="10">
        <f>'D) Ecrêtage'!M271</f>
        <v>543640.84620636958</v>
      </c>
      <c r="F277" s="422">
        <f>$F$10*'D) Ecrêtage'!C271</f>
        <v>3894114.5950577152</v>
      </c>
      <c r="G277" s="55">
        <f t="shared" si="4"/>
        <v>7105805.9462640854</v>
      </c>
    </row>
    <row r="278" spans="1:7" x14ac:dyDescent="0.25">
      <c r="A278" s="49">
        <f>'A) Base RI'!A274</f>
        <v>5873</v>
      </c>
      <c r="B278" s="291" t="str">
        <f>'A) Base RI'!B274</f>
        <v>Le Lieu</v>
      </c>
      <c r="C278" s="10">
        <f>'A) Base RI'!V274</f>
        <v>900</v>
      </c>
      <c r="D278" s="422">
        <f>'C) Prél. conj.'!H272</f>
        <v>284266.40999999997</v>
      </c>
      <c r="E278" s="10">
        <f>'D) Ecrêtage'!M272</f>
        <v>0</v>
      </c>
      <c r="F278" s="422">
        <f>$F$10*'D) Ecrêtage'!C272</f>
        <v>437227.41728844983</v>
      </c>
      <c r="G278" s="55">
        <f t="shared" si="4"/>
        <v>721493.82728844974</v>
      </c>
    </row>
    <row r="279" spans="1:7" x14ac:dyDescent="0.25">
      <c r="A279" s="49">
        <f>'A) Base RI'!A275</f>
        <v>5881</v>
      </c>
      <c r="B279" s="291" t="str">
        <f>'A) Base RI'!B275</f>
        <v>Blonay</v>
      </c>
      <c r="C279" s="10">
        <f>'A) Base RI'!V275</f>
        <v>6151</v>
      </c>
      <c r="D279" s="422">
        <f>'C) Prél. conj.'!H273</f>
        <v>1341327.1850000001</v>
      </c>
      <c r="E279" s="10">
        <f>'D) Ecrêtage'!M273</f>
        <v>1118913.264302271</v>
      </c>
      <c r="F279" s="422">
        <f>$F$10*'D) Ecrêtage'!C273</f>
        <v>5444645.6483889157</v>
      </c>
      <c r="G279" s="55">
        <f t="shared" si="4"/>
        <v>7904886.0976911858</v>
      </c>
    </row>
    <row r="280" spans="1:7" x14ac:dyDescent="0.25">
      <c r="A280" s="49">
        <f>'A) Base RI'!A276</f>
        <v>5882</v>
      </c>
      <c r="B280" s="291" t="str">
        <f>'A) Base RI'!B276</f>
        <v>Chardonne</v>
      </c>
      <c r="C280" s="10">
        <f>'A) Base RI'!V276</f>
        <v>3032</v>
      </c>
      <c r="D280" s="422">
        <f>'C) Prél. conj.'!H274</f>
        <v>1169217.0399999998</v>
      </c>
      <c r="E280" s="10">
        <f>'D) Ecrêtage'!M274</f>
        <v>719991.16092651035</v>
      </c>
      <c r="F280" s="422">
        <f>$F$10*'D) Ecrêtage'!C274</f>
        <v>2822270.1163338553</v>
      </c>
      <c r="G280" s="55">
        <f t="shared" si="4"/>
        <v>4711478.3172603659</v>
      </c>
    </row>
    <row r="281" spans="1:7" x14ac:dyDescent="0.25">
      <c r="A281" s="49">
        <f>'A) Base RI'!A277</f>
        <v>5883</v>
      </c>
      <c r="B281" s="291" t="str">
        <f>'A) Base RI'!B277</f>
        <v>Corseaux</v>
      </c>
      <c r="C281" s="10">
        <f>'A) Base RI'!V277</f>
        <v>2287</v>
      </c>
      <c r="D281" s="422">
        <f>'C) Prél. conj.'!H275</f>
        <v>341085.92499999999</v>
      </c>
      <c r="E281" s="10">
        <f>'D) Ecrêtage'!M275</f>
        <v>1127148.7195268038</v>
      </c>
      <c r="F281" s="422">
        <f>$F$10*'D) Ecrêtage'!C275</f>
        <v>2521543.9772959645</v>
      </c>
      <c r="G281" s="55">
        <f t="shared" si="4"/>
        <v>3989778.6218227679</v>
      </c>
    </row>
    <row r="282" spans="1:7" x14ac:dyDescent="0.25">
      <c r="A282" s="49">
        <f>'A) Base RI'!A278</f>
        <v>5884</v>
      </c>
      <c r="B282" s="291" t="str">
        <f>'A) Base RI'!B278</f>
        <v>Corsier-sur-Vevey</v>
      </c>
      <c r="C282" s="10">
        <f>'A) Base RI'!V278</f>
        <v>3363</v>
      </c>
      <c r="D282" s="422">
        <f>'C) Prél. conj.'!H276</f>
        <v>377769.5</v>
      </c>
      <c r="E282" s="10">
        <f>'D) Ecrêtage'!M276</f>
        <v>0</v>
      </c>
      <c r="F282" s="422">
        <f>$F$10*'D) Ecrêtage'!C276</f>
        <v>1918402.3026586638</v>
      </c>
      <c r="G282" s="55">
        <f t="shared" si="4"/>
        <v>2296171.8026586641</v>
      </c>
    </row>
    <row r="283" spans="1:7" x14ac:dyDescent="0.25">
      <c r="A283" s="49">
        <f>'A) Base RI'!A279</f>
        <v>5885</v>
      </c>
      <c r="B283" s="291" t="str">
        <f>'A) Base RI'!B279</f>
        <v>Jongny</v>
      </c>
      <c r="C283" s="10">
        <f>'A) Base RI'!V279</f>
        <v>1544</v>
      </c>
      <c r="D283" s="422">
        <f>'C) Prél. conj.'!H277</f>
        <v>293523.01</v>
      </c>
      <c r="E283" s="10">
        <f>'D) Ecrêtage'!M277</f>
        <v>108218.52229492023</v>
      </c>
      <c r="F283" s="422">
        <f>$F$10*'D) Ecrêtage'!C277</f>
        <v>1205873.9634834621</v>
      </c>
      <c r="G283" s="55">
        <f t="shared" si="4"/>
        <v>1607615.4957783823</v>
      </c>
    </row>
    <row r="284" spans="1:7" x14ac:dyDescent="0.25">
      <c r="A284" s="49">
        <f>'A) Base RI'!A280</f>
        <v>5886</v>
      </c>
      <c r="B284" s="291" t="str">
        <f>'A) Base RI'!B280</f>
        <v>Montreux</v>
      </c>
      <c r="C284" s="10">
        <f>'A) Base RI'!V280</f>
        <v>26065</v>
      </c>
      <c r="D284" s="422">
        <f>'C) Prél. conj.'!H278</f>
        <v>8111116.8549999995</v>
      </c>
      <c r="E284" s="10">
        <f>'D) Ecrêtage'!M278</f>
        <v>0</v>
      </c>
      <c r="F284" s="422">
        <f>$F$10*'D) Ecrêtage'!C278</f>
        <v>17383983.267386526</v>
      </c>
      <c r="G284" s="55">
        <f t="shared" si="4"/>
        <v>25495100.122386526</v>
      </c>
    </row>
    <row r="285" spans="1:7" x14ac:dyDescent="0.25">
      <c r="A285" s="49">
        <f>'A) Base RI'!A281</f>
        <v>5888</v>
      </c>
      <c r="B285" s="291" t="str">
        <f>'A) Base RI'!B281</f>
        <v>Saint-Légier-La Chiésaz</v>
      </c>
      <c r="C285" s="10">
        <f>'A) Base RI'!V281</f>
        <v>5243</v>
      </c>
      <c r="D285" s="422">
        <f>'C) Prél. conj.'!H279</f>
        <v>933001.375</v>
      </c>
      <c r="E285" s="10">
        <f>'D) Ecrêtage'!M279</f>
        <v>1681273.6683966306</v>
      </c>
      <c r="F285" s="422">
        <f>$F$10*'D) Ecrêtage'!C279</f>
        <v>5172117.3013304137</v>
      </c>
      <c r="G285" s="55">
        <f t="shared" si="4"/>
        <v>7786392.344727044</v>
      </c>
    </row>
    <row r="286" spans="1:7" x14ac:dyDescent="0.25">
      <c r="A286" s="49">
        <f>'A) Base RI'!A282</f>
        <v>5889</v>
      </c>
      <c r="B286" s="291" t="str">
        <f>'A) Base RI'!B282</f>
        <v>La Tour-de-Peilz</v>
      </c>
      <c r="C286" s="10">
        <f>'A) Base RI'!V282</f>
        <v>11906</v>
      </c>
      <c r="D286" s="422">
        <f>'C) Prél. conj.'!H280</f>
        <v>1954733.83</v>
      </c>
      <c r="E286" s="10">
        <f>'D) Ecrêtage'!M280</f>
        <v>2052734.7970857976</v>
      </c>
      <c r="F286" s="422">
        <f>$F$10*'D) Ecrêtage'!C280</f>
        <v>10596730.283255534</v>
      </c>
      <c r="G286" s="55">
        <f t="shared" si="4"/>
        <v>14604198.910341332</v>
      </c>
    </row>
    <row r="287" spans="1:7" x14ac:dyDescent="0.25">
      <c r="A287" s="49">
        <f>'A) Base RI'!A283</f>
        <v>5890</v>
      </c>
      <c r="B287" s="291" t="str">
        <f>'A) Base RI'!B283</f>
        <v>Vevey</v>
      </c>
      <c r="C287" s="10">
        <f>'A) Base RI'!V283</f>
        <v>19871</v>
      </c>
      <c r="D287" s="422">
        <f>'C) Prél. conj.'!H281</f>
        <v>1721318.2249999999</v>
      </c>
      <c r="E287" s="10">
        <f>'D) Ecrêtage'!M281</f>
        <v>773617.2273862958</v>
      </c>
      <c r="F287" s="422">
        <f>$F$10*'D) Ecrêtage'!C281</f>
        <v>14795889.293281335</v>
      </c>
      <c r="G287" s="55">
        <f t="shared" si="4"/>
        <v>17290824.745667629</v>
      </c>
    </row>
    <row r="288" spans="1:7" x14ac:dyDescent="0.25">
      <c r="A288" s="49">
        <f>'A) Base RI'!A284</f>
        <v>5891</v>
      </c>
      <c r="B288" s="291" t="str">
        <f>'A) Base RI'!B284</f>
        <v>Veytaux</v>
      </c>
      <c r="C288" s="10">
        <f>'A) Base RI'!V284</f>
        <v>922</v>
      </c>
      <c r="D288" s="422">
        <f>'C) Prél. conj.'!H282</f>
        <v>110649.9</v>
      </c>
      <c r="E288" s="10">
        <f>'D) Ecrêtage'!M282</f>
        <v>0</v>
      </c>
      <c r="F288" s="422">
        <f>$F$10*'D) Ecrêtage'!C282</f>
        <v>567863.70521478332</v>
      </c>
      <c r="G288" s="55">
        <f t="shared" si="4"/>
        <v>678513.60521478334</v>
      </c>
    </row>
    <row r="289" spans="1:7" x14ac:dyDescent="0.25">
      <c r="A289" s="49">
        <f>'A) Base RI'!A285</f>
        <v>5902</v>
      </c>
      <c r="B289" s="291" t="str">
        <f>'A) Base RI'!B285</f>
        <v>Belmont-sur-Yverdon</v>
      </c>
      <c r="C289" s="10">
        <f>'A) Base RI'!V285</f>
        <v>374</v>
      </c>
      <c r="D289" s="422">
        <f>'C) Prél. conj.'!H283</f>
        <v>0</v>
      </c>
      <c r="E289" s="10">
        <f>'D) Ecrêtage'!M283</f>
        <v>0</v>
      </c>
      <c r="F289" s="422">
        <f>$F$10*'D) Ecrêtage'!C283</f>
        <v>165204.09168107496</v>
      </c>
      <c r="G289" s="55">
        <f t="shared" si="4"/>
        <v>165204.09168107496</v>
      </c>
    </row>
    <row r="290" spans="1:7" x14ac:dyDescent="0.25">
      <c r="A290" s="49">
        <f>'A) Base RI'!A286</f>
        <v>5903</v>
      </c>
      <c r="B290" s="291" t="str">
        <f>'A) Base RI'!B286</f>
        <v>Bioley-Magnoux</v>
      </c>
      <c r="C290" s="10">
        <f>'A) Base RI'!V286</f>
        <v>228</v>
      </c>
      <c r="D290" s="422">
        <f>'C) Prél. conj.'!H284</f>
        <v>7495.9849999999997</v>
      </c>
      <c r="E290" s="10">
        <f>'D) Ecrêtage'!M284</f>
        <v>0</v>
      </c>
      <c r="F290" s="422">
        <f>$F$10*'D) Ecrêtage'!C284</f>
        <v>99244.52971111011</v>
      </c>
      <c r="G290" s="55">
        <f t="shared" si="4"/>
        <v>106740.51471111011</v>
      </c>
    </row>
    <row r="291" spans="1:7" x14ac:dyDescent="0.25">
      <c r="A291" s="49">
        <f>'A) Base RI'!A287</f>
        <v>5904</v>
      </c>
      <c r="B291" s="291" t="str">
        <f>'A) Base RI'!B287</f>
        <v>Chamblon</v>
      </c>
      <c r="C291" s="10">
        <f>'A) Base RI'!V287</f>
        <v>540</v>
      </c>
      <c r="D291" s="422">
        <f>'C) Prél. conj.'!H285</f>
        <v>26436.68</v>
      </c>
      <c r="E291" s="10">
        <f>'D) Ecrêtage'!M285</f>
        <v>0</v>
      </c>
      <c r="F291" s="422">
        <f>$F$10*'D) Ecrêtage'!C285</f>
        <v>336848.91017588414</v>
      </c>
      <c r="G291" s="55">
        <f t="shared" si="4"/>
        <v>363285.59017588414</v>
      </c>
    </row>
    <row r="292" spans="1:7" x14ac:dyDescent="0.25">
      <c r="A292" s="49">
        <f>'A) Base RI'!A288</f>
        <v>5905</v>
      </c>
      <c r="B292" s="291" t="str">
        <f>'A) Base RI'!B288</f>
        <v>Champvent</v>
      </c>
      <c r="C292" s="10">
        <f>'A) Base RI'!V288</f>
        <v>689</v>
      </c>
      <c r="D292" s="422">
        <f>'C) Prél. conj.'!H286</f>
        <v>176602.76500000001</v>
      </c>
      <c r="E292" s="10">
        <f>'D) Ecrêtage'!M286</f>
        <v>0</v>
      </c>
      <c r="F292" s="422">
        <f>$F$10*'D) Ecrêtage'!C286</f>
        <v>357591.55581509031</v>
      </c>
      <c r="G292" s="55">
        <f t="shared" si="4"/>
        <v>534194.32081509032</v>
      </c>
    </row>
    <row r="293" spans="1:7" x14ac:dyDescent="0.25">
      <c r="A293" s="49">
        <f>'A) Base RI'!A289</f>
        <v>5907</v>
      </c>
      <c r="B293" s="291" t="str">
        <f>'A) Base RI'!B289</f>
        <v>Chavannes-le-Chêne</v>
      </c>
      <c r="C293" s="10">
        <f>'A) Base RI'!V289</f>
        <v>311</v>
      </c>
      <c r="D293" s="422">
        <f>'C) Prél. conj.'!H287</f>
        <v>5508.4050000000007</v>
      </c>
      <c r="E293" s="10">
        <f>'D) Ecrêtage'!M287</f>
        <v>0</v>
      </c>
      <c r="F293" s="422">
        <f>$F$10*'D) Ecrêtage'!C287</f>
        <v>145350.64762112906</v>
      </c>
      <c r="G293" s="55">
        <f t="shared" si="4"/>
        <v>150859.05262112906</v>
      </c>
    </row>
    <row r="294" spans="1:7" x14ac:dyDescent="0.25">
      <c r="A294" s="49">
        <f>'A) Base RI'!A290</f>
        <v>5908</v>
      </c>
      <c r="B294" s="291" t="str">
        <f>'A) Base RI'!B290</f>
        <v>Chêne-Pâquier</v>
      </c>
      <c r="C294" s="10">
        <f>'A) Base RI'!V290</f>
        <v>153</v>
      </c>
      <c r="D294" s="422">
        <f>'C) Prél. conj.'!H288</f>
        <v>2336.0250000000001</v>
      </c>
      <c r="E294" s="10">
        <f>'D) Ecrêtage'!M288</f>
        <v>0</v>
      </c>
      <c r="F294" s="422">
        <f>$F$10*'D) Ecrêtage'!C288</f>
        <v>51756.701817834226</v>
      </c>
      <c r="G294" s="55">
        <f t="shared" si="4"/>
        <v>54092.726817834227</v>
      </c>
    </row>
    <row r="295" spans="1:7" x14ac:dyDescent="0.25">
      <c r="A295" s="49">
        <f>'A) Base RI'!A291</f>
        <v>5909</v>
      </c>
      <c r="B295" s="291" t="str">
        <f>'A) Base RI'!B291</f>
        <v>Cheseaux-Noréaz</v>
      </c>
      <c r="C295" s="10">
        <f>'A) Base RI'!V291</f>
        <v>725</v>
      </c>
      <c r="D295" s="422">
        <f>'C) Prél. conj.'!H289</f>
        <v>111574.15</v>
      </c>
      <c r="E295" s="10">
        <f>'D) Ecrêtage'!M289</f>
        <v>0</v>
      </c>
      <c r="F295" s="422">
        <f>$F$10*'D) Ecrêtage'!C289</f>
        <v>495888.29435905977</v>
      </c>
      <c r="G295" s="55">
        <f t="shared" si="4"/>
        <v>607462.44435905979</v>
      </c>
    </row>
    <row r="296" spans="1:7" x14ac:dyDescent="0.25">
      <c r="A296" s="49">
        <f>'A) Base RI'!A292</f>
        <v>5910</v>
      </c>
      <c r="B296" s="291" t="str">
        <f>'A) Base RI'!B292</f>
        <v>Cronay</v>
      </c>
      <c r="C296" s="10">
        <f>'A) Base RI'!V292</f>
        <v>394</v>
      </c>
      <c r="D296" s="422">
        <f>'C) Prél. conj.'!H290</f>
        <v>76827.975000000006</v>
      </c>
      <c r="E296" s="10">
        <f>'D) Ecrêtage'!M290</f>
        <v>0</v>
      </c>
      <c r="F296" s="422">
        <f>$F$10*'D) Ecrêtage'!C290</f>
        <v>156365.19682915034</v>
      </c>
      <c r="G296" s="55">
        <f t="shared" si="4"/>
        <v>233193.17182915035</v>
      </c>
    </row>
    <row r="297" spans="1:7" x14ac:dyDescent="0.25">
      <c r="A297" s="49">
        <f>'A) Base RI'!A293</f>
        <v>5911</v>
      </c>
      <c r="B297" s="291" t="str">
        <f>'A) Base RI'!B293</f>
        <v>Cuarny</v>
      </c>
      <c r="C297" s="10">
        <f>'A) Base RI'!V293</f>
        <v>239</v>
      </c>
      <c r="D297" s="422">
        <f>'C) Prél. conj.'!H291</f>
        <v>-7651.58</v>
      </c>
      <c r="E297" s="10">
        <f>'D) Ecrêtage'!M291</f>
        <v>0</v>
      </c>
      <c r="F297" s="422">
        <f>$F$10*'D) Ecrêtage'!C291</f>
        <v>120136.99038574767</v>
      </c>
      <c r="G297" s="55">
        <f t="shared" si="4"/>
        <v>112485.41038574767</v>
      </c>
    </row>
    <row r="298" spans="1:7" x14ac:dyDescent="0.25">
      <c r="A298" s="49">
        <f>'A) Base RI'!A294</f>
        <v>5912</v>
      </c>
      <c r="B298" s="291" t="str">
        <f>'A) Base RI'!B294</f>
        <v>Démoret</v>
      </c>
      <c r="C298" s="10">
        <f>'A) Base RI'!V294</f>
        <v>156</v>
      </c>
      <c r="D298" s="422">
        <f>'C) Prél. conj.'!H292</f>
        <v>0</v>
      </c>
      <c r="E298" s="10">
        <f>'D) Ecrêtage'!M292</f>
        <v>0</v>
      </c>
      <c r="F298" s="422">
        <f>$F$10*'D) Ecrêtage'!C292</f>
        <v>60769.666107222925</v>
      </c>
      <c r="G298" s="55">
        <f t="shared" si="4"/>
        <v>60769.666107222925</v>
      </c>
    </row>
    <row r="299" spans="1:7" x14ac:dyDescent="0.25">
      <c r="A299" s="49">
        <f>'A) Base RI'!A295</f>
        <v>5913</v>
      </c>
      <c r="B299" s="291" t="str">
        <f>'A) Base RI'!B295</f>
        <v>Donneloye</v>
      </c>
      <c r="C299" s="10">
        <f>'A) Base RI'!V295</f>
        <v>823</v>
      </c>
      <c r="D299" s="422">
        <f>'C) Prél. conj.'!H293</f>
        <v>83029.354999999996</v>
      </c>
      <c r="E299" s="10">
        <f>'D) Ecrêtage'!M293</f>
        <v>0</v>
      </c>
      <c r="F299" s="422">
        <f>$F$10*'D) Ecrêtage'!C293</f>
        <v>330579.16039367887</v>
      </c>
      <c r="G299" s="55">
        <f t="shared" si="4"/>
        <v>413608.51539367886</v>
      </c>
    </row>
    <row r="300" spans="1:7" x14ac:dyDescent="0.25">
      <c r="A300" s="49">
        <f>'A) Base RI'!A296</f>
        <v>5914</v>
      </c>
      <c r="B300" s="291" t="str">
        <f>'A) Base RI'!B296</f>
        <v>Ependes</v>
      </c>
      <c r="C300" s="10">
        <f>'A) Base RI'!V296</f>
        <v>357</v>
      </c>
      <c r="D300" s="422">
        <f>'C) Prél. conj.'!H294</f>
        <v>11237.395</v>
      </c>
      <c r="E300" s="10">
        <f>'D) Ecrêtage'!M294</f>
        <v>0</v>
      </c>
      <c r="F300" s="422">
        <f>$F$10*'D) Ecrêtage'!C294</f>
        <v>155170.35199438033</v>
      </c>
      <c r="G300" s="55">
        <f t="shared" si="4"/>
        <v>166407.74699438032</v>
      </c>
    </row>
    <row r="301" spans="1:7" x14ac:dyDescent="0.25">
      <c r="A301" s="49">
        <f>'A) Base RI'!A297</f>
        <v>5919</v>
      </c>
      <c r="B301" s="291" t="str">
        <f>'A) Base RI'!B297</f>
        <v>Mathod</v>
      </c>
      <c r="C301" s="10">
        <f>'A) Base RI'!V297</f>
        <v>601</v>
      </c>
      <c r="D301" s="422">
        <f>'C) Prél. conj.'!H295</f>
        <v>30660.09</v>
      </c>
      <c r="E301" s="10">
        <f>'D) Ecrêtage'!M295</f>
        <v>0</v>
      </c>
      <c r="F301" s="422">
        <f>$F$10*'D) Ecrêtage'!C295</f>
        <v>267166.70814932988</v>
      </c>
      <c r="G301" s="55">
        <f t="shared" si="4"/>
        <v>297826.7981493299</v>
      </c>
    </row>
    <row r="302" spans="1:7" x14ac:dyDescent="0.25">
      <c r="A302" s="49">
        <f>'A) Base RI'!A298</f>
        <v>5921</v>
      </c>
      <c r="B302" s="291" t="str">
        <f>'A) Base RI'!B298</f>
        <v>Molondin</v>
      </c>
      <c r="C302" s="10">
        <f>'A) Base RI'!V298</f>
        <v>240</v>
      </c>
      <c r="D302" s="422">
        <f>'C) Prél. conj.'!H296</f>
        <v>21605.15</v>
      </c>
      <c r="E302" s="10">
        <f>'D) Ecrêtage'!M296</f>
        <v>0</v>
      </c>
      <c r="F302" s="422">
        <f>$F$10*'D) Ecrêtage'!C296</f>
        <v>86599.511030440364</v>
      </c>
      <c r="G302" s="55">
        <f t="shared" si="4"/>
        <v>108204.66103044036</v>
      </c>
    </row>
    <row r="303" spans="1:7" x14ac:dyDescent="0.25">
      <c r="A303" s="49">
        <f>'A) Base RI'!A299</f>
        <v>5922</v>
      </c>
      <c r="B303" s="291" t="str">
        <f>'A) Base RI'!B299</f>
        <v>Montagny-près-Yverdon</v>
      </c>
      <c r="C303" s="10">
        <f>'A) Base RI'!V299</f>
        <v>747</v>
      </c>
      <c r="D303" s="422">
        <f>'C) Prél. conj.'!H297</f>
        <v>162944.75</v>
      </c>
      <c r="E303" s="10">
        <f>'D) Ecrêtage'!M297</f>
        <v>21086.336175509605</v>
      </c>
      <c r="F303" s="422">
        <f>$F$10*'D) Ecrêtage'!C297</f>
        <v>551747.93051574624</v>
      </c>
      <c r="G303" s="55">
        <f t="shared" si="4"/>
        <v>735779.01669125585</v>
      </c>
    </row>
    <row r="304" spans="1:7" x14ac:dyDescent="0.25">
      <c r="A304" s="49">
        <f>'A) Base RI'!A300</f>
        <v>5923</v>
      </c>
      <c r="B304" s="291" t="str">
        <f>'A) Base RI'!B300</f>
        <v>Oppens</v>
      </c>
      <c r="C304" s="10">
        <f>'A) Base RI'!V300</f>
        <v>202</v>
      </c>
      <c r="D304" s="422">
        <f>'C) Prél. conj.'!H298</f>
        <v>14281.14</v>
      </c>
      <c r="E304" s="10">
        <f>'D) Ecrêtage'!M298</f>
        <v>0</v>
      </c>
      <c r="F304" s="422">
        <f>$F$10*'D) Ecrêtage'!C298</f>
        <v>82640.451359828585</v>
      </c>
      <c r="G304" s="55">
        <f t="shared" si="4"/>
        <v>96921.591359828584</v>
      </c>
    </row>
    <row r="305" spans="1:7" x14ac:dyDescent="0.25">
      <c r="A305" s="49">
        <f>'A) Base RI'!A301</f>
        <v>5924</v>
      </c>
      <c r="B305" s="291" t="str">
        <f>'A) Base RI'!B301</f>
        <v>Orges</v>
      </c>
      <c r="C305" s="10">
        <f>'A) Base RI'!V301</f>
        <v>332</v>
      </c>
      <c r="D305" s="422">
        <f>'C) Prél. conj.'!H299</f>
        <v>47783.165000000008</v>
      </c>
      <c r="E305" s="10">
        <f>'D) Ecrêtage'!M299</f>
        <v>0</v>
      </c>
      <c r="F305" s="422">
        <f>$F$10*'D) Ecrêtage'!C299</f>
        <v>181937.89283875949</v>
      </c>
      <c r="G305" s="55">
        <f t="shared" si="4"/>
        <v>229721.0578387595</v>
      </c>
    </row>
    <row r="306" spans="1:7" x14ac:dyDescent="0.25">
      <c r="A306" s="49">
        <f>'A) Base RI'!A302</f>
        <v>5925</v>
      </c>
      <c r="B306" s="291" t="str">
        <f>'A) Base RI'!B302</f>
        <v>Orzens</v>
      </c>
      <c r="C306" s="10">
        <f>'A) Base RI'!V302</f>
        <v>208</v>
      </c>
      <c r="D306" s="422">
        <f>'C) Prél. conj.'!H300</f>
        <v>95358.565000000002</v>
      </c>
      <c r="E306" s="10">
        <f>'D) Ecrêtage'!M300</f>
        <v>0</v>
      </c>
      <c r="F306" s="422">
        <f>$F$10*'D) Ecrêtage'!C300</f>
        <v>81919.991172745213</v>
      </c>
      <c r="G306" s="55">
        <f t="shared" si="4"/>
        <v>177278.55617274522</v>
      </c>
    </row>
    <row r="307" spans="1:7" x14ac:dyDescent="0.25">
      <c r="A307" s="49">
        <f>'A) Base RI'!A303</f>
        <v>5926</v>
      </c>
      <c r="B307" s="291" t="str">
        <f>'A) Base RI'!B303</f>
        <v>Pomy</v>
      </c>
      <c r="C307" s="10">
        <f>'A) Base RI'!V303</f>
        <v>793</v>
      </c>
      <c r="D307" s="422">
        <f>'C) Prél. conj.'!H301</f>
        <v>47234.44</v>
      </c>
      <c r="E307" s="10">
        <f>'D) Ecrêtage'!M301</f>
        <v>0</v>
      </c>
      <c r="F307" s="422">
        <f>$F$10*'D) Ecrêtage'!C301</f>
        <v>421383.39027336548</v>
      </c>
      <c r="G307" s="55">
        <f t="shared" si="4"/>
        <v>468617.83027336549</v>
      </c>
    </row>
    <row r="308" spans="1:7" x14ac:dyDescent="0.25">
      <c r="A308" s="49">
        <f>'A) Base RI'!A304</f>
        <v>5928</v>
      </c>
      <c r="B308" s="291" t="str">
        <f>'A) Base RI'!B304</f>
        <v>Rovray</v>
      </c>
      <c r="C308" s="10">
        <f>'A) Base RI'!V304</f>
        <v>185</v>
      </c>
      <c r="D308" s="422">
        <f>'C) Prél. conj.'!H302</f>
        <v>28699.350000000002</v>
      </c>
      <c r="E308" s="10">
        <f>'D) Ecrêtage'!M302</f>
        <v>0</v>
      </c>
      <c r="F308" s="422">
        <f>$F$10*'D) Ecrêtage'!C302</f>
        <v>92045.139726706475</v>
      </c>
      <c r="G308" s="55">
        <f t="shared" si="4"/>
        <v>120744.48972670648</v>
      </c>
    </row>
    <row r="309" spans="1:7" x14ac:dyDescent="0.25">
      <c r="A309" s="49">
        <f>'A) Base RI'!A305</f>
        <v>5929</v>
      </c>
      <c r="B309" s="291" t="str">
        <f>'A) Base RI'!B305</f>
        <v>Suchy</v>
      </c>
      <c r="C309" s="10">
        <f>'A) Base RI'!V305</f>
        <v>645</v>
      </c>
      <c r="D309" s="422">
        <f>'C) Prél. conj.'!H303</f>
        <v>105945.72000000002</v>
      </c>
      <c r="E309" s="10">
        <f>'D) Ecrêtage'!M303</f>
        <v>0</v>
      </c>
      <c r="F309" s="422">
        <f>$F$10*'D) Ecrêtage'!C303</f>
        <v>263964.40077986149</v>
      </c>
      <c r="G309" s="55">
        <f t="shared" si="4"/>
        <v>369910.12077986152</v>
      </c>
    </row>
    <row r="310" spans="1:7" x14ac:dyDescent="0.25">
      <c r="A310" s="49">
        <f>'A) Base RI'!A306</f>
        <v>5930</v>
      </c>
      <c r="B310" s="291" t="str">
        <f>'A) Base RI'!B306</f>
        <v>Suscévaz</v>
      </c>
      <c r="C310" s="10">
        <f>'A) Base RI'!V306</f>
        <v>215</v>
      </c>
      <c r="D310" s="422">
        <f>'C) Prél. conj.'!H304</f>
        <v>1350.7</v>
      </c>
      <c r="E310" s="10">
        <f>'D) Ecrêtage'!M304</f>
        <v>0</v>
      </c>
      <c r="F310" s="422">
        <f>$F$10*'D) Ecrêtage'!C304</f>
        <v>89835.700313806301</v>
      </c>
      <c r="G310" s="55">
        <f t="shared" si="4"/>
        <v>91186.400313806298</v>
      </c>
    </row>
    <row r="311" spans="1:7" x14ac:dyDescent="0.25">
      <c r="A311" s="49">
        <f>'A) Base RI'!A307</f>
        <v>5931</v>
      </c>
      <c r="B311" s="291" t="str">
        <f>'A) Base RI'!B307</f>
        <v>Treycovagnes</v>
      </c>
      <c r="C311" s="10">
        <f>'A) Base RI'!V307</f>
        <v>492</v>
      </c>
      <c r="D311" s="422">
        <f>'C) Prél. conj.'!H305</f>
        <v>22906.255000000001</v>
      </c>
      <c r="E311" s="10">
        <f>'D) Ecrêtage'!M305</f>
        <v>0</v>
      </c>
      <c r="F311" s="422">
        <f>$F$10*'D) Ecrêtage'!C305</f>
        <v>186645.09014910905</v>
      </c>
      <c r="G311" s="55">
        <f t="shared" si="4"/>
        <v>209551.34514910905</v>
      </c>
    </row>
    <row r="312" spans="1:7" x14ac:dyDescent="0.25">
      <c r="A312" s="49">
        <f>'A) Base RI'!A308</f>
        <v>5932</v>
      </c>
      <c r="B312" s="291" t="str">
        <f>'A) Base RI'!B308</f>
        <v>Ursins</v>
      </c>
      <c r="C312" s="10">
        <f>'A) Base RI'!V308</f>
        <v>225</v>
      </c>
      <c r="D312" s="422">
        <f>'C) Prél. conj.'!H306</f>
        <v>23261.875</v>
      </c>
      <c r="E312" s="10">
        <f>'D) Ecrêtage'!M306</f>
        <v>0</v>
      </c>
      <c r="F312" s="422">
        <f>$F$10*'D) Ecrêtage'!C306</f>
        <v>126907.37434803191</v>
      </c>
      <c r="G312" s="55">
        <f t="shared" si="4"/>
        <v>150169.24934803191</v>
      </c>
    </row>
    <row r="313" spans="1:7" x14ac:dyDescent="0.25">
      <c r="A313" s="49">
        <f>'A) Base RI'!A309</f>
        <v>5933</v>
      </c>
      <c r="B313" s="291" t="str">
        <f>'A) Base RI'!B309</f>
        <v>Valeyres-sous-Montagny</v>
      </c>
      <c r="C313" s="10">
        <f>'A) Base RI'!V309</f>
        <v>709</v>
      </c>
      <c r="D313" s="422">
        <f>'C) Prél. conj.'!H307</f>
        <v>68492.864999999991</v>
      </c>
      <c r="E313" s="10">
        <f>'D) Ecrêtage'!M307</f>
        <v>0</v>
      </c>
      <c r="F313" s="422">
        <f>$F$10*'D) Ecrêtage'!C307</f>
        <v>338688.42371076642</v>
      </c>
      <c r="G313" s="55">
        <f t="shared" si="4"/>
        <v>407181.28871076641</v>
      </c>
    </row>
    <row r="314" spans="1:7" x14ac:dyDescent="0.25">
      <c r="A314" s="49">
        <f>'A) Base RI'!A310</f>
        <v>5934</v>
      </c>
      <c r="B314" s="291" t="str">
        <f>'A) Base RI'!B310</f>
        <v>Valeyres-sous-Ursins</v>
      </c>
      <c r="C314" s="10">
        <f>'A) Base RI'!V310</f>
        <v>227</v>
      </c>
      <c r="D314" s="422">
        <f>'C) Prél. conj.'!H308</f>
        <v>18759.175000000003</v>
      </c>
      <c r="E314" s="10">
        <f>'D) Ecrêtage'!M308</f>
        <v>0</v>
      </c>
      <c r="F314" s="422">
        <f>$F$10*'D) Ecrêtage'!C308</f>
        <v>115722.61795574486</v>
      </c>
      <c r="G314" s="55">
        <f t="shared" si="4"/>
        <v>134481.79295574487</v>
      </c>
    </row>
    <row r="315" spans="1:7" x14ac:dyDescent="0.25">
      <c r="A315" s="49">
        <f>'A) Base RI'!A311</f>
        <v>5935</v>
      </c>
      <c r="B315" s="291" t="str">
        <f>'A) Base RI'!B311</f>
        <v>Villars-Epeney</v>
      </c>
      <c r="C315" s="10">
        <f>'A) Base RI'!V311</f>
        <v>102</v>
      </c>
      <c r="D315" s="422">
        <f>'C) Prél. conj.'!H309</f>
        <v>550</v>
      </c>
      <c r="E315" s="10">
        <f>'D) Ecrêtage'!M309</f>
        <v>1929.3251395032923</v>
      </c>
      <c r="F315" s="422">
        <f>$F$10*'D) Ecrêtage'!C309</f>
        <v>74408.29820018787</v>
      </c>
      <c r="G315" s="55">
        <f t="shared" si="4"/>
        <v>76887.623339691156</v>
      </c>
    </row>
    <row r="316" spans="1:7" x14ac:dyDescent="0.25">
      <c r="A316" s="49">
        <f>'A) Base RI'!A312</f>
        <v>5937</v>
      </c>
      <c r="B316" s="291" t="str">
        <f>'A) Base RI'!B312</f>
        <v>Vugelles-La Mothe</v>
      </c>
      <c r="C316" s="10">
        <f>'A) Base RI'!V312</f>
        <v>135</v>
      </c>
      <c r="D316" s="422">
        <f>'C) Prél. conj.'!H310</f>
        <v>17226.055</v>
      </c>
      <c r="E316" s="10">
        <f>'D) Ecrêtage'!M310</f>
        <v>0</v>
      </c>
      <c r="F316" s="422">
        <f>$F$10*'D) Ecrêtage'!C310</f>
        <v>46207.210788612785</v>
      </c>
      <c r="G316" s="55">
        <f t="shared" si="4"/>
        <v>63433.265788612785</v>
      </c>
    </row>
    <row r="317" spans="1:7" x14ac:dyDescent="0.25">
      <c r="A317" s="49">
        <f>'A) Base RI'!A313</f>
        <v>5938</v>
      </c>
      <c r="B317" s="291" t="str">
        <f>'A) Base RI'!B313</f>
        <v>Yverdon-les-Bains</v>
      </c>
      <c r="C317" s="10">
        <f>'A) Base RI'!V313</f>
        <v>30189</v>
      </c>
      <c r="D317" s="422">
        <f>'C) Prél. conj.'!H311</f>
        <v>3188812.5999999996</v>
      </c>
      <c r="E317" s="10">
        <f>'D) Ecrêtage'!M311</f>
        <v>0</v>
      </c>
      <c r="F317" s="422">
        <f>$F$10*'D) Ecrêtage'!C311</f>
        <v>11985142.996625938</v>
      </c>
      <c r="G317" s="55">
        <f t="shared" si="4"/>
        <v>15173955.596625937</v>
      </c>
    </row>
    <row r="318" spans="1:7" x14ac:dyDescent="0.25">
      <c r="A318" s="49">
        <f>'A) Base RI'!A314</f>
        <v>5939</v>
      </c>
      <c r="B318" s="291" t="str">
        <f>'A) Base RI'!B314</f>
        <v>Yvonand</v>
      </c>
      <c r="C318" s="10">
        <f>'A) Base RI'!V314</f>
        <v>3434</v>
      </c>
      <c r="D318" s="422">
        <f>'C) Prél. conj.'!H312</f>
        <v>654394.505</v>
      </c>
      <c r="E318" s="10">
        <f>'D) Ecrêtage'!M312</f>
        <v>0</v>
      </c>
      <c r="F318" s="422">
        <f>$F$10*'D) Ecrêtage'!C312</f>
        <v>1456930.4478675439</v>
      </c>
      <c r="G318" s="55">
        <f t="shared" si="4"/>
        <v>2111324.9528675438</v>
      </c>
    </row>
    <row r="319" spans="1:7" x14ac:dyDescent="0.25">
      <c r="A319" s="30"/>
      <c r="B319" s="297">
        <f>COUNTA(B11:B318)</f>
        <v>308</v>
      </c>
      <c r="C319" s="11">
        <f>SUM(C11:C318)</f>
        <v>806088</v>
      </c>
      <c r="D319" s="298">
        <f>SUM(D11:D318)</f>
        <v>135162580.34000006</v>
      </c>
      <c r="E319" s="11">
        <f>SUM(E11:E318)</f>
        <v>112155807.2822234</v>
      </c>
      <c r="F319" s="298">
        <f>SUM(F11:F318)</f>
        <v>568553712.37777627</v>
      </c>
      <c r="G319" s="37">
        <f>SUM(G11:G318)</f>
        <v>815872099.99999952</v>
      </c>
    </row>
    <row r="320" spans="1:7" x14ac:dyDescent="0.25">
      <c r="C320" s="71"/>
      <c r="D320" s="71"/>
      <c r="E320" s="71"/>
      <c r="F320" s="71"/>
    </row>
    <row r="321" spans="1:13" x14ac:dyDescent="0.25">
      <c r="A321" s="72"/>
      <c r="B321" s="73"/>
      <c r="C321" s="73"/>
      <c r="D321" s="45"/>
      <c r="E321" s="74"/>
      <c r="F321" s="16"/>
      <c r="G321" s="16"/>
      <c r="H321" s="16"/>
      <c r="I321" s="16"/>
      <c r="J321" s="16"/>
      <c r="M321" s="16"/>
    </row>
    <row r="322" spans="1:13" x14ac:dyDescent="0.25">
      <c r="F322" s="72"/>
      <c r="G322" s="72"/>
      <c r="H322" s="72"/>
      <c r="I322" s="72"/>
      <c r="J322" s="72"/>
      <c r="K322" s="72"/>
      <c r="L322" s="73"/>
      <c r="M322" s="72"/>
    </row>
    <row r="323" spans="1:13" x14ac:dyDescent="0.25">
      <c r="F323" s="73"/>
      <c r="G323" s="72"/>
      <c r="H323" s="72"/>
      <c r="I323" s="72"/>
      <c r="J323" s="72"/>
      <c r="K323" s="72"/>
      <c r="L323" s="72"/>
      <c r="M323" s="72"/>
    </row>
    <row r="324" spans="1:13" x14ac:dyDescent="0.25">
      <c r="F324" s="73"/>
      <c r="G324" s="72"/>
      <c r="H324" s="72"/>
      <c r="I324" s="72"/>
      <c r="M324" s="72"/>
    </row>
    <row r="325" spans="1:13" x14ac:dyDescent="0.25">
      <c r="F325" s="73"/>
      <c r="G325" s="72"/>
      <c r="H325" s="72"/>
      <c r="I325" s="72"/>
      <c r="M325" s="72"/>
    </row>
    <row r="326" spans="1:13" x14ac:dyDescent="0.25">
      <c r="F326" s="85"/>
      <c r="G326" s="72"/>
      <c r="H326" s="72"/>
      <c r="I326" s="72"/>
      <c r="M326" s="72"/>
    </row>
    <row r="327" spans="1:13" x14ac:dyDescent="0.25">
      <c r="D327" s="17"/>
      <c r="E327" s="72"/>
      <c r="F327" s="72"/>
      <c r="G327" s="72"/>
      <c r="H327" s="72"/>
      <c r="I327" s="72"/>
      <c r="J327" s="72"/>
      <c r="K327" s="72"/>
      <c r="L327" s="72"/>
      <c r="M327" s="72"/>
    </row>
    <row r="328" spans="1:13" x14ac:dyDescent="0.25">
      <c r="C328" s="58"/>
      <c r="E328" s="72"/>
      <c r="F328" s="72"/>
      <c r="G328" s="72"/>
      <c r="H328" s="72"/>
      <c r="I328" s="72"/>
      <c r="J328" s="72"/>
      <c r="K328" s="72"/>
      <c r="L328" s="72"/>
      <c r="M328" s="72"/>
    </row>
    <row r="329" spans="1:13" x14ac:dyDescent="0.25">
      <c r="E329" s="72"/>
      <c r="F329" s="72"/>
      <c r="G329" s="72"/>
      <c r="H329" s="72"/>
      <c r="I329" s="72"/>
      <c r="J329" s="72"/>
      <c r="M329" s="72"/>
    </row>
    <row r="330" spans="1:13" x14ac:dyDescent="0.25">
      <c r="E330" s="72"/>
      <c r="F330" s="72"/>
      <c r="G330" s="72"/>
      <c r="H330" s="72"/>
      <c r="I330" s="72"/>
      <c r="J330" s="72"/>
      <c r="M330" s="72"/>
    </row>
    <row r="331" spans="1:13" x14ac:dyDescent="0.25">
      <c r="E331" s="72"/>
      <c r="F331" s="72"/>
      <c r="G331" s="72"/>
      <c r="H331" s="72"/>
      <c r="I331" s="72"/>
      <c r="J331" s="72"/>
      <c r="M331" s="72"/>
    </row>
  </sheetData>
  <mergeCells count="7">
    <mergeCell ref="A3:C3"/>
    <mergeCell ref="A9:A10"/>
    <mergeCell ref="G9:G10"/>
    <mergeCell ref="E9:E10"/>
    <mergeCell ref="D9:D10"/>
    <mergeCell ref="C9:C10"/>
    <mergeCell ref="B9:B10"/>
  </mergeCells>
  <phoneticPr fontId="0" type="noConversion"/>
  <printOptions horizontalCentered="1"/>
  <pageMargins left="0" right="0" top="0" bottom="0" header="0.51181102362204722" footer="0.51181102362204722"/>
  <pageSetup paperSize="9" scale="73"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9">
    <tabColor rgb="FF00B050"/>
  </sheetPr>
  <dimension ref="A1:L327"/>
  <sheetViews>
    <sheetView workbookViewId="0"/>
  </sheetViews>
  <sheetFormatPr baseColWidth="10" defaultColWidth="11" defaultRowHeight="15" x14ac:dyDescent="0.25"/>
  <cols>
    <col min="1" max="1" width="7.25" style="13" customWidth="1"/>
    <col min="2" max="2" width="17.375" style="13" bestFit="1" customWidth="1"/>
    <col min="3" max="3" width="11.875" style="13" customWidth="1"/>
    <col min="4" max="9" width="11" style="13"/>
    <col min="10" max="10" width="8.25" style="13" bestFit="1" customWidth="1"/>
    <col min="11" max="11" width="10.75" style="13" bestFit="1" customWidth="1"/>
    <col min="12" max="16384" width="11" style="13"/>
  </cols>
  <sheetData>
    <row r="1" spans="1:12" ht="21" x14ac:dyDescent="0.25">
      <c r="A1" s="51" t="s">
        <v>450</v>
      </c>
      <c r="B1" s="42"/>
      <c r="C1" s="68"/>
    </row>
    <row r="2" spans="1:12" x14ac:dyDescent="0.25">
      <c r="A2" s="27"/>
      <c r="B2" s="53"/>
    </row>
    <row r="3" spans="1:12" x14ac:dyDescent="0.25">
      <c r="A3" s="27"/>
      <c r="B3" s="53"/>
      <c r="C3" s="511" t="s">
        <v>307</v>
      </c>
      <c r="D3" s="512"/>
      <c r="E3" s="512"/>
      <c r="F3" s="512"/>
      <c r="G3" s="512"/>
      <c r="H3" s="512"/>
      <c r="I3" s="512"/>
      <c r="J3" s="513"/>
    </row>
    <row r="4" spans="1:12" x14ac:dyDescent="0.25">
      <c r="C4" s="122" t="s">
        <v>306</v>
      </c>
      <c r="D4" s="102">
        <f>Paramètres!B24</f>
        <v>0</v>
      </c>
      <c r="E4" s="102">
        <f>Paramètres!C24</f>
        <v>1000</v>
      </c>
      <c r="F4" s="102">
        <f>Paramètres!D24</f>
        <v>3000</v>
      </c>
      <c r="G4" s="102">
        <f>Paramètres!E24</f>
        <v>5000</v>
      </c>
      <c r="H4" s="102">
        <f>Paramètres!F24</f>
        <v>9000</v>
      </c>
      <c r="I4" s="102">
        <f>Paramètres!G24</f>
        <v>12000</v>
      </c>
      <c r="J4" s="102">
        <f>Paramètres!H24</f>
        <v>15000</v>
      </c>
    </row>
    <row r="5" spans="1:12" x14ac:dyDescent="0.25">
      <c r="C5" s="105" t="s">
        <v>308</v>
      </c>
      <c r="D5" s="102">
        <f>Paramètres!B25</f>
        <v>1000</v>
      </c>
      <c r="E5" s="102">
        <f>Paramètres!C25</f>
        <v>3000</v>
      </c>
      <c r="F5" s="102">
        <f>Paramètres!D25</f>
        <v>5000</v>
      </c>
      <c r="G5" s="102">
        <f>Paramètres!E25</f>
        <v>9000</v>
      </c>
      <c r="H5" s="102">
        <f>Paramètres!F25</f>
        <v>12000</v>
      </c>
      <c r="I5" s="102">
        <f>Paramètres!G25</f>
        <v>15000</v>
      </c>
      <c r="J5" s="102"/>
    </row>
    <row r="6" spans="1:12" ht="30" customHeight="1" x14ac:dyDescent="0.25">
      <c r="A6" s="492" t="s">
        <v>46</v>
      </c>
      <c r="B6" s="492" t="s">
        <v>95</v>
      </c>
      <c r="C6" s="492" t="s">
        <v>303</v>
      </c>
      <c r="D6" s="500" t="s">
        <v>309</v>
      </c>
      <c r="E6" s="501"/>
      <c r="F6" s="501"/>
      <c r="G6" s="501"/>
      <c r="H6" s="501"/>
      <c r="I6" s="501"/>
      <c r="J6" s="502"/>
      <c r="K6" s="492" t="s">
        <v>294</v>
      </c>
    </row>
    <row r="7" spans="1:12" x14ac:dyDescent="0.25">
      <c r="A7" s="493"/>
      <c r="B7" s="494"/>
      <c r="C7" s="494"/>
      <c r="D7" s="273">
        <f>Paramètres!B29</f>
        <v>125.62877263581488</v>
      </c>
      <c r="E7" s="273">
        <f>Paramètres!C29</f>
        <v>351.76056338028167</v>
      </c>
      <c r="F7" s="273">
        <f>Paramètres!D29</f>
        <v>502.51509054325953</v>
      </c>
      <c r="G7" s="273">
        <f>Paramètres!E29</f>
        <v>603.01810865191146</v>
      </c>
      <c r="H7" s="273">
        <f>Paramètres!F29</f>
        <v>854.2756539235412</v>
      </c>
      <c r="I7" s="273">
        <f>Paramètres!G29</f>
        <v>1005.0301810865191</v>
      </c>
      <c r="J7" s="273">
        <f>Paramètres!H29</f>
        <v>1055.2816901408451</v>
      </c>
      <c r="K7" s="493"/>
    </row>
    <row r="8" spans="1:12" x14ac:dyDescent="0.25">
      <c r="A8" s="46">
        <f>'A) Base RI'!A7</f>
        <v>5401</v>
      </c>
      <c r="B8" s="293" t="str">
        <f>'A) Base RI'!B7</f>
        <v>Aigle</v>
      </c>
      <c r="C8" s="54">
        <f>'A) Base RI'!V7</f>
        <v>10217</v>
      </c>
      <c r="D8" s="10">
        <f>IF($C8&gt;D$4,IF($C8&lt;D$5,$C8-D$4,D$5-D$4),0)</f>
        <v>1000</v>
      </c>
      <c r="E8" s="14">
        <f t="shared" ref="E8:I23" si="0">IF($C8&gt;E$4,IF($C8&lt;E$5,$C8-E$4,E$5-E$4),0)</f>
        <v>2000</v>
      </c>
      <c r="F8" s="10">
        <f t="shared" si="0"/>
        <v>2000</v>
      </c>
      <c r="G8" s="14">
        <f t="shared" si="0"/>
        <v>4000</v>
      </c>
      <c r="H8" s="41">
        <f t="shared" si="0"/>
        <v>1217</v>
      </c>
      <c r="I8" s="10">
        <f t="shared" si="0"/>
        <v>0</v>
      </c>
      <c r="J8" s="10">
        <f>IF(C8&gt;$J$4,C8-$J$4,0)</f>
        <v>0</v>
      </c>
      <c r="K8" s="113">
        <f>(D8*D$7)+(E8*E$7)+(F8*F$7)+(G8*G$7)+(H8*H$7)+(I8*I$7)+(J8*J$7)</f>
        <v>5285905.9859154932</v>
      </c>
    </row>
    <row r="9" spans="1:12" x14ac:dyDescent="0.25">
      <c r="A9" s="49">
        <f>'A) Base RI'!A8</f>
        <v>5402</v>
      </c>
      <c r="B9" s="293" t="str">
        <f>'A) Base RI'!B8</f>
        <v>Bex</v>
      </c>
      <c r="C9" s="10">
        <f>'A) Base RI'!V8</f>
        <v>7869</v>
      </c>
      <c r="D9" s="10">
        <f t="shared" ref="D9:I62" si="1">IF($C9&gt;D$4,IF($C9&lt;D$5,$C9-D$4,D$5-D$4),0)</f>
        <v>1000</v>
      </c>
      <c r="E9" s="422">
        <f t="shared" si="0"/>
        <v>2000</v>
      </c>
      <c r="F9" s="10">
        <f t="shared" si="0"/>
        <v>2000</v>
      </c>
      <c r="G9" s="422">
        <f t="shared" si="0"/>
        <v>2869</v>
      </c>
      <c r="H9" s="41">
        <f t="shared" si="0"/>
        <v>0</v>
      </c>
      <c r="I9" s="10">
        <f t="shared" si="0"/>
        <v>0</v>
      </c>
      <c r="J9" s="10">
        <f t="shared" ref="J9:J71" si="2">IF(C9&gt;$J$4,C9-$J$4,0)</f>
        <v>0</v>
      </c>
      <c r="K9" s="113">
        <f t="shared" ref="K9:K71" si="3">(D9*D$7)+(E9*E$7)+(F9*F$7)+(G9*G$7)+(H9*H$7)+(I9*I$7)+(J9*J$7)</f>
        <v>3564239.0342052313</v>
      </c>
    </row>
    <row r="10" spans="1:12" x14ac:dyDescent="0.25">
      <c r="A10" s="49">
        <f>'A) Base RI'!A9</f>
        <v>5403</v>
      </c>
      <c r="B10" s="293" t="str">
        <f>'A) Base RI'!B9</f>
        <v>Chessel</v>
      </c>
      <c r="C10" s="10">
        <f>'A) Base RI'!V9</f>
        <v>429</v>
      </c>
      <c r="D10" s="10">
        <f t="shared" si="1"/>
        <v>429</v>
      </c>
      <c r="E10" s="422">
        <f t="shared" si="0"/>
        <v>0</v>
      </c>
      <c r="F10" s="10">
        <f t="shared" si="0"/>
        <v>0</v>
      </c>
      <c r="G10" s="422">
        <f t="shared" si="0"/>
        <v>0</v>
      </c>
      <c r="H10" s="41">
        <f t="shared" si="0"/>
        <v>0</v>
      </c>
      <c r="I10" s="10">
        <f t="shared" si="0"/>
        <v>0</v>
      </c>
      <c r="J10" s="10">
        <f t="shared" si="2"/>
        <v>0</v>
      </c>
      <c r="K10" s="113">
        <f t="shared" si="3"/>
        <v>53894.743460764585</v>
      </c>
    </row>
    <row r="11" spans="1:12" x14ac:dyDescent="0.25">
      <c r="A11" s="49">
        <f>'A) Base RI'!A10</f>
        <v>5404</v>
      </c>
      <c r="B11" s="293" t="str">
        <f>'A) Base RI'!B10</f>
        <v>Corbeyrier</v>
      </c>
      <c r="C11" s="10">
        <f>'A) Base RI'!V10</f>
        <v>437</v>
      </c>
      <c r="D11" s="10">
        <f t="shared" si="1"/>
        <v>437</v>
      </c>
      <c r="E11" s="422">
        <f t="shared" si="0"/>
        <v>0</v>
      </c>
      <c r="F11" s="10">
        <f t="shared" si="0"/>
        <v>0</v>
      </c>
      <c r="G11" s="422">
        <f t="shared" si="0"/>
        <v>0</v>
      </c>
      <c r="H11" s="41">
        <f t="shared" si="0"/>
        <v>0</v>
      </c>
      <c r="I11" s="10">
        <f t="shared" si="0"/>
        <v>0</v>
      </c>
      <c r="J11" s="10">
        <f t="shared" si="2"/>
        <v>0</v>
      </c>
      <c r="K11" s="113">
        <f t="shared" si="3"/>
        <v>54899.773641851105</v>
      </c>
    </row>
    <row r="12" spans="1:12" x14ac:dyDescent="0.25">
      <c r="A12" s="49">
        <f>'A) Base RI'!A11</f>
        <v>5405</v>
      </c>
      <c r="B12" s="293" t="str">
        <f>'A) Base RI'!B11</f>
        <v>Gryon</v>
      </c>
      <c r="C12" s="10">
        <f>'A) Base RI'!V11</f>
        <v>1347</v>
      </c>
      <c r="D12" s="10">
        <f t="shared" si="1"/>
        <v>1000</v>
      </c>
      <c r="E12" s="422">
        <f t="shared" si="0"/>
        <v>347</v>
      </c>
      <c r="F12" s="10">
        <f t="shared" si="0"/>
        <v>0</v>
      </c>
      <c r="G12" s="422">
        <f t="shared" si="0"/>
        <v>0</v>
      </c>
      <c r="H12" s="41">
        <f t="shared" si="0"/>
        <v>0</v>
      </c>
      <c r="I12" s="10">
        <f t="shared" si="0"/>
        <v>0</v>
      </c>
      <c r="J12" s="10">
        <f t="shared" si="2"/>
        <v>0</v>
      </c>
      <c r="K12" s="113">
        <f t="shared" si="3"/>
        <v>247689.6881287726</v>
      </c>
    </row>
    <row r="13" spans="1:12" x14ac:dyDescent="0.25">
      <c r="A13" s="49">
        <f>'A) Base RI'!A12</f>
        <v>5406</v>
      </c>
      <c r="B13" s="293" t="str">
        <f>'A) Base RI'!B12</f>
        <v>Lavey-Morcles</v>
      </c>
      <c r="C13" s="10">
        <f>'A) Base RI'!V12</f>
        <v>931</v>
      </c>
      <c r="D13" s="10">
        <f t="shared" si="1"/>
        <v>931</v>
      </c>
      <c r="E13" s="422">
        <f t="shared" si="0"/>
        <v>0</v>
      </c>
      <c r="F13" s="10">
        <f t="shared" si="0"/>
        <v>0</v>
      </c>
      <c r="G13" s="422">
        <f t="shared" si="0"/>
        <v>0</v>
      </c>
      <c r="H13" s="41">
        <f t="shared" si="0"/>
        <v>0</v>
      </c>
      <c r="I13" s="10">
        <f t="shared" si="0"/>
        <v>0</v>
      </c>
      <c r="J13" s="10">
        <f t="shared" si="2"/>
        <v>0</v>
      </c>
      <c r="K13" s="113">
        <f t="shared" si="3"/>
        <v>116960.38732394365</v>
      </c>
    </row>
    <row r="14" spans="1:12" x14ac:dyDescent="0.25">
      <c r="A14" s="49">
        <f>'A) Base RI'!A13</f>
        <v>5407</v>
      </c>
      <c r="B14" s="293" t="str">
        <f>'A) Base RI'!B13</f>
        <v>Leysin</v>
      </c>
      <c r="C14" s="10">
        <f>'A) Base RI'!V13</f>
        <v>3776</v>
      </c>
      <c r="D14" s="10">
        <f t="shared" si="1"/>
        <v>1000</v>
      </c>
      <c r="E14" s="422">
        <f t="shared" si="0"/>
        <v>2000</v>
      </c>
      <c r="F14" s="10">
        <f t="shared" si="0"/>
        <v>776</v>
      </c>
      <c r="G14" s="422">
        <f t="shared" si="0"/>
        <v>0</v>
      </c>
      <c r="H14" s="41">
        <f t="shared" si="0"/>
        <v>0</v>
      </c>
      <c r="I14" s="10">
        <f t="shared" si="0"/>
        <v>0</v>
      </c>
      <c r="J14" s="10">
        <f t="shared" si="2"/>
        <v>0</v>
      </c>
      <c r="K14" s="113">
        <f t="shared" si="3"/>
        <v>1219101.6096579477</v>
      </c>
      <c r="L14" s="12"/>
    </row>
    <row r="15" spans="1:12" x14ac:dyDescent="0.25">
      <c r="A15" s="49">
        <f>'A) Base RI'!A14</f>
        <v>5408</v>
      </c>
      <c r="B15" s="293" t="str">
        <f>'A) Base RI'!B14</f>
        <v>Noville</v>
      </c>
      <c r="C15" s="10">
        <f>'A) Base RI'!V14</f>
        <v>1167</v>
      </c>
      <c r="D15" s="10">
        <f t="shared" si="1"/>
        <v>1000</v>
      </c>
      <c r="E15" s="422">
        <f t="shared" si="0"/>
        <v>167</v>
      </c>
      <c r="F15" s="10">
        <f t="shared" si="0"/>
        <v>0</v>
      </c>
      <c r="G15" s="422">
        <f t="shared" si="0"/>
        <v>0</v>
      </c>
      <c r="H15" s="41">
        <f t="shared" si="0"/>
        <v>0</v>
      </c>
      <c r="I15" s="10">
        <f t="shared" si="0"/>
        <v>0</v>
      </c>
      <c r="J15" s="10">
        <f t="shared" si="2"/>
        <v>0</v>
      </c>
      <c r="K15" s="113">
        <f t="shared" si="3"/>
        <v>184372.78672032192</v>
      </c>
    </row>
    <row r="16" spans="1:12" x14ac:dyDescent="0.25">
      <c r="A16" s="49">
        <f>'A) Base RI'!A15</f>
        <v>5409</v>
      </c>
      <c r="B16" s="293" t="str">
        <f>'A) Base RI'!B15</f>
        <v>Ollon</v>
      </c>
      <c r="C16" s="10">
        <f>'A) Base RI'!V15</f>
        <v>7560</v>
      </c>
      <c r="D16" s="10">
        <f t="shared" si="1"/>
        <v>1000</v>
      </c>
      <c r="E16" s="422">
        <f t="shared" si="0"/>
        <v>2000</v>
      </c>
      <c r="F16" s="10">
        <f t="shared" si="0"/>
        <v>2000</v>
      </c>
      <c r="G16" s="422">
        <f t="shared" si="0"/>
        <v>2560</v>
      </c>
      <c r="H16" s="41">
        <f t="shared" si="0"/>
        <v>0</v>
      </c>
      <c r="I16" s="10">
        <f t="shared" si="0"/>
        <v>0</v>
      </c>
      <c r="J16" s="10">
        <f t="shared" si="2"/>
        <v>0</v>
      </c>
      <c r="K16" s="113">
        <f t="shared" si="3"/>
        <v>3377906.4386317907</v>
      </c>
    </row>
    <row r="17" spans="1:11" x14ac:dyDescent="0.25">
      <c r="A17" s="49">
        <f>'A) Base RI'!A16</f>
        <v>5410</v>
      </c>
      <c r="B17" s="293" t="str">
        <f>'A) Base RI'!B16</f>
        <v>Ormont-Dessous</v>
      </c>
      <c r="C17" s="10">
        <f>'A) Base RI'!V16</f>
        <v>1141</v>
      </c>
      <c r="D17" s="10">
        <f t="shared" si="1"/>
        <v>1000</v>
      </c>
      <c r="E17" s="422">
        <f t="shared" si="0"/>
        <v>141</v>
      </c>
      <c r="F17" s="10">
        <f t="shared" si="0"/>
        <v>0</v>
      </c>
      <c r="G17" s="422">
        <f t="shared" si="0"/>
        <v>0</v>
      </c>
      <c r="H17" s="41">
        <f t="shared" si="0"/>
        <v>0</v>
      </c>
      <c r="I17" s="10">
        <f t="shared" si="0"/>
        <v>0</v>
      </c>
      <c r="J17" s="10">
        <f t="shared" si="2"/>
        <v>0</v>
      </c>
      <c r="K17" s="113">
        <f t="shared" si="3"/>
        <v>175227.01207243459</v>
      </c>
    </row>
    <row r="18" spans="1:11" x14ac:dyDescent="0.25">
      <c r="A18" s="49">
        <f>'A) Base RI'!A17</f>
        <v>5411</v>
      </c>
      <c r="B18" s="293" t="str">
        <f>'A) Base RI'!B17</f>
        <v>Ormont-Dessus</v>
      </c>
      <c r="C18" s="10">
        <f>'A) Base RI'!V17</f>
        <v>1434</v>
      </c>
      <c r="D18" s="10">
        <f t="shared" si="1"/>
        <v>1000</v>
      </c>
      <c r="E18" s="422">
        <f t="shared" si="0"/>
        <v>434</v>
      </c>
      <c r="F18" s="10">
        <f t="shared" si="0"/>
        <v>0</v>
      </c>
      <c r="G18" s="422">
        <f t="shared" si="0"/>
        <v>0</v>
      </c>
      <c r="H18" s="41">
        <f t="shared" si="0"/>
        <v>0</v>
      </c>
      <c r="I18" s="10">
        <f t="shared" si="0"/>
        <v>0</v>
      </c>
      <c r="J18" s="10">
        <f t="shared" si="2"/>
        <v>0</v>
      </c>
      <c r="K18" s="113">
        <f t="shared" si="3"/>
        <v>278292.85714285716</v>
      </c>
    </row>
    <row r="19" spans="1:11" x14ac:dyDescent="0.25">
      <c r="A19" s="49">
        <f>'A) Base RI'!A18</f>
        <v>5412</v>
      </c>
      <c r="B19" s="293" t="str">
        <f>'A) Base RI'!B18</f>
        <v>Rennaz</v>
      </c>
      <c r="C19" s="10">
        <f>'A) Base RI'!V18</f>
        <v>871</v>
      </c>
      <c r="D19" s="10">
        <f t="shared" si="1"/>
        <v>871</v>
      </c>
      <c r="E19" s="422">
        <f t="shared" si="0"/>
        <v>0</v>
      </c>
      <c r="F19" s="10">
        <f t="shared" si="0"/>
        <v>0</v>
      </c>
      <c r="G19" s="422">
        <f t="shared" si="0"/>
        <v>0</v>
      </c>
      <c r="H19" s="41">
        <f t="shared" si="0"/>
        <v>0</v>
      </c>
      <c r="I19" s="10">
        <f t="shared" si="0"/>
        <v>0</v>
      </c>
      <c r="J19" s="10">
        <f t="shared" si="2"/>
        <v>0</v>
      </c>
      <c r="K19" s="113">
        <f t="shared" si="3"/>
        <v>109422.66096579477</v>
      </c>
    </row>
    <row r="20" spans="1:11" x14ac:dyDescent="0.25">
      <c r="A20" s="49">
        <f>'A) Base RI'!A19</f>
        <v>5413</v>
      </c>
      <c r="B20" s="293" t="str">
        <f>'A) Base RI'!B19</f>
        <v>Roche</v>
      </c>
      <c r="C20" s="10">
        <f>'A) Base RI'!V19</f>
        <v>1826</v>
      </c>
      <c r="D20" s="10">
        <f t="shared" si="1"/>
        <v>1000</v>
      </c>
      <c r="E20" s="422">
        <f t="shared" si="0"/>
        <v>826</v>
      </c>
      <c r="F20" s="10">
        <f t="shared" si="0"/>
        <v>0</v>
      </c>
      <c r="G20" s="422">
        <f t="shared" si="0"/>
        <v>0</v>
      </c>
      <c r="H20" s="41">
        <f t="shared" si="0"/>
        <v>0</v>
      </c>
      <c r="I20" s="10">
        <f t="shared" si="0"/>
        <v>0</v>
      </c>
      <c r="J20" s="10">
        <f t="shared" si="2"/>
        <v>0</v>
      </c>
      <c r="K20" s="113">
        <f t="shared" si="3"/>
        <v>416182.99798792752</v>
      </c>
    </row>
    <row r="21" spans="1:11" x14ac:dyDescent="0.25">
      <c r="A21" s="49">
        <f>'A) Base RI'!A20</f>
        <v>5414</v>
      </c>
      <c r="B21" s="293" t="str">
        <f>'A) Base RI'!B20</f>
        <v>Villeneuve</v>
      </c>
      <c r="C21" s="10">
        <f>'A) Base RI'!V20</f>
        <v>5772</v>
      </c>
      <c r="D21" s="10">
        <f t="shared" si="1"/>
        <v>1000</v>
      </c>
      <c r="E21" s="422">
        <f t="shared" si="0"/>
        <v>2000</v>
      </c>
      <c r="F21" s="10">
        <f t="shared" si="0"/>
        <v>2000</v>
      </c>
      <c r="G21" s="422">
        <f t="shared" si="0"/>
        <v>772</v>
      </c>
      <c r="H21" s="41">
        <f t="shared" si="0"/>
        <v>0</v>
      </c>
      <c r="I21" s="10">
        <f t="shared" si="0"/>
        <v>0</v>
      </c>
      <c r="J21" s="10">
        <f t="shared" si="2"/>
        <v>0</v>
      </c>
      <c r="K21" s="113">
        <f t="shared" si="3"/>
        <v>2299710.0603621732</v>
      </c>
    </row>
    <row r="22" spans="1:11" x14ac:dyDescent="0.25">
      <c r="A22" s="49">
        <f>'A) Base RI'!A21</f>
        <v>5415</v>
      </c>
      <c r="B22" s="293" t="str">
        <f>'A) Base RI'!B21</f>
        <v>Yvorne</v>
      </c>
      <c r="C22" s="10">
        <f>'A) Base RI'!V21</f>
        <v>1071</v>
      </c>
      <c r="D22" s="10">
        <f t="shared" si="1"/>
        <v>1000</v>
      </c>
      <c r="E22" s="422">
        <f t="shared" si="0"/>
        <v>71</v>
      </c>
      <c r="F22" s="10">
        <f t="shared" si="0"/>
        <v>0</v>
      </c>
      <c r="G22" s="422">
        <f t="shared" si="0"/>
        <v>0</v>
      </c>
      <c r="H22" s="41">
        <f t="shared" si="0"/>
        <v>0</v>
      </c>
      <c r="I22" s="10">
        <f t="shared" si="0"/>
        <v>0</v>
      </c>
      <c r="J22" s="10">
        <f t="shared" si="2"/>
        <v>0</v>
      </c>
      <c r="K22" s="113">
        <f t="shared" si="3"/>
        <v>150603.77263581488</v>
      </c>
    </row>
    <row r="23" spans="1:11" x14ac:dyDescent="0.25">
      <c r="A23" s="49">
        <f>'A) Base RI'!A22</f>
        <v>5421</v>
      </c>
      <c r="B23" s="293" t="str">
        <f>'A) Base RI'!B22</f>
        <v>Apples</v>
      </c>
      <c r="C23" s="10">
        <f>'A) Base RI'!V22</f>
        <v>1460</v>
      </c>
      <c r="D23" s="10">
        <f t="shared" si="1"/>
        <v>1000</v>
      </c>
      <c r="E23" s="422">
        <f t="shared" si="0"/>
        <v>460</v>
      </c>
      <c r="F23" s="10">
        <f t="shared" si="0"/>
        <v>0</v>
      </c>
      <c r="G23" s="422">
        <f t="shared" si="0"/>
        <v>0</v>
      </c>
      <c r="H23" s="41">
        <f t="shared" si="0"/>
        <v>0</v>
      </c>
      <c r="I23" s="10">
        <f t="shared" si="0"/>
        <v>0</v>
      </c>
      <c r="J23" s="10">
        <f t="shared" si="2"/>
        <v>0</v>
      </c>
      <c r="K23" s="113">
        <f t="shared" si="3"/>
        <v>287438.63179074443</v>
      </c>
    </row>
    <row r="24" spans="1:11" x14ac:dyDescent="0.25">
      <c r="A24" s="49">
        <f>'A) Base RI'!A23</f>
        <v>5422</v>
      </c>
      <c r="B24" s="293" t="str">
        <f>'A) Base RI'!B23</f>
        <v>Aubonne</v>
      </c>
      <c r="C24" s="10">
        <f>'A) Base RI'!V23</f>
        <v>3817</v>
      </c>
      <c r="D24" s="10">
        <f t="shared" si="1"/>
        <v>1000</v>
      </c>
      <c r="E24" s="422">
        <f t="shared" si="1"/>
        <v>2000</v>
      </c>
      <c r="F24" s="10">
        <f t="shared" si="1"/>
        <v>817</v>
      </c>
      <c r="G24" s="422">
        <f t="shared" si="1"/>
        <v>0</v>
      </c>
      <c r="H24" s="41">
        <f t="shared" si="1"/>
        <v>0</v>
      </c>
      <c r="I24" s="10">
        <f t="shared" si="1"/>
        <v>0</v>
      </c>
      <c r="J24" s="10">
        <f t="shared" si="2"/>
        <v>0</v>
      </c>
      <c r="K24" s="113">
        <f t="shared" si="3"/>
        <v>1239704.7283702213</v>
      </c>
    </row>
    <row r="25" spans="1:11" x14ac:dyDescent="0.25">
      <c r="A25" s="49">
        <f>'A) Base RI'!A24</f>
        <v>5423</v>
      </c>
      <c r="B25" s="293" t="str">
        <f>'A) Base RI'!B24</f>
        <v>Ballens</v>
      </c>
      <c r="C25" s="10">
        <f>'A) Base RI'!V24</f>
        <v>545</v>
      </c>
      <c r="D25" s="10">
        <f t="shared" si="1"/>
        <v>545</v>
      </c>
      <c r="E25" s="422">
        <f t="shared" si="1"/>
        <v>0</v>
      </c>
      <c r="F25" s="10">
        <f t="shared" si="1"/>
        <v>0</v>
      </c>
      <c r="G25" s="422">
        <f t="shared" si="1"/>
        <v>0</v>
      </c>
      <c r="H25" s="41">
        <f t="shared" si="1"/>
        <v>0</v>
      </c>
      <c r="I25" s="10">
        <f t="shared" si="1"/>
        <v>0</v>
      </c>
      <c r="J25" s="10">
        <f t="shared" si="2"/>
        <v>0</v>
      </c>
      <c r="K25" s="113">
        <f t="shared" si="3"/>
        <v>68467.681086519107</v>
      </c>
    </row>
    <row r="26" spans="1:11" x14ac:dyDescent="0.25">
      <c r="A26" s="49">
        <f>'A) Base RI'!A25</f>
        <v>5424</v>
      </c>
      <c r="B26" s="293" t="str">
        <f>'A) Base RI'!B25</f>
        <v>Berolle</v>
      </c>
      <c r="C26" s="10">
        <f>'A) Base RI'!V25</f>
        <v>300</v>
      </c>
      <c r="D26" s="10">
        <f t="shared" si="1"/>
        <v>300</v>
      </c>
      <c r="E26" s="422">
        <f t="shared" si="1"/>
        <v>0</v>
      </c>
      <c r="F26" s="10">
        <f t="shared" si="1"/>
        <v>0</v>
      </c>
      <c r="G26" s="422">
        <f t="shared" si="1"/>
        <v>0</v>
      </c>
      <c r="H26" s="41">
        <f t="shared" si="1"/>
        <v>0</v>
      </c>
      <c r="I26" s="10">
        <f t="shared" si="1"/>
        <v>0</v>
      </c>
      <c r="J26" s="10">
        <f t="shared" si="2"/>
        <v>0</v>
      </c>
      <c r="K26" s="113">
        <f t="shared" si="3"/>
        <v>37688.631790744468</v>
      </c>
    </row>
    <row r="27" spans="1:11" x14ac:dyDescent="0.25">
      <c r="A27" s="49">
        <f>'A) Base RI'!A26</f>
        <v>5425</v>
      </c>
      <c r="B27" s="293" t="str">
        <f>'A) Base RI'!B26</f>
        <v>Bière</v>
      </c>
      <c r="C27" s="10">
        <f>'A) Base RI'!V26</f>
        <v>1596</v>
      </c>
      <c r="D27" s="10">
        <f t="shared" si="1"/>
        <v>1000</v>
      </c>
      <c r="E27" s="422">
        <f t="shared" si="1"/>
        <v>596</v>
      </c>
      <c r="F27" s="10">
        <f t="shared" si="1"/>
        <v>0</v>
      </c>
      <c r="G27" s="422">
        <f t="shared" si="1"/>
        <v>0</v>
      </c>
      <c r="H27" s="41">
        <f t="shared" si="1"/>
        <v>0</v>
      </c>
      <c r="I27" s="10">
        <f t="shared" si="1"/>
        <v>0</v>
      </c>
      <c r="J27" s="10">
        <f t="shared" si="2"/>
        <v>0</v>
      </c>
      <c r="K27" s="113">
        <f t="shared" si="3"/>
        <v>335278.06841046276</v>
      </c>
    </row>
    <row r="28" spans="1:11" x14ac:dyDescent="0.25">
      <c r="A28" s="49">
        <f>'A) Base RI'!A27</f>
        <v>5426</v>
      </c>
      <c r="B28" s="293" t="str">
        <f>'A) Base RI'!B27</f>
        <v>Bougy-Villars</v>
      </c>
      <c r="C28" s="10">
        <f>'A) Base RI'!V27</f>
        <v>475</v>
      </c>
      <c r="D28" s="10">
        <f t="shared" si="1"/>
        <v>475</v>
      </c>
      <c r="E28" s="422">
        <f t="shared" si="1"/>
        <v>0</v>
      </c>
      <c r="F28" s="10">
        <f t="shared" si="1"/>
        <v>0</v>
      </c>
      <c r="G28" s="422">
        <f t="shared" si="1"/>
        <v>0</v>
      </c>
      <c r="H28" s="41">
        <f t="shared" si="1"/>
        <v>0</v>
      </c>
      <c r="I28" s="10">
        <f t="shared" si="1"/>
        <v>0</v>
      </c>
      <c r="J28" s="10">
        <f t="shared" si="2"/>
        <v>0</v>
      </c>
      <c r="K28" s="113">
        <f t="shared" si="3"/>
        <v>59673.667002012073</v>
      </c>
    </row>
    <row r="29" spans="1:11" x14ac:dyDescent="0.25">
      <c r="A29" s="49">
        <f>'A) Base RI'!A28</f>
        <v>5427</v>
      </c>
      <c r="B29" s="293" t="str">
        <f>'A) Base RI'!B28</f>
        <v>Féchy</v>
      </c>
      <c r="C29" s="10">
        <f>'A) Base RI'!V28</f>
        <v>861</v>
      </c>
      <c r="D29" s="10">
        <f t="shared" si="1"/>
        <v>861</v>
      </c>
      <c r="E29" s="422">
        <f t="shared" si="1"/>
        <v>0</v>
      </c>
      <c r="F29" s="10">
        <f t="shared" si="1"/>
        <v>0</v>
      </c>
      <c r="G29" s="422">
        <f t="shared" si="1"/>
        <v>0</v>
      </c>
      <c r="H29" s="41">
        <f t="shared" si="1"/>
        <v>0</v>
      </c>
      <c r="I29" s="10">
        <f t="shared" si="1"/>
        <v>0</v>
      </c>
      <c r="J29" s="10">
        <f t="shared" si="2"/>
        <v>0</v>
      </c>
      <c r="K29" s="113">
        <f t="shared" si="3"/>
        <v>108166.37323943661</v>
      </c>
    </row>
    <row r="30" spans="1:11" x14ac:dyDescent="0.25">
      <c r="A30" s="49">
        <f>'A) Base RI'!A29</f>
        <v>5428</v>
      </c>
      <c r="B30" s="293" t="str">
        <f>'A) Base RI'!B29</f>
        <v>Gimel</v>
      </c>
      <c r="C30" s="10">
        <f>'A) Base RI'!V29</f>
        <v>2238</v>
      </c>
      <c r="D30" s="10">
        <f t="shared" si="1"/>
        <v>1000</v>
      </c>
      <c r="E30" s="422">
        <f t="shared" si="1"/>
        <v>1238</v>
      </c>
      <c r="F30" s="10">
        <f t="shared" si="1"/>
        <v>0</v>
      </c>
      <c r="G30" s="422">
        <f t="shared" si="1"/>
        <v>0</v>
      </c>
      <c r="H30" s="41">
        <f t="shared" si="1"/>
        <v>0</v>
      </c>
      <c r="I30" s="10">
        <f t="shared" si="1"/>
        <v>0</v>
      </c>
      <c r="J30" s="10">
        <f t="shared" si="2"/>
        <v>0</v>
      </c>
      <c r="K30" s="113">
        <f t="shared" si="3"/>
        <v>561108.35010060354</v>
      </c>
    </row>
    <row r="31" spans="1:11" x14ac:dyDescent="0.25">
      <c r="A31" s="49">
        <f>'A) Base RI'!A30</f>
        <v>5429</v>
      </c>
      <c r="B31" s="293" t="str">
        <f>'A) Base RI'!B30</f>
        <v>Longirod</v>
      </c>
      <c r="C31" s="10">
        <f>'A) Base RI'!V30</f>
        <v>482</v>
      </c>
      <c r="D31" s="10">
        <f t="shared" si="1"/>
        <v>482</v>
      </c>
      <c r="E31" s="422">
        <f t="shared" si="1"/>
        <v>0</v>
      </c>
      <c r="F31" s="10">
        <f t="shared" si="1"/>
        <v>0</v>
      </c>
      <c r="G31" s="422">
        <f t="shared" si="1"/>
        <v>0</v>
      </c>
      <c r="H31" s="41">
        <f t="shared" si="1"/>
        <v>0</v>
      </c>
      <c r="I31" s="10">
        <f t="shared" si="1"/>
        <v>0</v>
      </c>
      <c r="J31" s="10">
        <f t="shared" si="2"/>
        <v>0</v>
      </c>
      <c r="K31" s="113">
        <f t="shared" si="3"/>
        <v>60553.068410462773</v>
      </c>
    </row>
    <row r="32" spans="1:11" x14ac:dyDescent="0.25">
      <c r="A32" s="49">
        <f>'A) Base RI'!A31</f>
        <v>5430</v>
      </c>
      <c r="B32" s="293" t="str">
        <f>'A) Base RI'!B31</f>
        <v>Marchissy</v>
      </c>
      <c r="C32" s="10">
        <f>'A) Base RI'!V31</f>
        <v>472</v>
      </c>
      <c r="D32" s="10">
        <f t="shared" si="1"/>
        <v>472</v>
      </c>
      <c r="E32" s="422">
        <f t="shared" si="1"/>
        <v>0</v>
      </c>
      <c r="F32" s="10">
        <f t="shared" si="1"/>
        <v>0</v>
      </c>
      <c r="G32" s="422">
        <f t="shared" si="1"/>
        <v>0</v>
      </c>
      <c r="H32" s="41">
        <f t="shared" si="1"/>
        <v>0</v>
      </c>
      <c r="I32" s="10">
        <f t="shared" si="1"/>
        <v>0</v>
      </c>
      <c r="J32" s="10">
        <f t="shared" si="2"/>
        <v>0</v>
      </c>
      <c r="K32" s="113">
        <f t="shared" si="3"/>
        <v>59296.780684104626</v>
      </c>
    </row>
    <row r="33" spans="1:11" x14ac:dyDescent="0.25">
      <c r="A33" s="49">
        <f>'A) Base RI'!A32</f>
        <v>5431</v>
      </c>
      <c r="B33" s="293" t="str">
        <f>'A) Base RI'!B32</f>
        <v>Mollens</v>
      </c>
      <c r="C33" s="10">
        <f>'A) Base RI'!V32</f>
        <v>308</v>
      </c>
      <c r="D33" s="10">
        <f t="shared" si="1"/>
        <v>308</v>
      </c>
      <c r="E33" s="422">
        <f t="shared" si="1"/>
        <v>0</v>
      </c>
      <c r="F33" s="10">
        <f t="shared" si="1"/>
        <v>0</v>
      </c>
      <c r="G33" s="422">
        <f t="shared" si="1"/>
        <v>0</v>
      </c>
      <c r="H33" s="41">
        <f t="shared" si="1"/>
        <v>0</v>
      </c>
      <c r="I33" s="10">
        <f t="shared" si="1"/>
        <v>0</v>
      </c>
      <c r="J33" s="10">
        <f t="shared" si="2"/>
        <v>0</v>
      </c>
      <c r="K33" s="113">
        <f t="shared" si="3"/>
        <v>38693.661971830981</v>
      </c>
    </row>
    <row r="34" spans="1:11" x14ac:dyDescent="0.25">
      <c r="A34" s="49">
        <f>'A) Base RI'!A33</f>
        <v>5434</v>
      </c>
      <c r="B34" s="293" t="str">
        <f>'A) Base RI'!B33</f>
        <v>Saint-George</v>
      </c>
      <c r="C34" s="10">
        <f>'A) Base RI'!V33</f>
        <v>1063</v>
      </c>
      <c r="D34" s="10">
        <f t="shared" si="1"/>
        <v>1000</v>
      </c>
      <c r="E34" s="422">
        <f t="shared" si="1"/>
        <v>63</v>
      </c>
      <c r="F34" s="10">
        <f t="shared" si="1"/>
        <v>0</v>
      </c>
      <c r="G34" s="422">
        <f t="shared" si="1"/>
        <v>0</v>
      </c>
      <c r="H34" s="41">
        <f t="shared" si="1"/>
        <v>0</v>
      </c>
      <c r="I34" s="10">
        <f t="shared" si="1"/>
        <v>0</v>
      </c>
      <c r="J34" s="10">
        <f t="shared" si="2"/>
        <v>0</v>
      </c>
      <c r="K34" s="113">
        <f t="shared" si="3"/>
        <v>147789.68812877263</v>
      </c>
    </row>
    <row r="35" spans="1:11" x14ac:dyDescent="0.25">
      <c r="A35" s="49">
        <f>'A) Base RI'!A34</f>
        <v>5435</v>
      </c>
      <c r="B35" s="293" t="str">
        <f>'A) Base RI'!B34</f>
        <v>Saint-Livres</v>
      </c>
      <c r="C35" s="10">
        <f>'A) Base RI'!V34</f>
        <v>691</v>
      </c>
      <c r="D35" s="10">
        <f t="shared" si="1"/>
        <v>691</v>
      </c>
      <c r="E35" s="422">
        <f t="shared" si="1"/>
        <v>0</v>
      </c>
      <c r="F35" s="10">
        <f t="shared" si="1"/>
        <v>0</v>
      </c>
      <c r="G35" s="422">
        <f t="shared" si="1"/>
        <v>0</v>
      </c>
      <c r="H35" s="41">
        <f t="shared" si="1"/>
        <v>0</v>
      </c>
      <c r="I35" s="10">
        <f t="shared" si="1"/>
        <v>0</v>
      </c>
      <c r="J35" s="10">
        <f t="shared" si="2"/>
        <v>0</v>
      </c>
      <c r="K35" s="113">
        <f t="shared" si="3"/>
        <v>86809.481891348085</v>
      </c>
    </row>
    <row r="36" spans="1:11" x14ac:dyDescent="0.25">
      <c r="A36" s="49">
        <f>'A) Base RI'!A35</f>
        <v>5436</v>
      </c>
      <c r="B36" s="293" t="str">
        <f>'A) Base RI'!B35</f>
        <v>Saint-Oyens</v>
      </c>
      <c r="C36" s="10">
        <f>'A) Base RI'!V35</f>
        <v>447</v>
      </c>
      <c r="D36" s="10">
        <f t="shared" si="1"/>
        <v>447</v>
      </c>
      <c r="E36" s="422">
        <f t="shared" si="1"/>
        <v>0</v>
      </c>
      <c r="F36" s="10">
        <f t="shared" si="1"/>
        <v>0</v>
      </c>
      <c r="G36" s="422">
        <f t="shared" si="1"/>
        <v>0</v>
      </c>
      <c r="H36" s="41">
        <f t="shared" si="1"/>
        <v>0</v>
      </c>
      <c r="I36" s="10">
        <f t="shared" si="1"/>
        <v>0</v>
      </c>
      <c r="J36" s="10">
        <f t="shared" si="2"/>
        <v>0</v>
      </c>
      <c r="K36" s="113">
        <f t="shared" si="3"/>
        <v>56156.061368209252</v>
      </c>
    </row>
    <row r="37" spans="1:11" x14ac:dyDescent="0.25">
      <c r="A37" s="49">
        <f>'A) Base RI'!A36</f>
        <v>5437</v>
      </c>
      <c r="B37" s="293" t="str">
        <f>'A) Base RI'!B36</f>
        <v>Saubraz</v>
      </c>
      <c r="C37" s="10">
        <f>'A) Base RI'!V36</f>
        <v>423</v>
      </c>
      <c r="D37" s="10">
        <f t="shared" si="1"/>
        <v>423</v>
      </c>
      <c r="E37" s="422">
        <f t="shared" si="1"/>
        <v>0</v>
      </c>
      <c r="F37" s="10">
        <f t="shared" si="1"/>
        <v>0</v>
      </c>
      <c r="G37" s="422">
        <f t="shared" si="1"/>
        <v>0</v>
      </c>
      <c r="H37" s="41">
        <f t="shared" si="1"/>
        <v>0</v>
      </c>
      <c r="I37" s="10">
        <f t="shared" si="1"/>
        <v>0</v>
      </c>
      <c r="J37" s="10">
        <f t="shared" si="2"/>
        <v>0</v>
      </c>
      <c r="K37" s="113">
        <f t="shared" si="3"/>
        <v>53140.970824949698</v>
      </c>
    </row>
    <row r="38" spans="1:11" x14ac:dyDescent="0.25">
      <c r="A38" s="49">
        <f>'A) Base RI'!A37</f>
        <v>5451</v>
      </c>
      <c r="B38" s="293" t="str">
        <f>'A) Base RI'!B37</f>
        <v>Avenches</v>
      </c>
      <c r="C38" s="10">
        <f>'A) Base RI'!V37</f>
        <v>4305</v>
      </c>
      <c r="D38" s="10">
        <f t="shared" si="1"/>
        <v>1000</v>
      </c>
      <c r="E38" s="422">
        <f t="shared" si="1"/>
        <v>2000</v>
      </c>
      <c r="F38" s="10">
        <f t="shared" si="1"/>
        <v>1305</v>
      </c>
      <c r="G38" s="422">
        <f t="shared" si="1"/>
        <v>0</v>
      </c>
      <c r="H38" s="41">
        <f t="shared" si="1"/>
        <v>0</v>
      </c>
      <c r="I38" s="10">
        <f t="shared" si="1"/>
        <v>0</v>
      </c>
      <c r="J38" s="10">
        <f t="shared" si="2"/>
        <v>0</v>
      </c>
      <c r="K38" s="113">
        <f t="shared" si="3"/>
        <v>1484932.092555332</v>
      </c>
    </row>
    <row r="39" spans="1:11" x14ac:dyDescent="0.25">
      <c r="A39" s="49">
        <f>'A) Base RI'!A38</f>
        <v>5456</v>
      </c>
      <c r="B39" s="293" t="str">
        <f>'A) Base RI'!B38</f>
        <v>Cudrefin</v>
      </c>
      <c r="C39" s="10">
        <f>'A) Base RI'!V38</f>
        <v>1735</v>
      </c>
      <c r="D39" s="10">
        <f t="shared" si="1"/>
        <v>1000</v>
      </c>
      <c r="E39" s="422">
        <f t="shared" si="1"/>
        <v>735</v>
      </c>
      <c r="F39" s="10">
        <f t="shared" si="1"/>
        <v>0</v>
      </c>
      <c r="G39" s="422">
        <f t="shared" si="1"/>
        <v>0</v>
      </c>
      <c r="H39" s="41">
        <f t="shared" si="1"/>
        <v>0</v>
      </c>
      <c r="I39" s="10">
        <f t="shared" si="1"/>
        <v>0</v>
      </c>
      <c r="J39" s="10">
        <f t="shared" si="2"/>
        <v>0</v>
      </c>
      <c r="K39" s="113">
        <f t="shared" si="3"/>
        <v>384172.78672032186</v>
      </c>
    </row>
    <row r="40" spans="1:11" x14ac:dyDescent="0.25">
      <c r="A40" s="49">
        <f>'A) Base RI'!A39</f>
        <v>5458</v>
      </c>
      <c r="B40" s="293" t="str">
        <f>'A) Base RI'!B39</f>
        <v>Faoug</v>
      </c>
      <c r="C40" s="10">
        <f>'A) Base RI'!V39</f>
        <v>884</v>
      </c>
      <c r="D40" s="10">
        <f t="shared" si="1"/>
        <v>884</v>
      </c>
      <c r="E40" s="422">
        <f t="shared" si="1"/>
        <v>0</v>
      </c>
      <c r="F40" s="10">
        <f t="shared" si="1"/>
        <v>0</v>
      </c>
      <c r="G40" s="422">
        <f t="shared" si="1"/>
        <v>0</v>
      </c>
      <c r="H40" s="41">
        <f t="shared" si="1"/>
        <v>0</v>
      </c>
      <c r="I40" s="10">
        <f t="shared" si="1"/>
        <v>0</v>
      </c>
      <c r="J40" s="10">
        <f t="shared" si="2"/>
        <v>0</v>
      </c>
      <c r="K40" s="113">
        <f t="shared" si="3"/>
        <v>111055.83501006036</v>
      </c>
    </row>
    <row r="41" spans="1:11" x14ac:dyDescent="0.25">
      <c r="A41" s="49">
        <f>'A) Base RI'!A40</f>
        <v>5464</v>
      </c>
      <c r="B41" s="293" t="str">
        <f>'A) Base RI'!B40</f>
        <v>Vully-les-Lacs</v>
      </c>
      <c r="C41" s="10">
        <f>'A) Base RI'!V40</f>
        <v>3278</v>
      </c>
      <c r="D41" s="10">
        <f t="shared" si="1"/>
        <v>1000</v>
      </c>
      <c r="E41" s="422">
        <f t="shared" si="1"/>
        <v>2000</v>
      </c>
      <c r="F41" s="10">
        <f t="shared" si="1"/>
        <v>278</v>
      </c>
      <c r="G41" s="422">
        <f t="shared" si="1"/>
        <v>0</v>
      </c>
      <c r="H41" s="41">
        <f t="shared" si="1"/>
        <v>0</v>
      </c>
      <c r="I41" s="10">
        <f t="shared" si="1"/>
        <v>0</v>
      </c>
      <c r="J41" s="10">
        <f t="shared" si="2"/>
        <v>0</v>
      </c>
      <c r="K41" s="113">
        <f t="shared" si="3"/>
        <v>968849.09456740436</v>
      </c>
    </row>
    <row r="42" spans="1:11" x14ac:dyDescent="0.25">
      <c r="A42" s="49">
        <f>'A) Base RI'!A41</f>
        <v>5471</v>
      </c>
      <c r="B42" s="293" t="str">
        <f>'A) Base RI'!B41</f>
        <v>Bettens</v>
      </c>
      <c r="C42" s="10">
        <f>'A) Base RI'!V41</f>
        <v>650</v>
      </c>
      <c r="D42" s="10">
        <f t="shared" si="1"/>
        <v>650</v>
      </c>
      <c r="E42" s="422">
        <f t="shared" si="1"/>
        <v>0</v>
      </c>
      <c r="F42" s="10">
        <f t="shared" si="1"/>
        <v>0</v>
      </c>
      <c r="G42" s="422">
        <f t="shared" si="1"/>
        <v>0</v>
      </c>
      <c r="H42" s="41">
        <f t="shared" si="1"/>
        <v>0</v>
      </c>
      <c r="I42" s="10">
        <f t="shared" si="1"/>
        <v>0</v>
      </c>
      <c r="J42" s="10">
        <f t="shared" si="2"/>
        <v>0</v>
      </c>
      <c r="K42" s="113">
        <f t="shared" si="3"/>
        <v>81658.70221327967</v>
      </c>
    </row>
    <row r="43" spans="1:11" x14ac:dyDescent="0.25">
      <c r="A43" s="49">
        <f>'A) Base RI'!A42</f>
        <v>5472</v>
      </c>
      <c r="B43" s="293" t="str">
        <f>'A) Base RI'!B42</f>
        <v>Bournens</v>
      </c>
      <c r="C43" s="10">
        <f>'A) Base RI'!V42</f>
        <v>422</v>
      </c>
      <c r="D43" s="10">
        <f t="shared" si="1"/>
        <v>422</v>
      </c>
      <c r="E43" s="422">
        <f t="shared" si="1"/>
        <v>0</v>
      </c>
      <c r="F43" s="10">
        <f t="shared" si="1"/>
        <v>0</v>
      </c>
      <c r="G43" s="422">
        <f t="shared" si="1"/>
        <v>0</v>
      </c>
      <c r="H43" s="41">
        <f t="shared" si="1"/>
        <v>0</v>
      </c>
      <c r="I43" s="10">
        <f t="shared" si="1"/>
        <v>0</v>
      </c>
      <c r="J43" s="10">
        <f t="shared" si="2"/>
        <v>0</v>
      </c>
      <c r="K43" s="113">
        <f t="shared" si="3"/>
        <v>53015.342052313878</v>
      </c>
    </row>
    <row r="44" spans="1:11" x14ac:dyDescent="0.25">
      <c r="A44" s="49">
        <f>'A) Base RI'!A43</f>
        <v>5473</v>
      </c>
      <c r="B44" s="293" t="str">
        <f>'A) Base RI'!B43</f>
        <v>Boussens</v>
      </c>
      <c r="C44" s="10">
        <f>'A) Base RI'!V43</f>
        <v>993</v>
      </c>
      <c r="D44" s="10">
        <f t="shared" si="1"/>
        <v>993</v>
      </c>
      <c r="E44" s="422">
        <f t="shared" si="1"/>
        <v>0</v>
      </c>
      <c r="F44" s="10">
        <f t="shared" si="1"/>
        <v>0</v>
      </c>
      <c r="G44" s="422">
        <f t="shared" si="1"/>
        <v>0</v>
      </c>
      <c r="H44" s="41">
        <f t="shared" si="1"/>
        <v>0</v>
      </c>
      <c r="I44" s="10">
        <f t="shared" si="1"/>
        <v>0</v>
      </c>
      <c r="J44" s="10">
        <f t="shared" si="2"/>
        <v>0</v>
      </c>
      <c r="K44" s="113">
        <f t="shared" si="3"/>
        <v>124749.37122736417</v>
      </c>
    </row>
    <row r="45" spans="1:11" x14ac:dyDescent="0.25">
      <c r="A45" s="49">
        <f>'A) Base RI'!A44</f>
        <v>5474</v>
      </c>
      <c r="B45" s="293" t="str">
        <f>'A) Base RI'!B44</f>
        <v>La Chaux (Cossonay)</v>
      </c>
      <c r="C45" s="10">
        <f>'A) Base RI'!V44</f>
        <v>395</v>
      </c>
      <c r="D45" s="10">
        <f t="shared" si="1"/>
        <v>395</v>
      </c>
      <c r="E45" s="422">
        <f t="shared" si="1"/>
        <v>0</v>
      </c>
      <c r="F45" s="10">
        <f t="shared" si="1"/>
        <v>0</v>
      </c>
      <c r="G45" s="422">
        <f t="shared" si="1"/>
        <v>0</v>
      </c>
      <c r="H45" s="41">
        <f t="shared" si="1"/>
        <v>0</v>
      </c>
      <c r="I45" s="10">
        <f t="shared" si="1"/>
        <v>0</v>
      </c>
      <c r="J45" s="10">
        <f t="shared" si="2"/>
        <v>0</v>
      </c>
      <c r="K45" s="113">
        <f t="shared" si="3"/>
        <v>49623.365191146877</v>
      </c>
    </row>
    <row r="46" spans="1:11" x14ac:dyDescent="0.25">
      <c r="A46" s="49">
        <f>'A) Base RI'!A45</f>
        <v>5475</v>
      </c>
      <c r="B46" s="293" t="str">
        <f>'A) Base RI'!B45</f>
        <v>Chavannes-le-Veyron</v>
      </c>
      <c r="C46" s="10">
        <f>'A) Base RI'!V45</f>
        <v>152</v>
      </c>
      <c r="D46" s="10">
        <f t="shared" si="1"/>
        <v>152</v>
      </c>
      <c r="E46" s="422">
        <f t="shared" si="1"/>
        <v>0</v>
      </c>
      <c r="F46" s="10">
        <f t="shared" si="1"/>
        <v>0</v>
      </c>
      <c r="G46" s="422">
        <f t="shared" si="1"/>
        <v>0</v>
      </c>
      <c r="H46" s="41">
        <f t="shared" si="1"/>
        <v>0</v>
      </c>
      <c r="I46" s="10">
        <f t="shared" si="1"/>
        <v>0</v>
      </c>
      <c r="J46" s="10">
        <f t="shared" si="2"/>
        <v>0</v>
      </c>
      <c r="K46" s="113">
        <f t="shared" si="3"/>
        <v>19095.573440643861</v>
      </c>
    </row>
    <row r="47" spans="1:11" x14ac:dyDescent="0.25">
      <c r="A47" s="49">
        <f>'A) Base RI'!A46</f>
        <v>5476</v>
      </c>
      <c r="B47" s="293" t="str">
        <f>'A) Base RI'!B46</f>
        <v>Chevilly</v>
      </c>
      <c r="C47" s="10">
        <f>'A) Base RI'!V46</f>
        <v>317</v>
      </c>
      <c r="D47" s="10">
        <f t="shared" si="1"/>
        <v>317</v>
      </c>
      <c r="E47" s="422">
        <f t="shared" si="1"/>
        <v>0</v>
      </c>
      <c r="F47" s="10">
        <f t="shared" si="1"/>
        <v>0</v>
      </c>
      <c r="G47" s="422">
        <f t="shared" si="1"/>
        <v>0</v>
      </c>
      <c r="H47" s="41">
        <f t="shared" si="1"/>
        <v>0</v>
      </c>
      <c r="I47" s="10">
        <f t="shared" si="1"/>
        <v>0</v>
      </c>
      <c r="J47" s="10">
        <f t="shared" si="2"/>
        <v>0</v>
      </c>
      <c r="K47" s="113">
        <f t="shared" si="3"/>
        <v>39824.320925553315</v>
      </c>
    </row>
    <row r="48" spans="1:11" x14ac:dyDescent="0.25">
      <c r="A48" s="49">
        <f>'A) Base RI'!A47</f>
        <v>5477</v>
      </c>
      <c r="B48" s="293" t="str">
        <f>'A) Base RI'!B47</f>
        <v>Cossonay</v>
      </c>
      <c r="C48" s="10">
        <f>'A) Base RI'!V47</f>
        <v>4045</v>
      </c>
      <c r="D48" s="10">
        <f t="shared" si="1"/>
        <v>1000</v>
      </c>
      <c r="E48" s="422">
        <f t="shared" si="1"/>
        <v>2000</v>
      </c>
      <c r="F48" s="10">
        <f t="shared" si="1"/>
        <v>1045</v>
      </c>
      <c r="G48" s="422">
        <f t="shared" si="1"/>
        <v>0</v>
      </c>
      <c r="H48" s="41">
        <f t="shared" si="1"/>
        <v>0</v>
      </c>
      <c r="I48" s="10">
        <f t="shared" si="1"/>
        <v>0</v>
      </c>
      <c r="J48" s="10">
        <f t="shared" si="2"/>
        <v>0</v>
      </c>
      <c r="K48" s="113">
        <f t="shared" si="3"/>
        <v>1354278.1690140844</v>
      </c>
    </row>
    <row r="49" spans="1:11" x14ac:dyDescent="0.25">
      <c r="A49" s="49">
        <f>'A) Base RI'!A48</f>
        <v>5478</v>
      </c>
      <c r="B49" s="293" t="str">
        <f>'A) Base RI'!B48</f>
        <v>Cottens</v>
      </c>
      <c r="C49" s="10">
        <f>'A) Base RI'!V48</f>
        <v>487</v>
      </c>
      <c r="D49" s="10">
        <f t="shared" si="1"/>
        <v>487</v>
      </c>
      <c r="E49" s="422">
        <f t="shared" si="1"/>
        <v>0</v>
      </c>
      <c r="F49" s="10">
        <f t="shared" si="1"/>
        <v>0</v>
      </c>
      <c r="G49" s="422">
        <f t="shared" si="1"/>
        <v>0</v>
      </c>
      <c r="H49" s="41">
        <f t="shared" si="1"/>
        <v>0</v>
      </c>
      <c r="I49" s="10">
        <f t="shared" si="1"/>
        <v>0</v>
      </c>
      <c r="J49" s="10">
        <f t="shared" si="2"/>
        <v>0</v>
      </c>
      <c r="K49" s="113">
        <f t="shared" si="3"/>
        <v>61181.212273641846</v>
      </c>
    </row>
    <row r="50" spans="1:11" x14ac:dyDescent="0.25">
      <c r="A50" s="49">
        <f>'A) Base RI'!A49</f>
        <v>5479</v>
      </c>
      <c r="B50" s="293" t="str">
        <f>'A) Base RI'!B49</f>
        <v>Cuarnens</v>
      </c>
      <c r="C50" s="10">
        <f>'A) Base RI'!V49</f>
        <v>486</v>
      </c>
      <c r="D50" s="10">
        <f t="shared" si="1"/>
        <v>486</v>
      </c>
      <c r="E50" s="422">
        <f t="shared" si="1"/>
        <v>0</v>
      </c>
      <c r="F50" s="10">
        <f t="shared" si="1"/>
        <v>0</v>
      </c>
      <c r="G50" s="422">
        <f t="shared" si="1"/>
        <v>0</v>
      </c>
      <c r="H50" s="41">
        <f t="shared" si="1"/>
        <v>0</v>
      </c>
      <c r="I50" s="10">
        <f t="shared" si="1"/>
        <v>0</v>
      </c>
      <c r="J50" s="10">
        <f t="shared" si="2"/>
        <v>0</v>
      </c>
      <c r="K50" s="113">
        <f t="shared" si="3"/>
        <v>61055.583501006033</v>
      </c>
    </row>
    <row r="51" spans="1:11" x14ac:dyDescent="0.25">
      <c r="A51" s="49">
        <f>'A) Base RI'!A50</f>
        <v>5480</v>
      </c>
      <c r="B51" s="293" t="str">
        <f>'A) Base RI'!B50</f>
        <v>Daillens</v>
      </c>
      <c r="C51" s="10">
        <f>'A) Base RI'!V50</f>
        <v>1034</v>
      </c>
      <c r="D51" s="10">
        <f t="shared" si="1"/>
        <v>1000</v>
      </c>
      <c r="E51" s="422">
        <f t="shared" si="1"/>
        <v>34</v>
      </c>
      <c r="F51" s="10">
        <f t="shared" si="1"/>
        <v>0</v>
      </c>
      <c r="G51" s="422">
        <f t="shared" si="1"/>
        <v>0</v>
      </c>
      <c r="H51" s="41">
        <f t="shared" si="1"/>
        <v>0</v>
      </c>
      <c r="I51" s="10">
        <f t="shared" si="1"/>
        <v>0</v>
      </c>
      <c r="J51" s="10">
        <f t="shared" si="2"/>
        <v>0</v>
      </c>
      <c r="K51" s="113">
        <f t="shared" si="3"/>
        <v>137588.63179074446</v>
      </c>
    </row>
    <row r="52" spans="1:11" x14ac:dyDescent="0.25">
      <c r="A52" s="49">
        <f>'A) Base RI'!A51</f>
        <v>5481</v>
      </c>
      <c r="B52" s="293" t="str">
        <f>'A) Base RI'!B51</f>
        <v>Dizy</v>
      </c>
      <c r="C52" s="10">
        <f>'A) Base RI'!V51</f>
        <v>234</v>
      </c>
      <c r="D52" s="10">
        <f t="shared" si="1"/>
        <v>234</v>
      </c>
      <c r="E52" s="422">
        <f t="shared" si="1"/>
        <v>0</v>
      </c>
      <c r="F52" s="10">
        <f t="shared" si="1"/>
        <v>0</v>
      </c>
      <c r="G52" s="422">
        <f t="shared" si="1"/>
        <v>0</v>
      </c>
      <c r="H52" s="41">
        <f t="shared" si="1"/>
        <v>0</v>
      </c>
      <c r="I52" s="10">
        <f t="shared" si="1"/>
        <v>0</v>
      </c>
      <c r="J52" s="10">
        <f t="shared" si="2"/>
        <v>0</v>
      </c>
      <c r="K52" s="113">
        <f t="shared" si="3"/>
        <v>29397.132796780683</v>
      </c>
    </row>
    <row r="53" spans="1:11" x14ac:dyDescent="0.25">
      <c r="A53" s="49">
        <f>'A) Base RI'!A52</f>
        <v>5482</v>
      </c>
      <c r="B53" s="293" t="str">
        <f>'A) Base RI'!B52</f>
        <v>Eclépens</v>
      </c>
      <c r="C53" s="10">
        <f>'A) Base RI'!V52</f>
        <v>1222</v>
      </c>
      <c r="D53" s="10">
        <f t="shared" si="1"/>
        <v>1000</v>
      </c>
      <c r="E53" s="422">
        <f t="shared" si="1"/>
        <v>222</v>
      </c>
      <c r="F53" s="10">
        <f t="shared" si="1"/>
        <v>0</v>
      </c>
      <c r="G53" s="422">
        <f t="shared" si="1"/>
        <v>0</v>
      </c>
      <c r="H53" s="41">
        <f t="shared" si="1"/>
        <v>0</v>
      </c>
      <c r="I53" s="10">
        <f t="shared" si="1"/>
        <v>0</v>
      </c>
      <c r="J53" s="10">
        <f t="shared" si="2"/>
        <v>0</v>
      </c>
      <c r="K53" s="113">
        <f t="shared" si="3"/>
        <v>203719.61770623742</v>
      </c>
    </row>
    <row r="54" spans="1:11" x14ac:dyDescent="0.25">
      <c r="A54" s="49">
        <f>'A) Base RI'!A53</f>
        <v>5483</v>
      </c>
      <c r="B54" s="293" t="str">
        <f>'A) Base RI'!B53</f>
        <v>Ferreyres</v>
      </c>
      <c r="C54" s="10">
        <f>'A) Base RI'!V53</f>
        <v>320</v>
      </c>
      <c r="D54" s="10">
        <f t="shared" si="1"/>
        <v>320</v>
      </c>
      <c r="E54" s="422">
        <f t="shared" si="1"/>
        <v>0</v>
      </c>
      <c r="F54" s="10">
        <f t="shared" si="1"/>
        <v>0</v>
      </c>
      <c r="G54" s="422">
        <f t="shared" si="1"/>
        <v>0</v>
      </c>
      <c r="H54" s="41">
        <f t="shared" si="1"/>
        <v>0</v>
      </c>
      <c r="I54" s="10">
        <f t="shared" si="1"/>
        <v>0</v>
      </c>
      <c r="J54" s="10">
        <f t="shared" si="2"/>
        <v>0</v>
      </c>
      <c r="K54" s="113">
        <f t="shared" si="3"/>
        <v>40201.207243460762</v>
      </c>
    </row>
    <row r="55" spans="1:11" x14ac:dyDescent="0.25">
      <c r="A55" s="49">
        <f>'A) Base RI'!A54</f>
        <v>5484</v>
      </c>
      <c r="B55" s="293" t="str">
        <f>'A) Base RI'!B54</f>
        <v>Gollion</v>
      </c>
      <c r="C55" s="10">
        <f>'A) Base RI'!V54</f>
        <v>939</v>
      </c>
      <c r="D55" s="10">
        <f t="shared" si="1"/>
        <v>939</v>
      </c>
      <c r="E55" s="422">
        <f t="shared" si="1"/>
        <v>0</v>
      </c>
      <c r="F55" s="10">
        <f t="shared" si="1"/>
        <v>0</v>
      </c>
      <c r="G55" s="422">
        <f t="shared" si="1"/>
        <v>0</v>
      </c>
      <c r="H55" s="41">
        <f t="shared" si="1"/>
        <v>0</v>
      </c>
      <c r="I55" s="10">
        <f t="shared" si="1"/>
        <v>0</v>
      </c>
      <c r="J55" s="10">
        <f t="shared" si="2"/>
        <v>0</v>
      </c>
      <c r="K55" s="113">
        <f t="shared" si="3"/>
        <v>117965.41750503017</v>
      </c>
    </row>
    <row r="56" spans="1:11" x14ac:dyDescent="0.25">
      <c r="A56" s="49">
        <f>'A) Base RI'!A55</f>
        <v>5485</v>
      </c>
      <c r="B56" s="293" t="str">
        <f>'A) Base RI'!B55</f>
        <v>Grancy</v>
      </c>
      <c r="C56" s="10">
        <f>'A) Base RI'!V55</f>
        <v>397</v>
      </c>
      <c r="D56" s="10">
        <f t="shared" si="1"/>
        <v>397</v>
      </c>
      <c r="E56" s="422">
        <f t="shared" si="1"/>
        <v>0</v>
      </c>
      <c r="F56" s="10">
        <f t="shared" si="1"/>
        <v>0</v>
      </c>
      <c r="G56" s="422">
        <f t="shared" si="1"/>
        <v>0</v>
      </c>
      <c r="H56" s="41">
        <f t="shared" si="1"/>
        <v>0</v>
      </c>
      <c r="I56" s="10">
        <f t="shared" si="1"/>
        <v>0</v>
      </c>
      <c r="J56" s="10">
        <f t="shared" si="2"/>
        <v>0</v>
      </c>
      <c r="K56" s="113">
        <f t="shared" si="3"/>
        <v>49874.622736418511</v>
      </c>
    </row>
    <row r="57" spans="1:11" x14ac:dyDescent="0.25">
      <c r="A57" s="49">
        <f>'A) Base RI'!A56</f>
        <v>5486</v>
      </c>
      <c r="B57" s="293" t="str">
        <f>'A) Base RI'!B56</f>
        <v>L'Isle</v>
      </c>
      <c r="C57" s="10">
        <f>'A) Base RI'!V56</f>
        <v>1011</v>
      </c>
      <c r="D57" s="10">
        <f t="shared" si="1"/>
        <v>1000</v>
      </c>
      <c r="E57" s="422">
        <f t="shared" si="1"/>
        <v>11</v>
      </c>
      <c r="F57" s="10">
        <f t="shared" si="1"/>
        <v>0</v>
      </c>
      <c r="G57" s="422">
        <f t="shared" si="1"/>
        <v>0</v>
      </c>
      <c r="H57" s="41">
        <f t="shared" si="1"/>
        <v>0</v>
      </c>
      <c r="I57" s="10">
        <f t="shared" si="1"/>
        <v>0</v>
      </c>
      <c r="J57" s="10">
        <f t="shared" si="2"/>
        <v>0</v>
      </c>
      <c r="K57" s="113">
        <f t="shared" si="3"/>
        <v>129498.13883299798</v>
      </c>
    </row>
    <row r="58" spans="1:11" x14ac:dyDescent="0.25">
      <c r="A58" s="49">
        <f>'A) Base RI'!A57</f>
        <v>5487</v>
      </c>
      <c r="B58" s="293" t="str">
        <f>'A) Base RI'!B57</f>
        <v>Lussery-Villars</v>
      </c>
      <c r="C58" s="10">
        <f>'A) Base RI'!V57</f>
        <v>459</v>
      </c>
      <c r="D58" s="10">
        <f t="shared" si="1"/>
        <v>459</v>
      </c>
      <c r="E58" s="422">
        <f t="shared" si="1"/>
        <v>0</v>
      </c>
      <c r="F58" s="10">
        <f t="shared" si="1"/>
        <v>0</v>
      </c>
      <c r="G58" s="422">
        <f t="shared" si="1"/>
        <v>0</v>
      </c>
      <c r="H58" s="41">
        <f t="shared" si="1"/>
        <v>0</v>
      </c>
      <c r="I58" s="10">
        <f t="shared" si="1"/>
        <v>0</v>
      </c>
      <c r="J58" s="10">
        <f t="shared" si="2"/>
        <v>0</v>
      </c>
      <c r="K58" s="113">
        <f t="shared" si="3"/>
        <v>57663.606639839032</v>
      </c>
    </row>
    <row r="59" spans="1:11" x14ac:dyDescent="0.25">
      <c r="A59" s="49">
        <f>'A) Base RI'!A58</f>
        <v>5488</v>
      </c>
      <c r="B59" s="293" t="str">
        <f>'A) Base RI'!B58</f>
        <v>Mauraz</v>
      </c>
      <c r="C59" s="10">
        <f>'A) Base RI'!V58</f>
        <v>57</v>
      </c>
      <c r="D59" s="10">
        <f t="shared" si="1"/>
        <v>57</v>
      </c>
      <c r="E59" s="422">
        <f t="shared" si="1"/>
        <v>0</v>
      </c>
      <c r="F59" s="10">
        <f t="shared" si="1"/>
        <v>0</v>
      </c>
      <c r="G59" s="422">
        <f t="shared" si="1"/>
        <v>0</v>
      </c>
      <c r="H59" s="41">
        <f t="shared" si="1"/>
        <v>0</v>
      </c>
      <c r="I59" s="10">
        <f t="shared" si="1"/>
        <v>0</v>
      </c>
      <c r="J59" s="10">
        <f t="shared" si="2"/>
        <v>0</v>
      </c>
      <c r="K59" s="113">
        <f t="shared" si="3"/>
        <v>7160.8400402414482</v>
      </c>
    </row>
    <row r="60" spans="1:11" x14ac:dyDescent="0.25">
      <c r="A60" s="49">
        <f>'A) Base RI'!A59</f>
        <v>5489</v>
      </c>
      <c r="B60" s="293" t="str">
        <f>'A) Base RI'!B59</f>
        <v>Mex</v>
      </c>
      <c r="C60" s="10">
        <f>'A) Base RI'!V59</f>
        <v>718</v>
      </c>
      <c r="D60" s="10">
        <f t="shared" si="1"/>
        <v>718</v>
      </c>
      <c r="E60" s="422">
        <f t="shared" si="1"/>
        <v>0</v>
      </c>
      <c r="F60" s="10">
        <f t="shared" si="1"/>
        <v>0</v>
      </c>
      <c r="G60" s="422">
        <f t="shared" si="1"/>
        <v>0</v>
      </c>
      <c r="H60" s="41">
        <f t="shared" si="1"/>
        <v>0</v>
      </c>
      <c r="I60" s="10">
        <f t="shared" si="1"/>
        <v>0</v>
      </c>
      <c r="J60" s="10">
        <f t="shared" si="2"/>
        <v>0</v>
      </c>
      <c r="K60" s="113">
        <f t="shared" si="3"/>
        <v>90201.458752515086</v>
      </c>
    </row>
    <row r="61" spans="1:11" x14ac:dyDescent="0.25">
      <c r="A61" s="49">
        <f>'A) Base RI'!A60</f>
        <v>5490</v>
      </c>
      <c r="B61" s="293" t="str">
        <f>'A) Base RI'!B60</f>
        <v>Moiry</v>
      </c>
      <c r="C61" s="10">
        <f>'A) Base RI'!V60</f>
        <v>310</v>
      </c>
      <c r="D61" s="10">
        <f t="shared" si="1"/>
        <v>310</v>
      </c>
      <c r="E61" s="422">
        <f t="shared" si="1"/>
        <v>0</v>
      </c>
      <c r="F61" s="10">
        <f t="shared" si="1"/>
        <v>0</v>
      </c>
      <c r="G61" s="422">
        <f t="shared" si="1"/>
        <v>0</v>
      </c>
      <c r="H61" s="41">
        <f t="shared" si="1"/>
        <v>0</v>
      </c>
      <c r="I61" s="10">
        <f t="shared" si="1"/>
        <v>0</v>
      </c>
      <c r="J61" s="10">
        <f t="shared" si="2"/>
        <v>0</v>
      </c>
      <c r="K61" s="113">
        <f t="shared" si="3"/>
        <v>38944.919517102615</v>
      </c>
    </row>
    <row r="62" spans="1:11" x14ac:dyDescent="0.25">
      <c r="A62" s="49">
        <f>'A) Base RI'!A61</f>
        <v>5491</v>
      </c>
      <c r="B62" s="293" t="str">
        <f>'A) Base RI'!B61</f>
        <v>Mont-la-Ville</v>
      </c>
      <c r="C62" s="10">
        <f>'A) Base RI'!V61</f>
        <v>478</v>
      </c>
      <c r="D62" s="10">
        <f t="shared" si="1"/>
        <v>478</v>
      </c>
      <c r="E62" s="422">
        <f t="shared" si="1"/>
        <v>0</v>
      </c>
      <c r="F62" s="10">
        <f t="shared" si="1"/>
        <v>0</v>
      </c>
      <c r="G62" s="422">
        <f t="shared" si="1"/>
        <v>0</v>
      </c>
      <c r="H62" s="41">
        <f t="shared" si="1"/>
        <v>0</v>
      </c>
      <c r="I62" s="10">
        <f t="shared" si="1"/>
        <v>0</v>
      </c>
      <c r="J62" s="10">
        <f t="shared" si="2"/>
        <v>0</v>
      </c>
      <c r="K62" s="113">
        <f t="shared" si="3"/>
        <v>60050.553319919512</v>
      </c>
    </row>
    <row r="63" spans="1:11" x14ac:dyDescent="0.25">
      <c r="A63" s="49">
        <f>'A) Base RI'!A62</f>
        <v>5492</v>
      </c>
      <c r="B63" s="293" t="str">
        <f>'A) Base RI'!B62</f>
        <v>Montricher</v>
      </c>
      <c r="C63" s="10">
        <f>'A) Base RI'!V62</f>
        <v>964</v>
      </c>
      <c r="D63" s="10">
        <f t="shared" ref="D63:I105" si="4">IF($C63&gt;D$4,IF($C63&lt;D$5,$C63-D$4,D$5-D$4),0)</f>
        <v>964</v>
      </c>
      <c r="E63" s="422">
        <f t="shared" si="4"/>
        <v>0</v>
      </c>
      <c r="F63" s="10">
        <f t="shared" si="4"/>
        <v>0</v>
      </c>
      <c r="G63" s="422">
        <f t="shared" si="4"/>
        <v>0</v>
      </c>
      <c r="H63" s="41">
        <f t="shared" si="4"/>
        <v>0</v>
      </c>
      <c r="I63" s="10">
        <f t="shared" si="4"/>
        <v>0</v>
      </c>
      <c r="J63" s="10">
        <f t="shared" si="2"/>
        <v>0</v>
      </c>
      <c r="K63" s="113">
        <f t="shared" si="3"/>
        <v>121106.13682092555</v>
      </c>
    </row>
    <row r="64" spans="1:11" x14ac:dyDescent="0.25">
      <c r="A64" s="49">
        <f>'A) Base RI'!A63</f>
        <v>5493</v>
      </c>
      <c r="B64" s="293" t="str">
        <f>'A) Base RI'!B63</f>
        <v>Orny</v>
      </c>
      <c r="C64" s="10">
        <f>'A) Base RI'!V63</f>
        <v>416</v>
      </c>
      <c r="D64" s="10">
        <f t="shared" si="4"/>
        <v>416</v>
      </c>
      <c r="E64" s="422">
        <f t="shared" si="4"/>
        <v>0</v>
      </c>
      <c r="F64" s="10">
        <f t="shared" si="4"/>
        <v>0</v>
      </c>
      <c r="G64" s="422">
        <f t="shared" si="4"/>
        <v>0</v>
      </c>
      <c r="H64" s="41">
        <f t="shared" si="4"/>
        <v>0</v>
      </c>
      <c r="I64" s="10">
        <f t="shared" si="4"/>
        <v>0</v>
      </c>
      <c r="J64" s="10">
        <f t="shared" si="2"/>
        <v>0</v>
      </c>
      <c r="K64" s="113">
        <f t="shared" si="3"/>
        <v>52261.569416498991</v>
      </c>
    </row>
    <row r="65" spans="1:11" x14ac:dyDescent="0.25">
      <c r="A65" s="49">
        <f>'A) Base RI'!A64</f>
        <v>5494</v>
      </c>
      <c r="B65" s="293" t="str">
        <f>'A) Base RI'!B64</f>
        <v>Pampigny</v>
      </c>
      <c r="C65" s="10">
        <f>'A) Base RI'!V64</f>
        <v>1103</v>
      </c>
      <c r="D65" s="10">
        <f t="shared" si="4"/>
        <v>1000</v>
      </c>
      <c r="E65" s="422">
        <f t="shared" si="4"/>
        <v>103</v>
      </c>
      <c r="F65" s="10">
        <f t="shared" si="4"/>
        <v>0</v>
      </c>
      <c r="G65" s="422">
        <f t="shared" si="4"/>
        <v>0</v>
      </c>
      <c r="H65" s="41">
        <f t="shared" si="4"/>
        <v>0</v>
      </c>
      <c r="I65" s="10">
        <f t="shared" si="4"/>
        <v>0</v>
      </c>
      <c r="J65" s="10">
        <f t="shared" si="2"/>
        <v>0</v>
      </c>
      <c r="K65" s="113">
        <f t="shared" si="3"/>
        <v>161860.11066398388</v>
      </c>
    </row>
    <row r="66" spans="1:11" x14ac:dyDescent="0.25">
      <c r="A66" s="49">
        <f>'A) Base RI'!A65</f>
        <v>5495</v>
      </c>
      <c r="B66" s="293" t="str">
        <f>'A) Base RI'!B65</f>
        <v>Penthalaz</v>
      </c>
      <c r="C66" s="10">
        <f>'A) Base RI'!V65</f>
        <v>3257</v>
      </c>
      <c r="D66" s="10">
        <f t="shared" si="4"/>
        <v>1000</v>
      </c>
      <c r="E66" s="422">
        <f t="shared" si="4"/>
        <v>2000</v>
      </c>
      <c r="F66" s="10">
        <f t="shared" si="4"/>
        <v>257</v>
      </c>
      <c r="G66" s="422">
        <f t="shared" si="4"/>
        <v>0</v>
      </c>
      <c r="H66" s="41">
        <f t="shared" si="4"/>
        <v>0</v>
      </c>
      <c r="I66" s="10">
        <f t="shared" si="4"/>
        <v>0</v>
      </c>
      <c r="J66" s="10">
        <f t="shared" si="2"/>
        <v>0</v>
      </c>
      <c r="K66" s="113">
        <f t="shared" si="3"/>
        <v>958296.27766599588</v>
      </c>
    </row>
    <row r="67" spans="1:11" x14ac:dyDescent="0.25">
      <c r="A67" s="49">
        <f>'A) Base RI'!A66</f>
        <v>5496</v>
      </c>
      <c r="B67" s="293" t="str">
        <f>'A) Base RI'!B66</f>
        <v>Penthaz</v>
      </c>
      <c r="C67" s="10">
        <f>'A) Base RI'!V66</f>
        <v>1760</v>
      </c>
      <c r="D67" s="10">
        <f t="shared" si="4"/>
        <v>1000</v>
      </c>
      <c r="E67" s="422">
        <f t="shared" si="4"/>
        <v>760</v>
      </c>
      <c r="F67" s="10">
        <f t="shared" si="4"/>
        <v>0</v>
      </c>
      <c r="G67" s="422">
        <f t="shared" si="4"/>
        <v>0</v>
      </c>
      <c r="H67" s="41">
        <f t="shared" si="4"/>
        <v>0</v>
      </c>
      <c r="I67" s="10">
        <f t="shared" si="4"/>
        <v>0</v>
      </c>
      <c r="J67" s="10">
        <f t="shared" si="2"/>
        <v>0</v>
      </c>
      <c r="K67" s="113">
        <f t="shared" si="3"/>
        <v>392966.80080482899</v>
      </c>
    </row>
    <row r="68" spans="1:11" x14ac:dyDescent="0.25">
      <c r="A68" s="49">
        <f>'A) Base RI'!A67</f>
        <v>5497</v>
      </c>
      <c r="B68" s="293" t="str">
        <f>'A) Base RI'!B67</f>
        <v>Pompaples</v>
      </c>
      <c r="C68" s="10">
        <f>'A) Base RI'!V67</f>
        <v>851</v>
      </c>
      <c r="D68" s="10">
        <f t="shared" si="4"/>
        <v>851</v>
      </c>
      <c r="E68" s="422">
        <f t="shared" si="4"/>
        <v>0</v>
      </c>
      <c r="F68" s="10">
        <f t="shared" si="4"/>
        <v>0</v>
      </c>
      <c r="G68" s="422">
        <f t="shared" si="4"/>
        <v>0</v>
      </c>
      <c r="H68" s="41">
        <f t="shared" si="4"/>
        <v>0</v>
      </c>
      <c r="I68" s="10">
        <f t="shared" si="4"/>
        <v>0</v>
      </c>
      <c r="J68" s="10">
        <f t="shared" si="2"/>
        <v>0</v>
      </c>
      <c r="K68" s="113">
        <f t="shared" si="3"/>
        <v>106910.08551307846</v>
      </c>
    </row>
    <row r="69" spans="1:11" x14ac:dyDescent="0.25">
      <c r="A69" s="49">
        <f>'A) Base RI'!A68</f>
        <v>5498</v>
      </c>
      <c r="B69" s="293" t="str">
        <f>'A) Base RI'!B68</f>
        <v>La Sarraz</v>
      </c>
      <c r="C69" s="10">
        <f>'A) Base RI'!V68</f>
        <v>2651</v>
      </c>
      <c r="D69" s="10">
        <f t="shared" si="4"/>
        <v>1000</v>
      </c>
      <c r="E69" s="422">
        <f t="shared" si="4"/>
        <v>1651</v>
      </c>
      <c r="F69" s="10">
        <f t="shared" si="4"/>
        <v>0</v>
      </c>
      <c r="G69" s="422">
        <f t="shared" si="4"/>
        <v>0</v>
      </c>
      <c r="H69" s="41">
        <f t="shared" si="4"/>
        <v>0</v>
      </c>
      <c r="I69" s="10">
        <f t="shared" si="4"/>
        <v>0</v>
      </c>
      <c r="J69" s="10">
        <f t="shared" si="2"/>
        <v>0</v>
      </c>
      <c r="K69" s="113">
        <f t="shared" si="3"/>
        <v>706385.46277665987</v>
      </c>
    </row>
    <row r="70" spans="1:11" x14ac:dyDescent="0.25">
      <c r="A70" s="49">
        <f>'A) Base RI'!A69</f>
        <v>5499</v>
      </c>
      <c r="B70" s="293" t="str">
        <f>'A) Base RI'!B69</f>
        <v>Senarclens</v>
      </c>
      <c r="C70" s="10">
        <f>'A) Base RI'!V69</f>
        <v>477</v>
      </c>
      <c r="D70" s="10">
        <f t="shared" si="4"/>
        <v>477</v>
      </c>
      <c r="E70" s="422">
        <f t="shared" si="4"/>
        <v>0</v>
      </c>
      <c r="F70" s="10">
        <f t="shared" si="4"/>
        <v>0</v>
      </c>
      <c r="G70" s="422">
        <f t="shared" si="4"/>
        <v>0</v>
      </c>
      <c r="H70" s="41">
        <f t="shared" si="4"/>
        <v>0</v>
      </c>
      <c r="I70" s="10">
        <f t="shared" si="4"/>
        <v>0</v>
      </c>
      <c r="J70" s="10">
        <f t="shared" si="2"/>
        <v>0</v>
      </c>
      <c r="K70" s="113">
        <f t="shared" si="3"/>
        <v>59924.924547283699</v>
      </c>
    </row>
    <row r="71" spans="1:11" x14ac:dyDescent="0.25">
      <c r="A71" s="49">
        <f>'A) Base RI'!A70</f>
        <v>5500</v>
      </c>
      <c r="B71" s="293" t="str">
        <f>'A) Base RI'!B70</f>
        <v>Sévery</v>
      </c>
      <c r="C71" s="10">
        <f>'A) Base RI'!V70</f>
        <v>227</v>
      </c>
      <c r="D71" s="10">
        <f t="shared" si="4"/>
        <v>227</v>
      </c>
      <c r="E71" s="422">
        <f t="shared" si="4"/>
        <v>0</v>
      </c>
      <c r="F71" s="10">
        <f t="shared" si="4"/>
        <v>0</v>
      </c>
      <c r="G71" s="422">
        <f t="shared" si="4"/>
        <v>0</v>
      </c>
      <c r="H71" s="41">
        <f t="shared" si="4"/>
        <v>0</v>
      </c>
      <c r="I71" s="10">
        <f t="shared" si="4"/>
        <v>0</v>
      </c>
      <c r="J71" s="10">
        <f t="shared" si="2"/>
        <v>0</v>
      </c>
      <c r="K71" s="113">
        <f t="shared" si="3"/>
        <v>28517.731388329979</v>
      </c>
    </row>
    <row r="72" spans="1:11" x14ac:dyDescent="0.25">
      <c r="A72" s="49">
        <f>'A) Base RI'!A71</f>
        <v>5501</v>
      </c>
      <c r="B72" s="293" t="str">
        <f>'A) Base RI'!B71</f>
        <v>Sullens</v>
      </c>
      <c r="C72" s="10">
        <f>'A) Base RI'!V71</f>
        <v>1035</v>
      </c>
      <c r="D72" s="10">
        <f t="shared" si="4"/>
        <v>1000</v>
      </c>
      <c r="E72" s="422">
        <f t="shared" si="4"/>
        <v>35</v>
      </c>
      <c r="F72" s="10">
        <f t="shared" si="4"/>
        <v>0</v>
      </c>
      <c r="G72" s="422">
        <f t="shared" si="4"/>
        <v>0</v>
      </c>
      <c r="H72" s="41">
        <f t="shared" si="4"/>
        <v>0</v>
      </c>
      <c r="I72" s="10">
        <f t="shared" si="4"/>
        <v>0</v>
      </c>
      <c r="J72" s="10">
        <f t="shared" ref="J72:J135" si="5">IF(C72&gt;$J$4,C72-$J$4,0)</f>
        <v>0</v>
      </c>
      <c r="K72" s="113">
        <f t="shared" ref="K72:K135" si="6">(D72*D$7)+(E72*E$7)+(F72*F$7)+(G72*G$7)+(H72*H$7)+(I72*I$7)+(J72*J$7)</f>
        <v>137940.39235412475</v>
      </c>
    </row>
    <row r="73" spans="1:11" x14ac:dyDescent="0.25">
      <c r="A73" s="49">
        <f>'A) Base RI'!A72</f>
        <v>5503</v>
      </c>
      <c r="B73" s="293" t="str">
        <f>'A) Base RI'!B72</f>
        <v>Vufflens-la-Ville</v>
      </c>
      <c r="C73" s="10">
        <f>'A) Base RI'!V72</f>
        <v>1295</v>
      </c>
      <c r="D73" s="10">
        <f t="shared" si="4"/>
        <v>1000</v>
      </c>
      <c r="E73" s="422">
        <f t="shared" si="4"/>
        <v>295</v>
      </c>
      <c r="F73" s="10">
        <f t="shared" si="4"/>
        <v>0</v>
      </c>
      <c r="G73" s="422">
        <f t="shared" si="4"/>
        <v>0</v>
      </c>
      <c r="H73" s="41">
        <f t="shared" si="4"/>
        <v>0</v>
      </c>
      <c r="I73" s="10">
        <f t="shared" si="4"/>
        <v>0</v>
      </c>
      <c r="J73" s="10">
        <f t="shared" si="5"/>
        <v>0</v>
      </c>
      <c r="K73" s="113">
        <f t="shared" si="6"/>
        <v>229398.13883299797</v>
      </c>
    </row>
    <row r="74" spans="1:11" x14ac:dyDescent="0.25">
      <c r="A74" s="49">
        <f>'A) Base RI'!A73</f>
        <v>5511</v>
      </c>
      <c r="B74" s="293" t="str">
        <f>'A) Base RI'!B73</f>
        <v>Assens</v>
      </c>
      <c r="C74" s="10">
        <f>'A) Base RI'!V73</f>
        <v>1074</v>
      </c>
      <c r="D74" s="10">
        <f t="shared" si="4"/>
        <v>1000</v>
      </c>
      <c r="E74" s="422">
        <f t="shared" si="4"/>
        <v>74</v>
      </c>
      <c r="F74" s="10">
        <f t="shared" si="4"/>
        <v>0</v>
      </c>
      <c r="G74" s="422">
        <f t="shared" si="4"/>
        <v>0</v>
      </c>
      <c r="H74" s="41">
        <f t="shared" si="4"/>
        <v>0</v>
      </c>
      <c r="I74" s="10">
        <f t="shared" si="4"/>
        <v>0</v>
      </c>
      <c r="J74" s="10">
        <f t="shared" si="5"/>
        <v>0</v>
      </c>
      <c r="K74" s="113">
        <f t="shared" si="6"/>
        <v>151659.05432595572</v>
      </c>
    </row>
    <row r="75" spans="1:11" x14ac:dyDescent="0.25">
      <c r="A75" s="49">
        <f>'A) Base RI'!A74</f>
        <v>5512</v>
      </c>
      <c r="B75" s="293" t="str">
        <f>'A) Base RI'!B74</f>
        <v>Bercher</v>
      </c>
      <c r="C75" s="10">
        <f>'A) Base RI'!V74</f>
        <v>1280</v>
      </c>
      <c r="D75" s="10">
        <f t="shared" si="4"/>
        <v>1000</v>
      </c>
      <c r="E75" s="422">
        <f t="shared" si="4"/>
        <v>280</v>
      </c>
      <c r="F75" s="10">
        <f t="shared" si="4"/>
        <v>0</v>
      </c>
      <c r="G75" s="422">
        <f t="shared" si="4"/>
        <v>0</v>
      </c>
      <c r="H75" s="41">
        <f t="shared" si="4"/>
        <v>0</v>
      </c>
      <c r="I75" s="10">
        <f t="shared" si="4"/>
        <v>0</v>
      </c>
      <c r="J75" s="10">
        <f t="shared" si="5"/>
        <v>0</v>
      </c>
      <c r="K75" s="113">
        <f t="shared" si="6"/>
        <v>224121.73038229375</v>
      </c>
    </row>
    <row r="76" spans="1:11" x14ac:dyDescent="0.25">
      <c r="A76" s="49">
        <f>'A) Base RI'!A75</f>
        <v>5513</v>
      </c>
      <c r="B76" s="293" t="str">
        <f>'A) Base RI'!B75</f>
        <v>Bioley-Orjulaz</v>
      </c>
      <c r="C76" s="10">
        <f>'A) Base RI'!V75</f>
        <v>521</v>
      </c>
      <c r="D76" s="10">
        <f t="shared" si="4"/>
        <v>521</v>
      </c>
      <c r="E76" s="422">
        <f t="shared" si="4"/>
        <v>0</v>
      </c>
      <c r="F76" s="10">
        <f t="shared" si="4"/>
        <v>0</v>
      </c>
      <c r="G76" s="422">
        <f t="shared" si="4"/>
        <v>0</v>
      </c>
      <c r="H76" s="41">
        <f t="shared" si="4"/>
        <v>0</v>
      </c>
      <c r="I76" s="10">
        <f t="shared" si="4"/>
        <v>0</v>
      </c>
      <c r="J76" s="10">
        <f t="shared" si="5"/>
        <v>0</v>
      </c>
      <c r="K76" s="113">
        <f t="shared" si="6"/>
        <v>65452.590543259554</v>
      </c>
    </row>
    <row r="77" spans="1:11" x14ac:dyDescent="0.25">
      <c r="A77" s="49">
        <f>'A) Base RI'!A76</f>
        <v>5514</v>
      </c>
      <c r="B77" s="293" t="str">
        <f>'A) Base RI'!B76</f>
        <v>Bottens</v>
      </c>
      <c r="C77" s="10">
        <f>'A) Base RI'!V76</f>
        <v>1299</v>
      </c>
      <c r="D77" s="10">
        <f t="shared" si="4"/>
        <v>1000</v>
      </c>
      <c r="E77" s="422">
        <f t="shared" si="4"/>
        <v>299</v>
      </c>
      <c r="F77" s="10">
        <f t="shared" si="4"/>
        <v>0</v>
      </c>
      <c r="G77" s="422">
        <f t="shared" si="4"/>
        <v>0</v>
      </c>
      <c r="H77" s="41">
        <f t="shared" si="4"/>
        <v>0</v>
      </c>
      <c r="I77" s="10">
        <f t="shared" si="4"/>
        <v>0</v>
      </c>
      <c r="J77" s="10">
        <f t="shared" si="5"/>
        <v>0</v>
      </c>
      <c r="K77" s="113">
        <f t="shared" si="6"/>
        <v>230805.18108651909</v>
      </c>
    </row>
    <row r="78" spans="1:11" x14ac:dyDescent="0.25">
      <c r="A78" s="49">
        <f>'A) Base RI'!A77</f>
        <v>5515</v>
      </c>
      <c r="B78" s="293" t="str">
        <f>'A) Base RI'!B77</f>
        <v>Bretigny-sur-Morrens</v>
      </c>
      <c r="C78" s="10">
        <f>'A) Base RI'!V77</f>
        <v>861</v>
      </c>
      <c r="D78" s="10">
        <f t="shared" si="4"/>
        <v>861</v>
      </c>
      <c r="E78" s="422">
        <f t="shared" si="4"/>
        <v>0</v>
      </c>
      <c r="F78" s="10">
        <f t="shared" si="4"/>
        <v>0</v>
      </c>
      <c r="G78" s="422">
        <f t="shared" si="4"/>
        <v>0</v>
      </c>
      <c r="H78" s="41">
        <f t="shared" si="4"/>
        <v>0</v>
      </c>
      <c r="I78" s="10">
        <f t="shared" si="4"/>
        <v>0</v>
      </c>
      <c r="J78" s="10">
        <f t="shared" si="5"/>
        <v>0</v>
      </c>
      <c r="K78" s="113">
        <f t="shared" si="6"/>
        <v>108166.37323943661</v>
      </c>
    </row>
    <row r="79" spans="1:11" x14ac:dyDescent="0.25">
      <c r="A79" s="49">
        <f>'A) Base RI'!A78</f>
        <v>5516</v>
      </c>
      <c r="B79" s="293" t="str">
        <f>'A) Base RI'!B78</f>
        <v>Cugy</v>
      </c>
      <c r="C79" s="10">
        <f>'A) Base RI'!V78</f>
        <v>2768</v>
      </c>
      <c r="D79" s="10">
        <f t="shared" si="4"/>
        <v>1000</v>
      </c>
      <c r="E79" s="422">
        <f t="shared" si="4"/>
        <v>1768</v>
      </c>
      <c r="F79" s="10">
        <f t="shared" si="4"/>
        <v>0</v>
      </c>
      <c r="G79" s="422">
        <f t="shared" si="4"/>
        <v>0</v>
      </c>
      <c r="H79" s="41">
        <f t="shared" si="4"/>
        <v>0</v>
      </c>
      <c r="I79" s="10">
        <f t="shared" si="4"/>
        <v>0</v>
      </c>
      <c r="J79" s="10">
        <f t="shared" si="5"/>
        <v>0</v>
      </c>
      <c r="K79" s="113">
        <f t="shared" si="6"/>
        <v>747541.44869215286</v>
      </c>
    </row>
    <row r="80" spans="1:11" x14ac:dyDescent="0.25">
      <c r="A80" s="49">
        <f>'A) Base RI'!A79</f>
        <v>5518</v>
      </c>
      <c r="B80" s="293" t="str">
        <f>'A) Base RI'!B79</f>
        <v>Echallens</v>
      </c>
      <c r="C80" s="10">
        <f>'A) Base RI'!V79</f>
        <v>5725</v>
      </c>
      <c r="D80" s="10">
        <f t="shared" si="4"/>
        <v>1000</v>
      </c>
      <c r="E80" s="422">
        <f t="shared" si="4"/>
        <v>2000</v>
      </c>
      <c r="F80" s="10">
        <f t="shared" si="4"/>
        <v>2000</v>
      </c>
      <c r="G80" s="422">
        <f t="shared" si="4"/>
        <v>725</v>
      </c>
      <c r="H80" s="41">
        <f t="shared" si="4"/>
        <v>0</v>
      </c>
      <c r="I80" s="10">
        <f t="shared" si="4"/>
        <v>0</v>
      </c>
      <c r="J80" s="10">
        <f t="shared" si="5"/>
        <v>0</v>
      </c>
      <c r="K80" s="113">
        <f t="shared" si="6"/>
        <v>2271368.2092555333</v>
      </c>
    </row>
    <row r="81" spans="1:11" x14ac:dyDescent="0.25">
      <c r="A81" s="49">
        <f>'A) Base RI'!A80</f>
        <v>5520</v>
      </c>
      <c r="B81" s="293" t="str">
        <f>'A) Base RI'!B80</f>
        <v>Essertines-sur-Yverdon</v>
      </c>
      <c r="C81" s="10">
        <f>'A) Base RI'!V80</f>
        <v>1030</v>
      </c>
      <c r="D81" s="10">
        <f t="shared" si="4"/>
        <v>1000</v>
      </c>
      <c r="E81" s="422">
        <f t="shared" si="4"/>
        <v>30</v>
      </c>
      <c r="F81" s="10">
        <f t="shared" si="4"/>
        <v>0</v>
      </c>
      <c r="G81" s="422">
        <f t="shared" si="4"/>
        <v>0</v>
      </c>
      <c r="H81" s="41">
        <f t="shared" si="4"/>
        <v>0</v>
      </c>
      <c r="I81" s="10">
        <f t="shared" si="4"/>
        <v>0</v>
      </c>
      <c r="J81" s="10">
        <f t="shared" si="5"/>
        <v>0</v>
      </c>
      <c r="K81" s="113">
        <f t="shared" si="6"/>
        <v>136181.58953722334</v>
      </c>
    </row>
    <row r="82" spans="1:11" x14ac:dyDescent="0.25">
      <c r="A82" s="49">
        <f>'A) Base RI'!A81</f>
        <v>5521</v>
      </c>
      <c r="B82" s="293" t="str">
        <f>'A) Base RI'!B81</f>
        <v>Etagnières</v>
      </c>
      <c r="C82" s="10">
        <f>'A) Base RI'!V81</f>
        <v>1143</v>
      </c>
      <c r="D82" s="10">
        <f t="shared" si="4"/>
        <v>1000</v>
      </c>
      <c r="E82" s="422">
        <f t="shared" si="4"/>
        <v>143</v>
      </c>
      <c r="F82" s="10">
        <f t="shared" si="4"/>
        <v>0</v>
      </c>
      <c r="G82" s="422">
        <f t="shared" si="4"/>
        <v>0</v>
      </c>
      <c r="H82" s="41">
        <f t="shared" si="4"/>
        <v>0</v>
      </c>
      <c r="I82" s="10">
        <f t="shared" si="4"/>
        <v>0</v>
      </c>
      <c r="J82" s="10">
        <f t="shared" si="5"/>
        <v>0</v>
      </c>
      <c r="K82" s="113">
        <f t="shared" si="6"/>
        <v>175930.53319919517</v>
      </c>
    </row>
    <row r="83" spans="1:11" x14ac:dyDescent="0.25">
      <c r="A83" s="49">
        <f>'A) Base RI'!A82</f>
        <v>5522</v>
      </c>
      <c r="B83" s="293" t="str">
        <f>'A) Base RI'!B82</f>
        <v>Fey</v>
      </c>
      <c r="C83" s="10">
        <f>'A) Base RI'!V82</f>
        <v>751</v>
      </c>
      <c r="D83" s="10">
        <f t="shared" si="4"/>
        <v>751</v>
      </c>
      <c r="E83" s="422">
        <f t="shared" si="4"/>
        <v>0</v>
      </c>
      <c r="F83" s="10">
        <f t="shared" si="4"/>
        <v>0</v>
      </c>
      <c r="G83" s="422">
        <f t="shared" si="4"/>
        <v>0</v>
      </c>
      <c r="H83" s="41">
        <f t="shared" si="4"/>
        <v>0</v>
      </c>
      <c r="I83" s="10">
        <f t="shared" si="4"/>
        <v>0</v>
      </c>
      <c r="J83" s="10">
        <f t="shared" si="5"/>
        <v>0</v>
      </c>
      <c r="K83" s="113">
        <f t="shared" si="6"/>
        <v>94347.20824949698</v>
      </c>
    </row>
    <row r="84" spans="1:11" x14ac:dyDescent="0.25">
      <c r="A84" s="49">
        <f>'A) Base RI'!A83</f>
        <v>5523</v>
      </c>
      <c r="B84" s="293" t="str">
        <f>'A) Base RI'!B83</f>
        <v>Froideville</v>
      </c>
      <c r="C84" s="10">
        <f>'A) Base RI'!V83</f>
        <v>2638</v>
      </c>
      <c r="D84" s="10">
        <f t="shared" si="4"/>
        <v>1000</v>
      </c>
      <c r="E84" s="422">
        <f t="shared" si="4"/>
        <v>1638</v>
      </c>
      <c r="F84" s="10">
        <f t="shared" si="4"/>
        <v>0</v>
      </c>
      <c r="G84" s="422">
        <f t="shared" si="4"/>
        <v>0</v>
      </c>
      <c r="H84" s="41">
        <f t="shared" si="4"/>
        <v>0</v>
      </c>
      <c r="I84" s="10">
        <f t="shared" si="4"/>
        <v>0</v>
      </c>
      <c r="J84" s="10">
        <f t="shared" si="5"/>
        <v>0</v>
      </c>
      <c r="K84" s="113">
        <f t="shared" si="6"/>
        <v>701812.57545271621</v>
      </c>
    </row>
    <row r="85" spans="1:11" x14ac:dyDescent="0.25">
      <c r="A85" s="49">
        <f>'A) Base RI'!A84</f>
        <v>5527</v>
      </c>
      <c r="B85" s="293" t="str">
        <f>'A) Base RI'!B84</f>
        <v>Morrens</v>
      </c>
      <c r="C85" s="10">
        <f>'A) Base RI'!V84</f>
        <v>1126</v>
      </c>
      <c r="D85" s="10">
        <f t="shared" si="4"/>
        <v>1000</v>
      </c>
      <c r="E85" s="422">
        <f t="shared" si="4"/>
        <v>126</v>
      </c>
      <c r="F85" s="10">
        <f t="shared" si="4"/>
        <v>0</v>
      </c>
      <c r="G85" s="422">
        <f t="shared" si="4"/>
        <v>0</v>
      </c>
      <c r="H85" s="41">
        <f t="shared" si="4"/>
        <v>0</v>
      </c>
      <c r="I85" s="10">
        <f t="shared" si="4"/>
        <v>0</v>
      </c>
      <c r="J85" s="10">
        <f t="shared" si="5"/>
        <v>0</v>
      </c>
      <c r="K85" s="113">
        <f t="shared" si="6"/>
        <v>169950.60362173038</v>
      </c>
    </row>
    <row r="86" spans="1:11" x14ac:dyDescent="0.25">
      <c r="A86" s="49">
        <f>'A) Base RI'!A85</f>
        <v>5529</v>
      </c>
      <c r="B86" s="293" t="str">
        <f>'A) Base RI'!B85</f>
        <v>Oulens-sous-Echallens</v>
      </c>
      <c r="C86" s="10">
        <f>'A) Base RI'!V85</f>
        <v>615</v>
      </c>
      <c r="D86" s="10">
        <f t="shared" si="4"/>
        <v>615</v>
      </c>
      <c r="E86" s="422">
        <f t="shared" si="4"/>
        <v>0</v>
      </c>
      <c r="F86" s="10">
        <f t="shared" si="4"/>
        <v>0</v>
      </c>
      <c r="G86" s="422">
        <f t="shared" si="4"/>
        <v>0</v>
      </c>
      <c r="H86" s="41">
        <f t="shared" si="4"/>
        <v>0</v>
      </c>
      <c r="I86" s="10">
        <f t="shared" si="4"/>
        <v>0</v>
      </c>
      <c r="J86" s="10">
        <f t="shared" si="5"/>
        <v>0</v>
      </c>
      <c r="K86" s="113">
        <f t="shared" si="6"/>
        <v>77261.695171026149</v>
      </c>
    </row>
    <row r="87" spans="1:11" x14ac:dyDescent="0.25">
      <c r="A87" s="49">
        <f>'A) Base RI'!A86</f>
        <v>5530</v>
      </c>
      <c r="B87" s="293" t="str">
        <f>'A) Base RI'!B86</f>
        <v>Pailly</v>
      </c>
      <c r="C87" s="10">
        <f>'A) Base RI'!V86</f>
        <v>563</v>
      </c>
      <c r="D87" s="10">
        <f t="shared" si="4"/>
        <v>563</v>
      </c>
      <c r="E87" s="422">
        <f t="shared" si="4"/>
        <v>0</v>
      </c>
      <c r="F87" s="10">
        <f t="shared" si="4"/>
        <v>0</v>
      </c>
      <c r="G87" s="422">
        <f t="shared" si="4"/>
        <v>0</v>
      </c>
      <c r="H87" s="41">
        <f t="shared" si="4"/>
        <v>0</v>
      </c>
      <c r="I87" s="10">
        <f t="shared" si="4"/>
        <v>0</v>
      </c>
      <c r="J87" s="10">
        <f t="shared" si="5"/>
        <v>0</v>
      </c>
      <c r="K87" s="113">
        <f t="shared" si="6"/>
        <v>70728.998993963774</v>
      </c>
    </row>
    <row r="88" spans="1:11" x14ac:dyDescent="0.25">
      <c r="A88" s="49">
        <f>'A) Base RI'!A87</f>
        <v>5531</v>
      </c>
      <c r="B88" s="293" t="str">
        <f>'A) Base RI'!B87</f>
        <v>Penthéréaz</v>
      </c>
      <c r="C88" s="10">
        <f>'A) Base RI'!V87</f>
        <v>421</v>
      </c>
      <c r="D88" s="10">
        <f t="shared" si="4"/>
        <v>421</v>
      </c>
      <c r="E88" s="422">
        <f t="shared" si="4"/>
        <v>0</v>
      </c>
      <c r="F88" s="10">
        <f t="shared" si="4"/>
        <v>0</v>
      </c>
      <c r="G88" s="422">
        <f t="shared" si="4"/>
        <v>0</v>
      </c>
      <c r="H88" s="41">
        <f t="shared" si="4"/>
        <v>0</v>
      </c>
      <c r="I88" s="10">
        <f t="shared" si="4"/>
        <v>0</v>
      </c>
      <c r="J88" s="10">
        <f t="shared" si="5"/>
        <v>0</v>
      </c>
      <c r="K88" s="113">
        <f t="shared" si="6"/>
        <v>52889.713279678064</v>
      </c>
    </row>
    <row r="89" spans="1:11" x14ac:dyDescent="0.25">
      <c r="A89" s="49">
        <f>'A) Base RI'!A88</f>
        <v>5533</v>
      </c>
      <c r="B89" s="293" t="str">
        <f>'A) Base RI'!B88</f>
        <v>Poliez-Pittet</v>
      </c>
      <c r="C89" s="10">
        <f>'A) Base RI'!V88</f>
        <v>829</v>
      </c>
      <c r="D89" s="10">
        <f t="shared" si="4"/>
        <v>829</v>
      </c>
      <c r="E89" s="422">
        <f t="shared" si="4"/>
        <v>0</v>
      </c>
      <c r="F89" s="10">
        <f t="shared" si="4"/>
        <v>0</v>
      </c>
      <c r="G89" s="422">
        <f t="shared" si="4"/>
        <v>0</v>
      </c>
      <c r="H89" s="41">
        <f t="shared" si="4"/>
        <v>0</v>
      </c>
      <c r="I89" s="10">
        <f t="shared" si="4"/>
        <v>0</v>
      </c>
      <c r="J89" s="10">
        <f t="shared" si="5"/>
        <v>0</v>
      </c>
      <c r="K89" s="113">
        <f t="shared" si="6"/>
        <v>104146.25251509054</v>
      </c>
    </row>
    <row r="90" spans="1:11" x14ac:dyDescent="0.25">
      <c r="A90" s="49">
        <f>'A) Base RI'!A89</f>
        <v>5534</v>
      </c>
      <c r="B90" s="293" t="str">
        <f>'A) Base RI'!B89</f>
        <v>Rueyres</v>
      </c>
      <c r="C90" s="10">
        <f>'A) Base RI'!V89</f>
        <v>265</v>
      </c>
      <c r="D90" s="10">
        <f t="shared" si="4"/>
        <v>265</v>
      </c>
      <c r="E90" s="422">
        <f t="shared" si="4"/>
        <v>0</v>
      </c>
      <c r="F90" s="10">
        <f t="shared" si="4"/>
        <v>0</v>
      </c>
      <c r="G90" s="422">
        <f t="shared" si="4"/>
        <v>0</v>
      </c>
      <c r="H90" s="41">
        <f t="shared" si="4"/>
        <v>0</v>
      </c>
      <c r="I90" s="10">
        <f t="shared" si="4"/>
        <v>0</v>
      </c>
      <c r="J90" s="10">
        <f t="shared" si="5"/>
        <v>0</v>
      </c>
      <c r="K90" s="113">
        <f t="shared" si="6"/>
        <v>33291.624748490947</v>
      </c>
    </row>
    <row r="91" spans="1:11" x14ac:dyDescent="0.25">
      <c r="A91" s="49">
        <f>'A) Base RI'!A90</f>
        <v>5535</v>
      </c>
      <c r="B91" s="293" t="str">
        <f>'A) Base RI'!B90</f>
        <v>Saint-Barthélemy</v>
      </c>
      <c r="C91" s="10">
        <f>'A) Base RI'!V90</f>
        <v>791</v>
      </c>
      <c r="D91" s="10">
        <f t="shared" si="4"/>
        <v>791</v>
      </c>
      <c r="E91" s="422">
        <f t="shared" si="4"/>
        <v>0</v>
      </c>
      <c r="F91" s="10">
        <f t="shared" si="4"/>
        <v>0</v>
      </c>
      <c r="G91" s="422">
        <f t="shared" si="4"/>
        <v>0</v>
      </c>
      <c r="H91" s="41">
        <f t="shared" si="4"/>
        <v>0</v>
      </c>
      <c r="I91" s="10">
        <f t="shared" si="4"/>
        <v>0</v>
      </c>
      <c r="J91" s="10">
        <f t="shared" si="5"/>
        <v>0</v>
      </c>
      <c r="K91" s="113">
        <f t="shared" si="6"/>
        <v>99372.359154929567</v>
      </c>
    </row>
    <row r="92" spans="1:11" x14ac:dyDescent="0.25">
      <c r="A92" s="49">
        <f>'A) Base RI'!A91</f>
        <v>5537</v>
      </c>
      <c r="B92" s="293" t="str">
        <f>'A) Base RI'!B91</f>
        <v>Villars-le-Terroir</v>
      </c>
      <c r="C92" s="10">
        <f>'A) Base RI'!V91</f>
        <v>1228</v>
      </c>
      <c r="D92" s="10">
        <f t="shared" si="4"/>
        <v>1000</v>
      </c>
      <c r="E92" s="422">
        <f t="shared" si="4"/>
        <v>228</v>
      </c>
      <c r="F92" s="10">
        <f t="shared" si="4"/>
        <v>0</v>
      </c>
      <c r="G92" s="422">
        <f t="shared" si="4"/>
        <v>0</v>
      </c>
      <c r="H92" s="41">
        <f t="shared" si="4"/>
        <v>0</v>
      </c>
      <c r="I92" s="10">
        <f t="shared" si="4"/>
        <v>0</v>
      </c>
      <c r="J92" s="10">
        <f t="shared" si="5"/>
        <v>0</v>
      </c>
      <c r="K92" s="113">
        <f t="shared" si="6"/>
        <v>205830.18108651909</v>
      </c>
    </row>
    <row r="93" spans="1:11" x14ac:dyDescent="0.25">
      <c r="A93" s="49">
        <f>'A) Base RI'!A92</f>
        <v>5539</v>
      </c>
      <c r="B93" s="293" t="str">
        <f>'A) Base RI'!B92</f>
        <v>Vuarrens</v>
      </c>
      <c r="C93" s="10">
        <f>'A) Base RI'!V92</f>
        <v>1054</v>
      </c>
      <c r="D93" s="10">
        <f t="shared" si="4"/>
        <v>1000</v>
      </c>
      <c r="E93" s="422">
        <f t="shared" si="4"/>
        <v>54</v>
      </c>
      <c r="F93" s="10">
        <f t="shared" si="4"/>
        <v>0</v>
      </c>
      <c r="G93" s="422">
        <f t="shared" si="4"/>
        <v>0</v>
      </c>
      <c r="H93" s="41">
        <f t="shared" si="4"/>
        <v>0</v>
      </c>
      <c r="I93" s="10">
        <f t="shared" si="4"/>
        <v>0</v>
      </c>
      <c r="J93" s="10">
        <f t="shared" si="5"/>
        <v>0</v>
      </c>
      <c r="K93" s="113">
        <f t="shared" si="6"/>
        <v>144623.84305835009</v>
      </c>
    </row>
    <row r="94" spans="1:11" x14ac:dyDescent="0.25">
      <c r="A94" s="49">
        <f>'A) Base RI'!A93</f>
        <v>5540</v>
      </c>
      <c r="B94" s="293" t="str">
        <f>'A) Base RI'!B93</f>
        <v>Montilliez</v>
      </c>
      <c r="C94" s="10">
        <f>'A) Base RI'!V93</f>
        <v>1819</v>
      </c>
      <c r="D94" s="10">
        <f t="shared" si="4"/>
        <v>1000</v>
      </c>
      <c r="E94" s="422">
        <f t="shared" si="4"/>
        <v>819</v>
      </c>
      <c r="F94" s="10">
        <f t="shared" si="4"/>
        <v>0</v>
      </c>
      <c r="G94" s="422">
        <f t="shared" si="4"/>
        <v>0</v>
      </c>
      <c r="H94" s="41">
        <f t="shared" si="4"/>
        <v>0</v>
      </c>
      <c r="I94" s="10">
        <f t="shared" si="4"/>
        <v>0</v>
      </c>
      <c r="J94" s="10">
        <f t="shared" si="5"/>
        <v>0</v>
      </c>
      <c r="K94" s="113">
        <f t="shared" si="6"/>
        <v>413720.67404426553</v>
      </c>
    </row>
    <row r="95" spans="1:11" x14ac:dyDescent="0.25">
      <c r="A95" s="49">
        <f>'A) Base RI'!A94</f>
        <v>5541</v>
      </c>
      <c r="B95" s="293" t="str">
        <f>'A) Base RI'!B94</f>
        <v>Goumoëns</v>
      </c>
      <c r="C95" s="10">
        <f>'A) Base RI'!V94</f>
        <v>1140</v>
      </c>
      <c r="D95" s="10">
        <f t="shared" si="4"/>
        <v>1000</v>
      </c>
      <c r="E95" s="422">
        <f t="shared" si="4"/>
        <v>140</v>
      </c>
      <c r="F95" s="10">
        <f t="shared" si="4"/>
        <v>0</v>
      </c>
      <c r="G95" s="422">
        <f t="shared" si="4"/>
        <v>0</v>
      </c>
      <c r="H95" s="41">
        <f t="shared" si="4"/>
        <v>0</v>
      </c>
      <c r="I95" s="10">
        <f t="shared" si="4"/>
        <v>0</v>
      </c>
      <c r="J95" s="10">
        <f t="shared" si="5"/>
        <v>0</v>
      </c>
      <c r="K95" s="113">
        <f t="shared" si="6"/>
        <v>174875.2515090543</v>
      </c>
    </row>
    <row r="96" spans="1:11" x14ac:dyDescent="0.25">
      <c r="A96" s="49">
        <f>'A) Base RI'!A95</f>
        <v>5551</v>
      </c>
      <c r="B96" s="293" t="str">
        <f>'A) Base RI'!B95</f>
        <v>Bonvillars</v>
      </c>
      <c r="C96" s="10">
        <f>'A) Base RI'!V95</f>
        <v>490</v>
      </c>
      <c r="D96" s="10">
        <f t="shared" si="4"/>
        <v>490</v>
      </c>
      <c r="E96" s="422">
        <f t="shared" si="4"/>
        <v>0</v>
      </c>
      <c r="F96" s="10">
        <f t="shared" si="4"/>
        <v>0</v>
      </c>
      <c r="G96" s="422">
        <f t="shared" si="4"/>
        <v>0</v>
      </c>
      <c r="H96" s="41">
        <f t="shared" si="4"/>
        <v>0</v>
      </c>
      <c r="I96" s="10">
        <f t="shared" si="4"/>
        <v>0</v>
      </c>
      <c r="J96" s="10">
        <f t="shared" si="5"/>
        <v>0</v>
      </c>
      <c r="K96" s="113">
        <f t="shared" si="6"/>
        <v>61558.098591549293</v>
      </c>
    </row>
    <row r="97" spans="1:11" x14ac:dyDescent="0.25">
      <c r="A97" s="49">
        <f>'A) Base RI'!A96</f>
        <v>5552</v>
      </c>
      <c r="B97" s="293" t="str">
        <f>'A) Base RI'!B96</f>
        <v>Bullet</v>
      </c>
      <c r="C97" s="10">
        <f>'A) Base RI'!V96</f>
        <v>657</v>
      </c>
      <c r="D97" s="10">
        <f t="shared" si="4"/>
        <v>657</v>
      </c>
      <c r="E97" s="422">
        <f t="shared" si="4"/>
        <v>0</v>
      </c>
      <c r="F97" s="10">
        <f t="shared" si="4"/>
        <v>0</v>
      </c>
      <c r="G97" s="422">
        <f t="shared" si="4"/>
        <v>0</v>
      </c>
      <c r="H97" s="41">
        <f t="shared" si="4"/>
        <v>0</v>
      </c>
      <c r="I97" s="10">
        <f t="shared" si="4"/>
        <v>0</v>
      </c>
      <c r="J97" s="10">
        <f t="shared" si="5"/>
        <v>0</v>
      </c>
      <c r="K97" s="113">
        <f t="shared" si="6"/>
        <v>82538.103621730377</v>
      </c>
    </row>
    <row r="98" spans="1:11" x14ac:dyDescent="0.25">
      <c r="A98" s="49">
        <f>'A) Base RI'!A97</f>
        <v>5553</v>
      </c>
      <c r="B98" s="293" t="str">
        <f>'A) Base RI'!B97</f>
        <v>Champagne</v>
      </c>
      <c r="C98" s="10">
        <f>'A) Base RI'!V97</f>
        <v>1059</v>
      </c>
      <c r="D98" s="10">
        <f t="shared" si="4"/>
        <v>1000</v>
      </c>
      <c r="E98" s="422">
        <f t="shared" si="4"/>
        <v>59</v>
      </c>
      <c r="F98" s="10">
        <f t="shared" si="4"/>
        <v>0</v>
      </c>
      <c r="G98" s="422">
        <f t="shared" si="4"/>
        <v>0</v>
      </c>
      <c r="H98" s="41">
        <f t="shared" si="4"/>
        <v>0</v>
      </c>
      <c r="I98" s="10">
        <f t="shared" si="4"/>
        <v>0</v>
      </c>
      <c r="J98" s="10">
        <f t="shared" si="5"/>
        <v>0</v>
      </c>
      <c r="K98" s="113">
        <f t="shared" si="6"/>
        <v>146382.6458752515</v>
      </c>
    </row>
    <row r="99" spans="1:11" x14ac:dyDescent="0.25">
      <c r="A99" s="49">
        <f>'A) Base RI'!A98</f>
        <v>5554</v>
      </c>
      <c r="B99" s="293" t="str">
        <f>'A) Base RI'!B98</f>
        <v>Concise</v>
      </c>
      <c r="C99" s="10">
        <f>'A) Base RI'!V98</f>
        <v>1025</v>
      </c>
      <c r="D99" s="10">
        <f t="shared" si="4"/>
        <v>1000</v>
      </c>
      <c r="E99" s="422">
        <f t="shared" si="4"/>
        <v>25</v>
      </c>
      <c r="F99" s="10">
        <f t="shared" si="4"/>
        <v>0</v>
      </c>
      <c r="G99" s="422">
        <f t="shared" si="4"/>
        <v>0</v>
      </c>
      <c r="H99" s="41">
        <f t="shared" si="4"/>
        <v>0</v>
      </c>
      <c r="I99" s="10">
        <f t="shared" si="4"/>
        <v>0</v>
      </c>
      <c r="J99" s="10">
        <f t="shared" si="5"/>
        <v>0</v>
      </c>
      <c r="K99" s="113">
        <f t="shared" si="6"/>
        <v>134422.78672032192</v>
      </c>
    </row>
    <row r="100" spans="1:11" x14ac:dyDescent="0.25">
      <c r="A100" s="49">
        <f>'A) Base RI'!A99</f>
        <v>5555</v>
      </c>
      <c r="B100" s="293" t="str">
        <f>'A) Base RI'!B99</f>
        <v>Corcelles-près-Concise</v>
      </c>
      <c r="C100" s="10">
        <f>'A) Base RI'!V99</f>
        <v>401</v>
      </c>
      <c r="D100" s="10">
        <f t="shared" si="4"/>
        <v>401</v>
      </c>
      <c r="E100" s="422">
        <f t="shared" si="4"/>
        <v>0</v>
      </c>
      <c r="F100" s="10">
        <f t="shared" si="4"/>
        <v>0</v>
      </c>
      <c r="G100" s="422">
        <f t="shared" si="4"/>
        <v>0</v>
      </c>
      <c r="H100" s="41">
        <f t="shared" si="4"/>
        <v>0</v>
      </c>
      <c r="I100" s="10">
        <f t="shared" si="4"/>
        <v>0</v>
      </c>
      <c r="J100" s="10">
        <f t="shared" si="5"/>
        <v>0</v>
      </c>
      <c r="K100" s="113">
        <f t="shared" si="6"/>
        <v>50377.137826961771</v>
      </c>
    </row>
    <row r="101" spans="1:11" x14ac:dyDescent="0.25">
      <c r="A101" s="49">
        <f>'A) Base RI'!A100</f>
        <v>5556</v>
      </c>
      <c r="B101" s="293" t="str">
        <f>'A) Base RI'!B100</f>
        <v>Fiez</v>
      </c>
      <c r="C101" s="10">
        <f>'A) Base RI'!V100</f>
        <v>445</v>
      </c>
      <c r="D101" s="10">
        <f t="shared" si="4"/>
        <v>445</v>
      </c>
      <c r="E101" s="422">
        <f t="shared" si="4"/>
        <v>0</v>
      </c>
      <c r="F101" s="10">
        <f t="shared" si="4"/>
        <v>0</v>
      </c>
      <c r="G101" s="422">
        <f t="shared" si="4"/>
        <v>0</v>
      </c>
      <c r="H101" s="41">
        <f t="shared" si="4"/>
        <v>0</v>
      </c>
      <c r="I101" s="10">
        <f t="shared" si="4"/>
        <v>0</v>
      </c>
      <c r="J101" s="10">
        <f t="shared" si="5"/>
        <v>0</v>
      </c>
      <c r="K101" s="113">
        <f t="shared" si="6"/>
        <v>55904.803822937625</v>
      </c>
    </row>
    <row r="102" spans="1:11" x14ac:dyDescent="0.25">
      <c r="A102" s="49">
        <f>'A) Base RI'!A101</f>
        <v>5557</v>
      </c>
      <c r="B102" s="293" t="str">
        <f>'A) Base RI'!B101</f>
        <v>Fontaines-sur-Grandson</v>
      </c>
      <c r="C102" s="10">
        <f>'A) Base RI'!V101</f>
        <v>215</v>
      </c>
      <c r="D102" s="10">
        <f t="shared" si="4"/>
        <v>215</v>
      </c>
      <c r="E102" s="422">
        <f t="shared" si="4"/>
        <v>0</v>
      </c>
      <c r="F102" s="10">
        <f t="shared" si="4"/>
        <v>0</v>
      </c>
      <c r="G102" s="422">
        <f t="shared" si="4"/>
        <v>0</v>
      </c>
      <c r="H102" s="41">
        <f t="shared" si="4"/>
        <v>0</v>
      </c>
      <c r="I102" s="10">
        <f t="shared" si="4"/>
        <v>0</v>
      </c>
      <c r="J102" s="10">
        <f t="shared" si="5"/>
        <v>0</v>
      </c>
      <c r="K102" s="113">
        <f t="shared" si="6"/>
        <v>27010.186116700199</v>
      </c>
    </row>
    <row r="103" spans="1:11" x14ac:dyDescent="0.25">
      <c r="A103" s="49">
        <f>'A) Base RI'!A102</f>
        <v>5559</v>
      </c>
      <c r="B103" s="293" t="str">
        <f>'A) Base RI'!B102</f>
        <v>Giez</v>
      </c>
      <c r="C103" s="10">
        <f>'A) Base RI'!V102</f>
        <v>414</v>
      </c>
      <c r="D103" s="10">
        <f t="shared" si="4"/>
        <v>414</v>
      </c>
      <c r="E103" s="422">
        <f t="shared" si="4"/>
        <v>0</v>
      </c>
      <c r="F103" s="10">
        <f t="shared" si="4"/>
        <v>0</v>
      </c>
      <c r="G103" s="422">
        <f t="shared" si="4"/>
        <v>0</v>
      </c>
      <c r="H103" s="41">
        <f t="shared" si="4"/>
        <v>0</v>
      </c>
      <c r="I103" s="10">
        <f t="shared" si="4"/>
        <v>0</v>
      </c>
      <c r="J103" s="10">
        <f t="shared" si="5"/>
        <v>0</v>
      </c>
      <c r="K103" s="113">
        <f t="shared" si="6"/>
        <v>52010.311871227364</v>
      </c>
    </row>
    <row r="104" spans="1:11" x14ac:dyDescent="0.25">
      <c r="A104" s="49">
        <f>'A) Base RI'!A103</f>
        <v>5560</v>
      </c>
      <c r="B104" s="293" t="str">
        <f>'A) Base RI'!B103</f>
        <v>Grandevent</v>
      </c>
      <c r="C104" s="10">
        <f>'A) Base RI'!V103</f>
        <v>222</v>
      </c>
      <c r="D104" s="10">
        <f t="shared" si="4"/>
        <v>222</v>
      </c>
      <c r="E104" s="422">
        <f t="shared" si="4"/>
        <v>0</v>
      </c>
      <c r="F104" s="10">
        <f t="shared" si="4"/>
        <v>0</v>
      </c>
      <c r="G104" s="422">
        <f t="shared" si="4"/>
        <v>0</v>
      </c>
      <c r="H104" s="41">
        <f t="shared" si="4"/>
        <v>0</v>
      </c>
      <c r="I104" s="10">
        <f t="shared" si="4"/>
        <v>0</v>
      </c>
      <c r="J104" s="10">
        <f t="shared" si="5"/>
        <v>0</v>
      </c>
      <c r="K104" s="113">
        <f t="shared" si="6"/>
        <v>27889.587525150902</v>
      </c>
    </row>
    <row r="105" spans="1:11" x14ac:dyDescent="0.25">
      <c r="A105" s="49">
        <f>'A) Base RI'!A104</f>
        <v>5561</v>
      </c>
      <c r="B105" s="293" t="str">
        <f>'A) Base RI'!B104</f>
        <v>Grandson</v>
      </c>
      <c r="C105" s="10">
        <f>'A) Base RI'!V104</f>
        <v>3340</v>
      </c>
      <c r="D105" s="10">
        <f t="shared" si="4"/>
        <v>1000</v>
      </c>
      <c r="E105" s="422">
        <f t="shared" si="4"/>
        <v>2000</v>
      </c>
      <c r="F105" s="10">
        <f t="shared" si="4"/>
        <v>340</v>
      </c>
      <c r="G105" s="422">
        <f t="shared" ref="E105:I156" si="7">IF($C105&gt;G$4,IF($C105&lt;G$5,$C105-G$4,G$5-G$4),0)</f>
        <v>0</v>
      </c>
      <c r="H105" s="41">
        <f t="shared" si="7"/>
        <v>0</v>
      </c>
      <c r="I105" s="10">
        <f t="shared" si="7"/>
        <v>0</v>
      </c>
      <c r="J105" s="10">
        <f t="shared" si="5"/>
        <v>0</v>
      </c>
      <c r="K105" s="113">
        <f t="shared" si="6"/>
        <v>1000005.0301810864</v>
      </c>
    </row>
    <row r="106" spans="1:11" x14ac:dyDescent="0.25">
      <c r="A106" s="49">
        <f>'A) Base RI'!A105</f>
        <v>5562</v>
      </c>
      <c r="B106" s="293" t="str">
        <f>'A) Base RI'!B105</f>
        <v>Mauborget</v>
      </c>
      <c r="C106" s="10">
        <f>'A) Base RI'!V105</f>
        <v>120</v>
      </c>
      <c r="D106" s="10">
        <f t="shared" ref="D106:D169" si="8">IF($C106&gt;D$4,IF($C106&lt;D$5,$C106-D$4,D$5-D$4),0)</f>
        <v>120</v>
      </c>
      <c r="E106" s="422">
        <f t="shared" si="7"/>
        <v>0</v>
      </c>
      <c r="F106" s="10">
        <f t="shared" si="7"/>
        <v>0</v>
      </c>
      <c r="G106" s="422">
        <f t="shared" si="7"/>
        <v>0</v>
      </c>
      <c r="H106" s="41">
        <f t="shared" si="7"/>
        <v>0</v>
      </c>
      <c r="I106" s="10">
        <f t="shared" si="7"/>
        <v>0</v>
      </c>
      <c r="J106" s="10">
        <f t="shared" si="5"/>
        <v>0</v>
      </c>
      <c r="K106" s="113">
        <f t="shared" si="6"/>
        <v>15075.452716297787</v>
      </c>
    </row>
    <row r="107" spans="1:11" x14ac:dyDescent="0.25">
      <c r="A107" s="49">
        <f>'A) Base RI'!A106</f>
        <v>5563</v>
      </c>
      <c r="B107" s="293" t="str">
        <f>'A) Base RI'!B106</f>
        <v>Mutrux</v>
      </c>
      <c r="C107" s="10">
        <f>'A) Base RI'!V106</f>
        <v>153</v>
      </c>
      <c r="D107" s="10">
        <f t="shared" si="8"/>
        <v>153</v>
      </c>
      <c r="E107" s="422">
        <f t="shared" si="7"/>
        <v>0</v>
      </c>
      <c r="F107" s="10">
        <f t="shared" si="7"/>
        <v>0</v>
      </c>
      <c r="G107" s="422">
        <f t="shared" si="7"/>
        <v>0</v>
      </c>
      <c r="H107" s="41">
        <f t="shared" si="7"/>
        <v>0</v>
      </c>
      <c r="I107" s="10">
        <f t="shared" si="7"/>
        <v>0</v>
      </c>
      <c r="J107" s="10">
        <f t="shared" si="5"/>
        <v>0</v>
      </c>
      <c r="K107" s="113">
        <f t="shared" si="6"/>
        <v>19221.202213279677</v>
      </c>
    </row>
    <row r="108" spans="1:11" x14ac:dyDescent="0.25">
      <c r="A108" s="49">
        <f>'A) Base RI'!A107</f>
        <v>5564</v>
      </c>
      <c r="B108" s="293" t="str">
        <f>'A) Base RI'!B107</f>
        <v>Novalles</v>
      </c>
      <c r="C108" s="10">
        <f>'A) Base RI'!V107</f>
        <v>100</v>
      </c>
      <c r="D108" s="10">
        <f t="shared" si="8"/>
        <v>100</v>
      </c>
      <c r="E108" s="422">
        <f t="shared" si="7"/>
        <v>0</v>
      </c>
      <c r="F108" s="10">
        <f t="shared" si="7"/>
        <v>0</v>
      </c>
      <c r="G108" s="422">
        <f t="shared" si="7"/>
        <v>0</v>
      </c>
      <c r="H108" s="41">
        <f t="shared" si="7"/>
        <v>0</v>
      </c>
      <c r="I108" s="10">
        <f t="shared" si="7"/>
        <v>0</v>
      </c>
      <c r="J108" s="10">
        <f t="shared" si="5"/>
        <v>0</v>
      </c>
      <c r="K108" s="113">
        <f t="shared" si="6"/>
        <v>12562.877263581488</v>
      </c>
    </row>
    <row r="109" spans="1:11" x14ac:dyDescent="0.25">
      <c r="A109" s="49">
        <f>'A) Base RI'!A108</f>
        <v>5565</v>
      </c>
      <c r="B109" s="293" t="str">
        <f>'A) Base RI'!B108</f>
        <v>Onnens</v>
      </c>
      <c r="C109" s="10">
        <f>'A) Base RI'!V108</f>
        <v>497</v>
      </c>
      <c r="D109" s="10">
        <f t="shared" si="8"/>
        <v>497</v>
      </c>
      <c r="E109" s="422">
        <f t="shared" si="7"/>
        <v>0</v>
      </c>
      <c r="F109" s="10">
        <f t="shared" si="7"/>
        <v>0</v>
      </c>
      <c r="G109" s="422">
        <f t="shared" si="7"/>
        <v>0</v>
      </c>
      <c r="H109" s="41">
        <f t="shared" si="7"/>
        <v>0</v>
      </c>
      <c r="I109" s="10">
        <f t="shared" si="7"/>
        <v>0</v>
      </c>
      <c r="J109" s="10">
        <f t="shared" si="5"/>
        <v>0</v>
      </c>
      <c r="K109" s="113">
        <f t="shared" si="6"/>
        <v>62437.5</v>
      </c>
    </row>
    <row r="110" spans="1:11" x14ac:dyDescent="0.25">
      <c r="A110" s="49">
        <f>'A) Base RI'!A109</f>
        <v>5566</v>
      </c>
      <c r="B110" s="293" t="str">
        <f>'A) Base RI'!B109</f>
        <v>Provence</v>
      </c>
      <c r="C110" s="10">
        <f>'A) Base RI'!V109</f>
        <v>379</v>
      </c>
      <c r="D110" s="10">
        <f t="shared" si="8"/>
        <v>379</v>
      </c>
      <c r="E110" s="422">
        <f t="shared" si="7"/>
        <v>0</v>
      </c>
      <c r="F110" s="10">
        <f t="shared" si="7"/>
        <v>0</v>
      </c>
      <c r="G110" s="422">
        <f t="shared" si="7"/>
        <v>0</v>
      </c>
      <c r="H110" s="41">
        <f t="shared" si="7"/>
        <v>0</v>
      </c>
      <c r="I110" s="10">
        <f t="shared" si="7"/>
        <v>0</v>
      </c>
      <c r="J110" s="10">
        <f t="shared" si="5"/>
        <v>0</v>
      </c>
      <c r="K110" s="113">
        <f t="shared" si="6"/>
        <v>47613.304828973844</v>
      </c>
    </row>
    <row r="111" spans="1:11" x14ac:dyDescent="0.25">
      <c r="A111" s="49">
        <f>'A) Base RI'!A110</f>
        <v>5568</v>
      </c>
      <c r="B111" s="293" t="str">
        <f>'A) Base RI'!B110</f>
        <v>Sainte-Croix</v>
      </c>
      <c r="C111" s="10">
        <f>'A) Base RI'!V110</f>
        <v>4888</v>
      </c>
      <c r="D111" s="10">
        <f t="shared" si="8"/>
        <v>1000</v>
      </c>
      <c r="E111" s="422">
        <f t="shared" si="7"/>
        <v>2000</v>
      </c>
      <c r="F111" s="10">
        <f t="shared" si="7"/>
        <v>1888</v>
      </c>
      <c r="G111" s="422">
        <f t="shared" si="7"/>
        <v>0</v>
      </c>
      <c r="H111" s="41">
        <f t="shared" si="7"/>
        <v>0</v>
      </c>
      <c r="I111" s="10">
        <f t="shared" si="7"/>
        <v>0</v>
      </c>
      <c r="J111" s="10">
        <f t="shared" si="5"/>
        <v>0</v>
      </c>
      <c r="K111" s="113">
        <f t="shared" si="6"/>
        <v>1777898.3903420521</v>
      </c>
    </row>
    <row r="112" spans="1:11" x14ac:dyDescent="0.25">
      <c r="A112" s="49">
        <f>'A) Base RI'!A111</f>
        <v>5571</v>
      </c>
      <c r="B112" s="293" t="str">
        <f>'A) Base RI'!B111</f>
        <v>Tévenon</v>
      </c>
      <c r="C112" s="10">
        <f>'A) Base RI'!V111</f>
        <v>896</v>
      </c>
      <c r="D112" s="10">
        <f t="shared" si="8"/>
        <v>896</v>
      </c>
      <c r="E112" s="422">
        <f t="shared" si="7"/>
        <v>0</v>
      </c>
      <c r="F112" s="10">
        <f t="shared" si="7"/>
        <v>0</v>
      </c>
      <c r="G112" s="422">
        <f t="shared" si="7"/>
        <v>0</v>
      </c>
      <c r="H112" s="41">
        <f t="shared" si="7"/>
        <v>0</v>
      </c>
      <c r="I112" s="10">
        <f t="shared" si="7"/>
        <v>0</v>
      </c>
      <c r="J112" s="10">
        <f t="shared" si="5"/>
        <v>0</v>
      </c>
      <c r="K112" s="113">
        <f t="shared" si="6"/>
        <v>112563.38028169013</v>
      </c>
    </row>
    <row r="113" spans="1:11" x14ac:dyDescent="0.25">
      <c r="A113" s="49">
        <f>'A) Base RI'!A112</f>
        <v>5581</v>
      </c>
      <c r="B113" s="293" t="str">
        <f>'A) Base RI'!B112</f>
        <v>Belmont-sur-Lausanne</v>
      </c>
      <c r="C113" s="10">
        <f>'A) Base RI'!V112</f>
        <v>3773</v>
      </c>
      <c r="D113" s="10">
        <f t="shared" si="8"/>
        <v>1000</v>
      </c>
      <c r="E113" s="422">
        <f t="shared" si="7"/>
        <v>2000</v>
      </c>
      <c r="F113" s="10">
        <f t="shared" si="7"/>
        <v>773</v>
      </c>
      <c r="G113" s="422">
        <f t="shared" si="7"/>
        <v>0</v>
      </c>
      <c r="H113" s="41">
        <f t="shared" si="7"/>
        <v>0</v>
      </c>
      <c r="I113" s="10">
        <f t="shared" si="7"/>
        <v>0</v>
      </c>
      <c r="J113" s="10">
        <f t="shared" si="5"/>
        <v>0</v>
      </c>
      <c r="K113" s="113">
        <f t="shared" si="6"/>
        <v>1217594.0643863177</v>
      </c>
    </row>
    <row r="114" spans="1:11" x14ac:dyDescent="0.25">
      <c r="A114" s="49">
        <f>'A) Base RI'!A113</f>
        <v>5582</v>
      </c>
      <c r="B114" s="293" t="str">
        <f>'A) Base RI'!B113</f>
        <v>Cheseaux-sur-Lausanne</v>
      </c>
      <c r="C114" s="10">
        <f>'A) Base RI'!V113</f>
        <v>4339</v>
      </c>
      <c r="D114" s="10">
        <f t="shared" si="8"/>
        <v>1000</v>
      </c>
      <c r="E114" s="422">
        <f t="shared" si="7"/>
        <v>2000</v>
      </c>
      <c r="F114" s="10">
        <f t="shared" si="7"/>
        <v>1339</v>
      </c>
      <c r="G114" s="422">
        <f t="shared" si="7"/>
        <v>0</v>
      </c>
      <c r="H114" s="41">
        <f t="shared" si="7"/>
        <v>0</v>
      </c>
      <c r="I114" s="10">
        <f t="shared" si="7"/>
        <v>0</v>
      </c>
      <c r="J114" s="10">
        <f t="shared" si="5"/>
        <v>0</v>
      </c>
      <c r="K114" s="113">
        <f t="shared" si="6"/>
        <v>1502017.6056338027</v>
      </c>
    </row>
    <row r="115" spans="1:11" x14ac:dyDescent="0.25">
      <c r="A115" s="49">
        <f>'A) Base RI'!A114</f>
        <v>5583</v>
      </c>
      <c r="B115" s="293" t="str">
        <f>'A) Base RI'!B114</f>
        <v>Crissier</v>
      </c>
      <c r="C115" s="10">
        <f>'A) Base RI'!V114</f>
        <v>7944</v>
      </c>
      <c r="D115" s="10">
        <f t="shared" si="8"/>
        <v>1000</v>
      </c>
      <c r="E115" s="422">
        <f t="shared" si="7"/>
        <v>2000</v>
      </c>
      <c r="F115" s="10">
        <f t="shared" si="7"/>
        <v>2000</v>
      </c>
      <c r="G115" s="422">
        <f t="shared" si="7"/>
        <v>2944</v>
      </c>
      <c r="H115" s="41">
        <f t="shared" si="7"/>
        <v>0</v>
      </c>
      <c r="I115" s="10">
        <f t="shared" si="7"/>
        <v>0</v>
      </c>
      <c r="J115" s="10">
        <f t="shared" si="5"/>
        <v>0</v>
      </c>
      <c r="K115" s="113">
        <f t="shared" si="6"/>
        <v>3609465.3923541247</v>
      </c>
    </row>
    <row r="116" spans="1:11" x14ac:dyDescent="0.25">
      <c r="A116" s="49">
        <f>'A) Base RI'!A115</f>
        <v>5584</v>
      </c>
      <c r="B116" s="293" t="str">
        <f>'A) Base RI'!B115</f>
        <v>Epalinges</v>
      </c>
      <c r="C116" s="10">
        <f>'A) Base RI'!V115</f>
        <v>9701</v>
      </c>
      <c r="D116" s="10">
        <f t="shared" si="8"/>
        <v>1000</v>
      </c>
      <c r="E116" s="422">
        <f t="shared" si="7"/>
        <v>2000</v>
      </c>
      <c r="F116" s="10">
        <f t="shared" si="7"/>
        <v>2000</v>
      </c>
      <c r="G116" s="422">
        <f t="shared" si="7"/>
        <v>4000</v>
      </c>
      <c r="H116" s="41">
        <f t="shared" si="7"/>
        <v>701</v>
      </c>
      <c r="I116" s="10">
        <f t="shared" si="7"/>
        <v>0</v>
      </c>
      <c r="J116" s="10">
        <f t="shared" si="5"/>
        <v>0</v>
      </c>
      <c r="K116" s="113">
        <f t="shared" si="6"/>
        <v>4845099.7484909464</v>
      </c>
    </row>
    <row r="117" spans="1:11" x14ac:dyDescent="0.25">
      <c r="A117" s="49">
        <f>'A) Base RI'!A116</f>
        <v>5585</v>
      </c>
      <c r="B117" s="293" t="str">
        <f>'A) Base RI'!B116</f>
        <v>Jouxtens-Mézery</v>
      </c>
      <c r="C117" s="10">
        <f>'A) Base RI'!V116</f>
        <v>1423</v>
      </c>
      <c r="D117" s="10">
        <f t="shared" si="8"/>
        <v>1000</v>
      </c>
      <c r="E117" s="422">
        <f t="shared" si="7"/>
        <v>423</v>
      </c>
      <c r="F117" s="10">
        <f t="shared" si="7"/>
        <v>0</v>
      </c>
      <c r="G117" s="422">
        <f t="shared" si="7"/>
        <v>0</v>
      </c>
      <c r="H117" s="41">
        <f t="shared" si="7"/>
        <v>0</v>
      </c>
      <c r="I117" s="10">
        <f t="shared" si="7"/>
        <v>0</v>
      </c>
      <c r="J117" s="10">
        <f t="shared" si="5"/>
        <v>0</v>
      </c>
      <c r="K117" s="113">
        <f t="shared" si="6"/>
        <v>274423.49094567401</v>
      </c>
    </row>
    <row r="118" spans="1:11" x14ac:dyDescent="0.25">
      <c r="A118" s="49">
        <f>'A) Base RI'!A117</f>
        <v>5586</v>
      </c>
      <c r="B118" s="293" t="str">
        <f>'A) Base RI'!B117</f>
        <v>Lausanne</v>
      </c>
      <c r="C118" s="10">
        <f>'A) Base RI'!V117</f>
        <v>139726</v>
      </c>
      <c r="D118" s="10">
        <f t="shared" si="8"/>
        <v>1000</v>
      </c>
      <c r="E118" s="422">
        <f t="shared" si="7"/>
        <v>2000</v>
      </c>
      <c r="F118" s="10">
        <f t="shared" si="7"/>
        <v>2000</v>
      </c>
      <c r="G118" s="422">
        <f t="shared" si="7"/>
        <v>4000</v>
      </c>
      <c r="H118" s="41">
        <f t="shared" si="7"/>
        <v>3000</v>
      </c>
      <c r="I118" s="10">
        <f t="shared" si="7"/>
        <v>3000</v>
      </c>
      <c r="J118" s="10">
        <f t="shared" si="5"/>
        <v>124726</v>
      </c>
      <c r="K118" s="113">
        <f t="shared" si="6"/>
        <v>141445234.10462776</v>
      </c>
    </row>
    <row r="119" spans="1:11" x14ac:dyDescent="0.25">
      <c r="A119" s="49">
        <f>'A) Base RI'!A118</f>
        <v>5587</v>
      </c>
      <c r="B119" s="293" t="str">
        <f>'A) Base RI'!B118</f>
        <v>Le Mont-sur-Lausanne</v>
      </c>
      <c r="C119" s="10">
        <f>'A) Base RI'!V118</f>
        <v>8991</v>
      </c>
      <c r="D119" s="10">
        <f t="shared" si="8"/>
        <v>1000</v>
      </c>
      <c r="E119" s="422">
        <f t="shared" si="7"/>
        <v>2000</v>
      </c>
      <c r="F119" s="10">
        <f t="shared" si="7"/>
        <v>2000</v>
      </c>
      <c r="G119" s="422">
        <f t="shared" si="7"/>
        <v>3991</v>
      </c>
      <c r="H119" s="41">
        <f t="shared" si="7"/>
        <v>0</v>
      </c>
      <c r="I119" s="10">
        <f t="shared" si="7"/>
        <v>0</v>
      </c>
      <c r="J119" s="10">
        <f t="shared" si="5"/>
        <v>0</v>
      </c>
      <c r="K119" s="113">
        <f t="shared" si="6"/>
        <v>4240825.352112676</v>
      </c>
    </row>
    <row r="120" spans="1:11" x14ac:dyDescent="0.25">
      <c r="A120" s="49">
        <f>'A) Base RI'!A119</f>
        <v>5588</v>
      </c>
      <c r="B120" s="293" t="str">
        <f>'A) Base RI'!B119</f>
        <v>Paudex</v>
      </c>
      <c r="C120" s="10">
        <f>'A) Base RI'!V119</f>
        <v>1532</v>
      </c>
      <c r="D120" s="10">
        <f t="shared" si="8"/>
        <v>1000</v>
      </c>
      <c r="E120" s="422">
        <f t="shared" si="7"/>
        <v>532</v>
      </c>
      <c r="F120" s="10">
        <f t="shared" si="7"/>
        <v>0</v>
      </c>
      <c r="G120" s="422">
        <f t="shared" si="7"/>
        <v>0</v>
      </c>
      <c r="H120" s="41">
        <f t="shared" si="7"/>
        <v>0</v>
      </c>
      <c r="I120" s="10">
        <f t="shared" si="7"/>
        <v>0</v>
      </c>
      <c r="J120" s="10">
        <f t="shared" si="5"/>
        <v>0</v>
      </c>
      <c r="K120" s="113">
        <f t="shared" si="6"/>
        <v>312765.39235412469</v>
      </c>
    </row>
    <row r="121" spans="1:11" x14ac:dyDescent="0.25">
      <c r="A121" s="49">
        <f>'A) Base RI'!A120</f>
        <v>5589</v>
      </c>
      <c r="B121" s="293" t="str">
        <f>'A) Base RI'!B120</f>
        <v>Prilly</v>
      </c>
      <c r="C121" s="10">
        <f>'A) Base RI'!V120</f>
        <v>12423</v>
      </c>
      <c r="D121" s="10">
        <f t="shared" si="8"/>
        <v>1000</v>
      </c>
      <c r="E121" s="422">
        <f t="shared" si="7"/>
        <v>2000</v>
      </c>
      <c r="F121" s="10">
        <f t="shared" si="7"/>
        <v>2000</v>
      </c>
      <c r="G121" s="422">
        <f t="shared" si="7"/>
        <v>4000</v>
      </c>
      <c r="H121" s="41">
        <f t="shared" si="7"/>
        <v>3000</v>
      </c>
      <c r="I121" s="10">
        <f t="shared" si="7"/>
        <v>423</v>
      </c>
      <c r="J121" s="10">
        <f t="shared" si="5"/>
        <v>0</v>
      </c>
      <c r="K121" s="113">
        <f t="shared" si="6"/>
        <v>7234207.2434607651</v>
      </c>
    </row>
    <row r="122" spans="1:11" x14ac:dyDescent="0.25">
      <c r="A122" s="49">
        <f>'A) Base RI'!A121</f>
        <v>5590</v>
      </c>
      <c r="B122" s="293" t="str">
        <f>'A) Base RI'!B121</f>
        <v>Pully</v>
      </c>
      <c r="C122" s="10">
        <f>'A) Base RI'!V121</f>
        <v>18495</v>
      </c>
      <c r="D122" s="10">
        <f t="shared" si="8"/>
        <v>1000</v>
      </c>
      <c r="E122" s="422">
        <f t="shared" si="7"/>
        <v>2000</v>
      </c>
      <c r="F122" s="10">
        <f t="shared" si="7"/>
        <v>2000</v>
      </c>
      <c r="G122" s="422">
        <f t="shared" si="7"/>
        <v>4000</v>
      </c>
      <c r="H122" s="41">
        <f t="shared" si="7"/>
        <v>3000</v>
      </c>
      <c r="I122" s="10">
        <f t="shared" si="7"/>
        <v>3000</v>
      </c>
      <c r="J122" s="10">
        <f t="shared" si="5"/>
        <v>3495</v>
      </c>
      <c r="K122" s="113">
        <f t="shared" si="6"/>
        <v>13512379.527162978</v>
      </c>
    </row>
    <row r="123" spans="1:11" x14ac:dyDescent="0.25">
      <c r="A123" s="49">
        <f>'A) Base RI'!A122</f>
        <v>5591</v>
      </c>
      <c r="B123" s="293" t="str">
        <f>'A) Base RI'!B122</f>
        <v>Renens</v>
      </c>
      <c r="C123" s="10">
        <f>'A) Base RI'!V122</f>
        <v>20928</v>
      </c>
      <c r="D123" s="10">
        <f t="shared" si="8"/>
        <v>1000</v>
      </c>
      <c r="E123" s="422">
        <f t="shared" si="7"/>
        <v>2000</v>
      </c>
      <c r="F123" s="10">
        <f t="shared" si="7"/>
        <v>2000</v>
      </c>
      <c r="G123" s="422">
        <f t="shared" si="7"/>
        <v>4000</v>
      </c>
      <c r="H123" s="41">
        <f t="shared" si="7"/>
        <v>3000</v>
      </c>
      <c r="I123" s="10">
        <f t="shared" si="7"/>
        <v>3000</v>
      </c>
      <c r="J123" s="10">
        <f t="shared" si="5"/>
        <v>5928</v>
      </c>
      <c r="K123" s="113">
        <f t="shared" si="6"/>
        <v>16079879.879275654</v>
      </c>
    </row>
    <row r="124" spans="1:11" x14ac:dyDescent="0.25">
      <c r="A124" s="49">
        <f>'A) Base RI'!A123</f>
        <v>5592</v>
      </c>
      <c r="B124" s="293" t="str">
        <f>'A) Base RI'!B123</f>
        <v>Romanel-sur-Lausanne</v>
      </c>
      <c r="C124" s="10">
        <f>'A) Base RI'!V123</f>
        <v>3294</v>
      </c>
      <c r="D124" s="10">
        <f t="shared" si="8"/>
        <v>1000</v>
      </c>
      <c r="E124" s="422">
        <f t="shared" si="7"/>
        <v>2000</v>
      </c>
      <c r="F124" s="10">
        <f t="shared" si="7"/>
        <v>294</v>
      </c>
      <c r="G124" s="422">
        <f t="shared" si="7"/>
        <v>0</v>
      </c>
      <c r="H124" s="41">
        <f t="shared" si="7"/>
        <v>0</v>
      </c>
      <c r="I124" s="10">
        <f t="shared" si="7"/>
        <v>0</v>
      </c>
      <c r="J124" s="10">
        <f t="shared" si="5"/>
        <v>0</v>
      </c>
      <c r="K124" s="113">
        <f t="shared" si="6"/>
        <v>976889.33601609652</v>
      </c>
    </row>
    <row r="125" spans="1:11" x14ac:dyDescent="0.25">
      <c r="A125" s="49">
        <f>'A) Base RI'!A124</f>
        <v>5601</v>
      </c>
      <c r="B125" s="293" t="str">
        <f>'A) Base RI'!B124</f>
        <v>Chexbres</v>
      </c>
      <c r="C125" s="10">
        <f>'A) Base RI'!V124</f>
        <v>2235</v>
      </c>
      <c r="D125" s="10">
        <f t="shared" si="8"/>
        <v>1000</v>
      </c>
      <c r="E125" s="422">
        <f t="shared" si="7"/>
        <v>1235</v>
      </c>
      <c r="F125" s="10">
        <f t="shared" si="7"/>
        <v>0</v>
      </c>
      <c r="G125" s="422">
        <f t="shared" si="7"/>
        <v>0</v>
      </c>
      <c r="H125" s="41">
        <f t="shared" si="7"/>
        <v>0</v>
      </c>
      <c r="I125" s="10">
        <f t="shared" si="7"/>
        <v>0</v>
      </c>
      <c r="J125" s="10">
        <f t="shared" si="5"/>
        <v>0</v>
      </c>
      <c r="K125" s="113">
        <f t="shared" si="6"/>
        <v>560053.0684104627</v>
      </c>
    </row>
    <row r="126" spans="1:11" x14ac:dyDescent="0.25">
      <c r="A126" s="49">
        <f>'A) Base RI'!A125</f>
        <v>5604</v>
      </c>
      <c r="B126" s="293" t="str">
        <f>'A) Base RI'!B125</f>
        <v>Forel (Lavaux)</v>
      </c>
      <c r="C126" s="10">
        <f>'A) Base RI'!V125</f>
        <v>2064</v>
      </c>
      <c r="D126" s="10">
        <f t="shared" si="8"/>
        <v>1000</v>
      </c>
      <c r="E126" s="422">
        <f t="shared" si="7"/>
        <v>1064</v>
      </c>
      <c r="F126" s="10">
        <f t="shared" si="7"/>
        <v>0</v>
      </c>
      <c r="G126" s="422">
        <f t="shared" si="7"/>
        <v>0</v>
      </c>
      <c r="H126" s="41">
        <f t="shared" si="7"/>
        <v>0</v>
      </c>
      <c r="I126" s="10">
        <f t="shared" si="7"/>
        <v>0</v>
      </c>
      <c r="J126" s="10">
        <f t="shared" si="5"/>
        <v>0</v>
      </c>
      <c r="K126" s="113">
        <f t="shared" si="6"/>
        <v>499902.01207243453</v>
      </c>
    </row>
    <row r="127" spans="1:11" x14ac:dyDescent="0.25">
      <c r="A127" s="49">
        <f>'A) Base RI'!A126</f>
        <v>5606</v>
      </c>
      <c r="B127" s="293" t="str">
        <f>'A) Base RI'!B126</f>
        <v>Lutry</v>
      </c>
      <c r="C127" s="10">
        <f>'A) Base RI'!V126</f>
        <v>10357</v>
      </c>
      <c r="D127" s="10">
        <f t="shared" si="8"/>
        <v>1000</v>
      </c>
      <c r="E127" s="422">
        <f t="shared" si="7"/>
        <v>2000</v>
      </c>
      <c r="F127" s="10">
        <f t="shared" si="7"/>
        <v>2000</v>
      </c>
      <c r="G127" s="422">
        <f t="shared" si="7"/>
        <v>4000</v>
      </c>
      <c r="H127" s="41">
        <f t="shared" si="7"/>
        <v>1357</v>
      </c>
      <c r="I127" s="10">
        <f t="shared" si="7"/>
        <v>0</v>
      </c>
      <c r="J127" s="10">
        <f t="shared" si="5"/>
        <v>0</v>
      </c>
      <c r="K127" s="113">
        <f t="shared" si="6"/>
        <v>5405504.5774647892</v>
      </c>
    </row>
    <row r="128" spans="1:11" x14ac:dyDescent="0.25">
      <c r="A128" s="49">
        <f>'A) Base RI'!A127</f>
        <v>5607</v>
      </c>
      <c r="B128" s="293" t="str">
        <f>'A) Base RI'!B127</f>
        <v>Puidoux</v>
      </c>
      <c r="C128" s="10">
        <f>'A) Base RI'!V127</f>
        <v>2881</v>
      </c>
      <c r="D128" s="10">
        <f t="shared" si="8"/>
        <v>1000</v>
      </c>
      <c r="E128" s="422">
        <f t="shared" si="7"/>
        <v>1881</v>
      </c>
      <c r="F128" s="10">
        <f t="shared" si="7"/>
        <v>0</v>
      </c>
      <c r="G128" s="422">
        <f t="shared" si="7"/>
        <v>0</v>
      </c>
      <c r="H128" s="41">
        <f t="shared" si="7"/>
        <v>0</v>
      </c>
      <c r="I128" s="10">
        <f t="shared" si="7"/>
        <v>0</v>
      </c>
      <c r="J128" s="10">
        <f t="shared" si="5"/>
        <v>0</v>
      </c>
      <c r="K128" s="113">
        <f t="shared" si="6"/>
        <v>787290.39235412469</v>
      </c>
    </row>
    <row r="129" spans="1:11" x14ac:dyDescent="0.25">
      <c r="A129" s="49">
        <f>'A) Base RI'!A128</f>
        <v>5609</v>
      </c>
      <c r="B129" s="293" t="str">
        <f>'A) Base RI'!B128</f>
        <v>Rivaz</v>
      </c>
      <c r="C129" s="10">
        <f>'A) Base RI'!V128</f>
        <v>342</v>
      </c>
      <c r="D129" s="10">
        <f t="shared" si="8"/>
        <v>342</v>
      </c>
      <c r="E129" s="422">
        <f t="shared" si="7"/>
        <v>0</v>
      </c>
      <c r="F129" s="10">
        <f t="shared" si="7"/>
        <v>0</v>
      </c>
      <c r="G129" s="422">
        <f t="shared" si="7"/>
        <v>0</v>
      </c>
      <c r="H129" s="41">
        <f t="shared" si="7"/>
        <v>0</v>
      </c>
      <c r="I129" s="10">
        <f t="shared" si="7"/>
        <v>0</v>
      </c>
      <c r="J129" s="10">
        <f t="shared" si="5"/>
        <v>0</v>
      </c>
      <c r="K129" s="113">
        <f t="shared" si="6"/>
        <v>42965.040241448689</v>
      </c>
    </row>
    <row r="130" spans="1:11" x14ac:dyDescent="0.25">
      <c r="A130" s="49">
        <f>'A) Base RI'!A129</f>
        <v>5610</v>
      </c>
      <c r="B130" s="293" t="str">
        <f>'A) Base RI'!B129</f>
        <v>St-Saphorin (Lavaux)</v>
      </c>
      <c r="C130" s="10">
        <f>'A) Base RI'!V129</f>
        <v>384</v>
      </c>
      <c r="D130" s="10">
        <f t="shared" si="8"/>
        <v>384</v>
      </c>
      <c r="E130" s="422">
        <f t="shared" si="7"/>
        <v>0</v>
      </c>
      <c r="F130" s="10">
        <f t="shared" si="7"/>
        <v>0</v>
      </c>
      <c r="G130" s="422">
        <f t="shared" si="7"/>
        <v>0</v>
      </c>
      <c r="H130" s="41">
        <f t="shared" si="7"/>
        <v>0</v>
      </c>
      <c r="I130" s="10">
        <f t="shared" si="7"/>
        <v>0</v>
      </c>
      <c r="J130" s="10">
        <f t="shared" si="5"/>
        <v>0</v>
      </c>
      <c r="K130" s="113">
        <f t="shared" si="6"/>
        <v>48241.448692152917</v>
      </c>
    </row>
    <row r="131" spans="1:11" x14ac:dyDescent="0.25">
      <c r="A131" s="49">
        <f>'A) Base RI'!A130</f>
        <v>5611</v>
      </c>
      <c r="B131" s="293" t="str">
        <f>'A) Base RI'!B130</f>
        <v>Savigny</v>
      </c>
      <c r="C131" s="10">
        <f>'A) Base RI'!V130</f>
        <v>3359</v>
      </c>
      <c r="D131" s="10">
        <f t="shared" si="8"/>
        <v>1000</v>
      </c>
      <c r="E131" s="422">
        <f t="shared" si="7"/>
        <v>2000</v>
      </c>
      <c r="F131" s="10">
        <f t="shared" si="7"/>
        <v>359</v>
      </c>
      <c r="G131" s="422">
        <f t="shared" si="7"/>
        <v>0</v>
      </c>
      <c r="H131" s="41">
        <f t="shared" si="7"/>
        <v>0</v>
      </c>
      <c r="I131" s="10">
        <f t="shared" si="7"/>
        <v>0</v>
      </c>
      <c r="J131" s="10">
        <f t="shared" si="5"/>
        <v>0</v>
      </c>
      <c r="K131" s="113">
        <f t="shared" si="6"/>
        <v>1009552.8169014084</v>
      </c>
    </row>
    <row r="132" spans="1:11" x14ac:dyDescent="0.25">
      <c r="A132" s="49">
        <f>'A) Base RI'!A131</f>
        <v>5613</v>
      </c>
      <c r="B132" s="293" t="str">
        <f>'A) Base RI'!B131</f>
        <v>Bourg-en-Lavaux</v>
      </c>
      <c r="C132" s="10">
        <f>'A) Base RI'!V131</f>
        <v>5345</v>
      </c>
      <c r="D132" s="10">
        <f t="shared" si="8"/>
        <v>1000</v>
      </c>
      <c r="E132" s="422">
        <f t="shared" si="7"/>
        <v>2000</v>
      </c>
      <c r="F132" s="10">
        <f t="shared" si="7"/>
        <v>2000</v>
      </c>
      <c r="G132" s="422">
        <f t="shared" si="7"/>
        <v>345</v>
      </c>
      <c r="H132" s="41">
        <f t="shared" si="7"/>
        <v>0</v>
      </c>
      <c r="I132" s="10">
        <f t="shared" si="7"/>
        <v>0</v>
      </c>
      <c r="J132" s="10">
        <f t="shared" si="5"/>
        <v>0</v>
      </c>
      <c r="K132" s="113">
        <f t="shared" si="6"/>
        <v>2042221.3279678067</v>
      </c>
    </row>
    <row r="133" spans="1:11" x14ac:dyDescent="0.25">
      <c r="A133" s="49">
        <f>'A) Base RI'!A132</f>
        <v>5621</v>
      </c>
      <c r="B133" s="293" t="str">
        <f>'A) Base RI'!B132</f>
        <v>Aclens</v>
      </c>
      <c r="C133" s="10">
        <f>'A) Base RI'!V132</f>
        <v>539</v>
      </c>
      <c r="D133" s="10">
        <f t="shared" si="8"/>
        <v>539</v>
      </c>
      <c r="E133" s="422">
        <f t="shared" si="7"/>
        <v>0</v>
      </c>
      <c r="F133" s="10">
        <f t="shared" si="7"/>
        <v>0</v>
      </c>
      <c r="G133" s="422">
        <f t="shared" si="7"/>
        <v>0</v>
      </c>
      <c r="H133" s="41">
        <f t="shared" si="7"/>
        <v>0</v>
      </c>
      <c r="I133" s="10">
        <f t="shared" si="7"/>
        <v>0</v>
      </c>
      <c r="J133" s="10">
        <f t="shared" si="5"/>
        <v>0</v>
      </c>
      <c r="K133" s="113">
        <f t="shared" si="6"/>
        <v>67713.908450704228</v>
      </c>
    </row>
    <row r="134" spans="1:11" x14ac:dyDescent="0.25">
      <c r="A134" s="49">
        <f>'A) Base RI'!A133</f>
        <v>5622</v>
      </c>
      <c r="B134" s="293" t="str">
        <f>'A) Base RI'!B133</f>
        <v>Bremblens</v>
      </c>
      <c r="C134" s="10">
        <f>'A) Base RI'!V133</f>
        <v>577</v>
      </c>
      <c r="D134" s="10">
        <f t="shared" si="8"/>
        <v>577</v>
      </c>
      <c r="E134" s="422">
        <f t="shared" si="7"/>
        <v>0</v>
      </c>
      <c r="F134" s="10">
        <f t="shared" si="7"/>
        <v>0</v>
      </c>
      <c r="G134" s="422">
        <f t="shared" si="7"/>
        <v>0</v>
      </c>
      <c r="H134" s="41">
        <f t="shared" si="7"/>
        <v>0</v>
      </c>
      <c r="I134" s="10">
        <f t="shared" si="7"/>
        <v>0</v>
      </c>
      <c r="J134" s="10">
        <f t="shared" si="5"/>
        <v>0</v>
      </c>
      <c r="K134" s="113">
        <f t="shared" si="6"/>
        <v>72487.801810865189</v>
      </c>
    </row>
    <row r="135" spans="1:11" x14ac:dyDescent="0.25">
      <c r="A135" s="49">
        <f>'A) Base RI'!A134</f>
        <v>5623</v>
      </c>
      <c r="B135" s="293" t="str">
        <f>'A) Base RI'!B134</f>
        <v>Buchillon</v>
      </c>
      <c r="C135" s="10">
        <f>'A) Base RI'!V134</f>
        <v>686</v>
      </c>
      <c r="D135" s="10">
        <f t="shared" si="8"/>
        <v>686</v>
      </c>
      <c r="E135" s="422">
        <f t="shared" si="7"/>
        <v>0</v>
      </c>
      <c r="F135" s="10">
        <f t="shared" si="7"/>
        <v>0</v>
      </c>
      <c r="G135" s="422">
        <f t="shared" si="7"/>
        <v>0</v>
      </c>
      <c r="H135" s="41">
        <f t="shared" si="7"/>
        <v>0</v>
      </c>
      <c r="I135" s="10">
        <f t="shared" si="7"/>
        <v>0</v>
      </c>
      <c r="J135" s="10">
        <f t="shared" si="5"/>
        <v>0</v>
      </c>
      <c r="K135" s="113">
        <f t="shared" si="6"/>
        <v>86181.338028169004</v>
      </c>
    </row>
    <row r="136" spans="1:11" x14ac:dyDescent="0.25">
      <c r="A136" s="49">
        <f>'A) Base RI'!A135</f>
        <v>5624</v>
      </c>
      <c r="B136" s="293" t="str">
        <f>'A) Base RI'!B135</f>
        <v>Bussigny</v>
      </c>
      <c r="C136" s="10">
        <f>'A) Base RI'!V135</f>
        <v>8962</v>
      </c>
      <c r="D136" s="10">
        <f t="shared" si="8"/>
        <v>1000</v>
      </c>
      <c r="E136" s="422">
        <f t="shared" si="7"/>
        <v>2000</v>
      </c>
      <c r="F136" s="10">
        <f t="shared" si="7"/>
        <v>2000</v>
      </c>
      <c r="G136" s="422">
        <f t="shared" si="7"/>
        <v>3962</v>
      </c>
      <c r="H136" s="41">
        <f t="shared" si="7"/>
        <v>0</v>
      </c>
      <c r="I136" s="10">
        <f t="shared" si="7"/>
        <v>0</v>
      </c>
      <c r="J136" s="10">
        <f t="shared" ref="J136:J199" si="9">IF(C136&gt;$J$4,C136-$J$4,0)</f>
        <v>0</v>
      </c>
      <c r="K136" s="113">
        <f t="shared" ref="K136:K199" si="10">(D136*D$7)+(E136*E$7)+(F136*F$7)+(G136*G$7)+(H136*H$7)+(I136*I$7)+(J136*J$7)</f>
        <v>4223337.8269617707</v>
      </c>
    </row>
    <row r="137" spans="1:11" x14ac:dyDescent="0.25">
      <c r="A137" s="49">
        <f>'A) Base RI'!A136</f>
        <v>5625</v>
      </c>
      <c r="B137" s="293" t="str">
        <f>'A) Base RI'!B136</f>
        <v>Bussy-Chardonney</v>
      </c>
      <c r="C137" s="10">
        <f>'A) Base RI'!V136</f>
        <v>384</v>
      </c>
      <c r="D137" s="10">
        <f t="shared" si="8"/>
        <v>384</v>
      </c>
      <c r="E137" s="422">
        <f t="shared" si="7"/>
        <v>0</v>
      </c>
      <c r="F137" s="10">
        <f t="shared" si="7"/>
        <v>0</v>
      </c>
      <c r="G137" s="422">
        <f t="shared" si="7"/>
        <v>0</v>
      </c>
      <c r="H137" s="41">
        <f t="shared" si="7"/>
        <v>0</v>
      </c>
      <c r="I137" s="10">
        <f t="shared" si="7"/>
        <v>0</v>
      </c>
      <c r="J137" s="10">
        <f t="shared" si="9"/>
        <v>0</v>
      </c>
      <c r="K137" s="113">
        <f t="shared" si="10"/>
        <v>48241.448692152917</v>
      </c>
    </row>
    <row r="138" spans="1:11" x14ac:dyDescent="0.25">
      <c r="A138" s="49">
        <f>'A) Base RI'!A137</f>
        <v>5627</v>
      </c>
      <c r="B138" s="293" t="str">
        <f>'A) Base RI'!B137</f>
        <v>Chavannes-près-Renens</v>
      </c>
      <c r="C138" s="10">
        <f>'A) Base RI'!V137</f>
        <v>7887</v>
      </c>
      <c r="D138" s="10">
        <f t="shared" si="8"/>
        <v>1000</v>
      </c>
      <c r="E138" s="422">
        <f t="shared" si="7"/>
        <v>2000</v>
      </c>
      <c r="F138" s="10">
        <f t="shared" si="7"/>
        <v>2000</v>
      </c>
      <c r="G138" s="422">
        <f t="shared" si="7"/>
        <v>2887</v>
      </c>
      <c r="H138" s="41">
        <f t="shared" si="7"/>
        <v>0</v>
      </c>
      <c r="I138" s="10">
        <f t="shared" si="7"/>
        <v>0</v>
      </c>
      <c r="J138" s="10">
        <f t="shared" si="9"/>
        <v>0</v>
      </c>
      <c r="K138" s="113">
        <f t="shared" si="10"/>
        <v>3575093.3601609655</v>
      </c>
    </row>
    <row r="139" spans="1:11" x14ac:dyDescent="0.25">
      <c r="A139" s="49">
        <f>'A) Base RI'!A138</f>
        <v>5628</v>
      </c>
      <c r="B139" s="293" t="str">
        <f>'A) Base RI'!B138</f>
        <v>Chigny</v>
      </c>
      <c r="C139" s="10">
        <f>'A) Base RI'!V138</f>
        <v>382</v>
      </c>
      <c r="D139" s="10">
        <f t="shared" si="8"/>
        <v>382</v>
      </c>
      <c r="E139" s="422">
        <f t="shared" si="7"/>
        <v>0</v>
      </c>
      <c r="F139" s="10">
        <f t="shared" si="7"/>
        <v>0</v>
      </c>
      <c r="G139" s="422">
        <f t="shared" si="7"/>
        <v>0</v>
      </c>
      <c r="H139" s="41">
        <f t="shared" si="7"/>
        <v>0</v>
      </c>
      <c r="I139" s="10">
        <f t="shared" si="7"/>
        <v>0</v>
      </c>
      <c r="J139" s="10">
        <f t="shared" si="9"/>
        <v>0</v>
      </c>
      <c r="K139" s="113">
        <f t="shared" si="10"/>
        <v>47990.191146881283</v>
      </c>
    </row>
    <row r="140" spans="1:11" x14ac:dyDescent="0.25">
      <c r="A140" s="49">
        <f>'A) Base RI'!A139</f>
        <v>5629</v>
      </c>
      <c r="B140" s="293" t="str">
        <f>'A) Base RI'!B139</f>
        <v>Clarmont</v>
      </c>
      <c r="C140" s="10">
        <f>'A) Base RI'!V139</f>
        <v>191</v>
      </c>
      <c r="D140" s="10">
        <f t="shared" si="8"/>
        <v>191</v>
      </c>
      <c r="E140" s="422">
        <f t="shared" si="7"/>
        <v>0</v>
      </c>
      <c r="F140" s="10">
        <f t="shared" si="7"/>
        <v>0</v>
      </c>
      <c r="G140" s="422">
        <f t="shared" si="7"/>
        <v>0</v>
      </c>
      <c r="H140" s="41">
        <f t="shared" si="7"/>
        <v>0</v>
      </c>
      <c r="I140" s="10">
        <f t="shared" si="7"/>
        <v>0</v>
      </c>
      <c r="J140" s="10">
        <f t="shared" si="9"/>
        <v>0</v>
      </c>
      <c r="K140" s="113">
        <f t="shared" si="10"/>
        <v>23995.095573440642</v>
      </c>
    </row>
    <row r="141" spans="1:11" x14ac:dyDescent="0.25">
      <c r="A141" s="49">
        <f>'A) Base RI'!A140</f>
        <v>5631</v>
      </c>
      <c r="B141" s="293" t="str">
        <f>'A) Base RI'!B140</f>
        <v>Denens</v>
      </c>
      <c r="C141" s="10">
        <f>'A) Base RI'!V140</f>
        <v>742</v>
      </c>
      <c r="D141" s="10">
        <f t="shared" si="8"/>
        <v>742</v>
      </c>
      <c r="E141" s="422">
        <f t="shared" si="7"/>
        <v>0</v>
      </c>
      <c r="F141" s="10">
        <f t="shared" si="7"/>
        <v>0</v>
      </c>
      <c r="G141" s="422">
        <f t="shared" si="7"/>
        <v>0</v>
      </c>
      <c r="H141" s="41">
        <f t="shared" si="7"/>
        <v>0</v>
      </c>
      <c r="I141" s="10">
        <f t="shared" si="7"/>
        <v>0</v>
      </c>
      <c r="J141" s="10">
        <f t="shared" si="9"/>
        <v>0</v>
      </c>
      <c r="K141" s="113">
        <f t="shared" si="10"/>
        <v>93216.549295774646</v>
      </c>
    </row>
    <row r="142" spans="1:11" x14ac:dyDescent="0.25">
      <c r="A142" s="49">
        <f>'A) Base RI'!A141</f>
        <v>5632</v>
      </c>
      <c r="B142" s="293" t="str">
        <f>'A) Base RI'!B141</f>
        <v>Denges</v>
      </c>
      <c r="C142" s="10">
        <f>'A) Base RI'!V141</f>
        <v>1609</v>
      </c>
      <c r="D142" s="10">
        <f t="shared" si="8"/>
        <v>1000</v>
      </c>
      <c r="E142" s="422">
        <f t="shared" si="7"/>
        <v>609</v>
      </c>
      <c r="F142" s="10">
        <f t="shared" si="7"/>
        <v>0</v>
      </c>
      <c r="G142" s="422">
        <f t="shared" si="7"/>
        <v>0</v>
      </c>
      <c r="H142" s="41">
        <f t="shared" si="7"/>
        <v>0</v>
      </c>
      <c r="I142" s="10">
        <f t="shared" si="7"/>
        <v>0</v>
      </c>
      <c r="J142" s="10">
        <f t="shared" si="9"/>
        <v>0</v>
      </c>
      <c r="K142" s="113">
        <f t="shared" si="10"/>
        <v>339850.95573440642</v>
      </c>
    </row>
    <row r="143" spans="1:11" x14ac:dyDescent="0.25">
      <c r="A143" s="49">
        <f>'A) Base RI'!A142</f>
        <v>5633</v>
      </c>
      <c r="B143" s="293" t="str">
        <f>'A) Base RI'!B142</f>
        <v>Echandens</v>
      </c>
      <c r="C143" s="10">
        <f>'A) Base RI'!V142</f>
        <v>2739</v>
      </c>
      <c r="D143" s="10">
        <f t="shared" si="8"/>
        <v>1000</v>
      </c>
      <c r="E143" s="422">
        <f t="shared" si="7"/>
        <v>1739</v>
      </c>
      <c r="F143" s="10">
        <f t="shared" si="7"/>
        <v>0</v>
      </c>
      <c r="G143" s="422">
        <f t="shared" si="7"/>
        <v>0</v>
      </c>
      <c r="H143" s="41">
        <f t="shared" si="7"/>
        <v>0</v>
      </c>
      <c r="I143" s="10">
        <f t="shared" si="7"/>
        <v>0</v>
      </c>
      <c r="J143" s="10">
        <f t="shared" si="9"/>
        <v>0</v>
      </c>
      <c r="K143" s="113">
        <f t="shared" si="10"/>
        <v>737340.39235412469</v>
      </c>
    </row>
    <row r="144" spans="1:11" x14ac:dyDescent="0.25">
      <c r="A144" s="49">
        <f>'A) Base RI'!A143</f>
        <v>5634</v>
      </c>
      <c r="B144" s="293" t="str">
        <f>'A) Base RI'!B143</f>
        <v>Echichens</v>
      </c>
      <c r="C144" s="10">
        <f>'A) Base RI'!V143</f>
        <v>3077</v>
      </c>
      <c r="D144" s="10">
        <f t="shared" si="8"/>
        <v>1000</v>
      </c>
      <c r="E144" s="422">
        <f t="shared" si="7"/>
        <v>2000</v>
      </c>
      <c r="F144" s="10">
        <f t="shared" si="7"/>
        <v>77</v>
      </c>
      <c r="G144" s="422">
        <f t="shared" si="7"/>
        <v>0</v>
      </c>
      <c r="H144" s="41">
        <f t="shared" si="7"/>
        <v>0</v>
      </c>
      <c r="I144" s="10">
        <f t="shared" si="7"/>
        <v>0</v>
      </c>
      <c r="J144" s="10">
        <f t="shared" si="9"/>
        <v>0</v>
      </c>
      <c r="K144" s="113">
        <f t="shared" si="10"/>
        <v>867843.56136820919</v>
      </c>
    </row>
    <row r="145" spans="1:11" x14ac:dyDescent="0.25">
      <c r="A145" s="49">
        <f>'A) Base RI'!A144</f>
        <v>5635</v>
      </c>
      <c r="B145" s="293" t="str">
        <f>'A) Base RI'!B144</f>
        <v>Ecublens</v>
      </c>
      <c r="C145" s="10">
        <f>'A) Base RI'!V144</f>
        <v>13089</v>
      </c>
      <c r="D145" s="10">
        <f t="shared" si="8"/>
        <v>1000</v>
      </c>
      <c r="E145" s="422">
        <f t="shared" si="7"/>
        <v>2000</v>
      </c>
      <c r="F145" s="10">
        <f t="shared" si="7"/>
        <v>2000</v>
      </c>
      <c r="G145" s="422">
        <f t="shared" si="7"/>
        <v>4000</v>
      </c>
      <c r="H145" s="41">
        <f t="shared" si="7"/>
        <v>3000</v>
      </c>
      <c r="I145" s="10">
        <f t="shared" si="7"/>
        <v>1089</v>
      </c>
      <c r="J145" s="10">
        <f t="shared" si="9"/>
        <v>0</v>
      </c>
      <c r="K145" s="113">
        <f t="shared" si="10"/>
        <v>7903557.3440643866</v>
      </c>
    </row>
    <row r="146" spans="1:11" x14ac:dyDescent="0.25">
      <c r="A146" s="49">
        <f>'A) Base RI'!A145</f>
        <v>5636</v>
      </c>
      <c r="B146" s="293" t="str">
        <f>'A) Base RI'!B145</f>
        <v>Etoy</v>
      </c>
      <c r="C146" s="10">
        <f>'A) Base RI'!V145</f>
        <v>2933</v>
      </c>
      <c r="D146" s="10">
        <f t="shared" si="8"/>
        <v>1000</v>
      </c>
      <c r="E146" s="422">
        <f t="shared" si="7"/>
        <v>1933</v>
      </c>
      <c r="F146" s="10">
        <f t="shared" si="7"/>
        <v>0</v>
      </c>
      <c r="G146" s="422">
        <f t="shared" si="7"/>
        <v>0</v>
      </c>
      <c r="H146" s="41">
        <f t="shared" si="7"/>
        <v>0</v>
      </c>
      <c r="I146" s="10">
        <f t="shared" si="7"/>
        <v>0</v>
      </c>
      <c r="J146" s="10">
        <f t="shared" si="9"/>
        <v>0</v>
      </c>
      <c r="K146" s="113">
        <f t="shared" si="10"/>
        <v>805581.94164989935</v>
      </c>
    </row>
    <row r="147" spans="1:11" x14ac:dyDescent="0.25">
      <c r="A147" s="49">
        <f>'A) Base RI'!A146</f>
        <v>5637</v>
      </c>
      <c r="B147" s="293" t="str">
        <f>'A) Base RI'!B146</f>
        <v>Lavigny</v>
      </c>
      <c r="C147" s="10">
        <f>'A) Base RI'!V146</f>
        <v>992</v>
      </c>
      <c r="D147" s="10">
        <f t="shared" si="8"/>
        <v>992</v>
      </c>
      <c r="E147" s="422">
        <f t="shared" si="7"/>
        <v>0</v>
      </c>
      <c r="F147" s="10">
        <f t="shared" si="7"/>
        <v>0</v>
      </c>
      <c r="G147" s="422">
        <f t="shared" si="7"/>
        <v>0</v>
      </c>
      <c r="H147" s="41">
        <f t="shared" si="7"/>
        <v>0</v>
      </c>
      <c r="I147" s="10">
        <f t="shared" si="7"/>
        <v>0</v>
      </c>
      <c r="J147" s="10">
        <f t="shared" si="9"/>
        <v>0</v>
      </c>
      <c r="K147" s="113">
        <f t="shared" si="10"/>
        <v>124623.74245472836</v>
      </c>
    </row>
    <row r="148" spans="1:11" x14ac:dyDescent="0.25">
      <c r="A148" s="49">
        <f>'A) Base RI'!A147</f>
        <v>5638</v>
      </c>
      <c r="B148" s="293" t="str">
        <f>'A) Base RI'!B147</f>
        <v>Lonay</v>
      </c>
      <c r="C148" s="10">
        <f>'A) Base RI'!V147</f>
        <v>2676</v>
      </c>
      <c r="D148" s="10">
        <f t="shared" si="8"/>
        <v>1000</v>
      </c>
      <c r="E148" s="422">
        <f t="shared" si="7"/>
        <v>1676</v>
      </c>
      <c r="F148" s="10">
        <f t="shared" si="7"/>
        <v>0</v>
      </c>
      <c r="G148" s="422">
        <f t="shared" si="7"/>
        <v>0</v>
      </c>
      <c r="H148" s="41">
        <f t="shared" si="7"/>
        <v>0</v>
      </c>
      <c r="I148" s="10">
        <f t="shared" si="7"/>
        <v>0</v>
      </c>
      <c r="J148" s="10">
        <f t="shared" si="9"/>
        <v>0</v>
      </c>
      <c r="K148" s="113">
        <f t="shared" si="10"/>
        <v>715179.47686116688</v>
      </c>
    </row>
    <row r="149" spans="1:11" x14ac:dyDescent="0.25">
      <c r="A149" s="49">
        <f>'A) Base RI'!A148</f>
        <v>5639</v>
      </c>
      <c r="B149" s="293" t="str">
        <f>'A) Base RI'!B148</f>
        <v>Lully</v>
      </c>
      <c r="C149" s="10">
        <f>'A) Base RI'!V148</f>
        <v>818</v>
      </c>
      <c r="D149" s="10">
        <f t="shared" si="8"/>
        <v>818</v>
      </c>
      <c r="E149" s="422">
        <f t="shared" si="7"/>
        <v>0</v>
      </c>
      <c r="F149" s="10">
        <f t="shared" si="7"/>
        <v>0</v>
      </c>
      <c r="G149" s="422">
        <f t="shared" si="7"/>
        <v>0</v>
      </c>
      <c r="H149" s="41">
        <f t="shared" si="7"/>
        <v>0</v>
      </c>
      <c r="I149" s="10">
        <f t="shared" si="7"/>
        <v>0</v>
      </c>
      <c r="J149" s="10">
        <f t="shared" si="9"/>
        <v>0</v>
      </c>
      <c r="K149" s="113">
        <f t="shared" si="10"/>
        <v>102764.33601609657</v>
      </c>
    </row>
    <row r="150" spans="1:11" x14ac:dyDescent="0.25">
      <c r="A150" s="49">
        <f>'A) Base RI'!A149</f>
        <v>5640</v>
      </c>
      <c r="B150" s="293" t="str">
        <f>'A) Base RI'!B149</f>
        <v>Lussy-sur-Morges</v>
      </c>
      <c r="C150" s="10">
        <f>'A) Base RI'!V149</f>
        <v>696</v>
      </c>
      <c r="D150" s="10">
        <f t="shared" si="8"/>
        <v>696</v>
      </c>
      <c r="E150" s="422">
        <f t="shared" si="7"/>
        <v>0</v>
      </c>
      <c r="F150" s="10">
        <f t="shared" si="7"/>
        <v>0</v>
      </c>
      <c r="G150" s="422">
        <f t="shared" si="7"/>
        <v>0</v>
      </c>
      <c r="H150" s="41">
        <f t="shared" si="7"/>
        <v>0</v>
      </c>
      <c r="I150" s="10">
        <f t="shared" si="7"/>
        <v>0</v>
      </c>
      <c r="J150" s="10">
        <f t="shared" si="9"/>
        <v>0</v>
      </c>
      <c r="K150" s="113">
        <f t="shared" si="10"/>
        <v>87437.625754527166</v>
      </c>
    </row>
    <row r="151" spans="1:11" x14ac:dyDescent="0.25">
      <c r="A151" s="49">
        <f>'A) Base RI'!A150</f>
        <v>5642</v>
      </c>
      <c r="B151" s="293" t="str">
        <f>'A) Base RI'!B150</f>
        <v>Morges</v>
      </c>
      <c r="C151" s="10">
        <f>'A) Base RI'!V150</f>
        <v>15862</v>
      </c>
      <c r="D151" s="10">
        <f t="shared" si="8"/>
        <v>1000</v>
      </c>
      <c r="E151" s="422">
        <f t="shared" si="7"/>
        <v>2000</v>
      </c>
      <c r="F151" s="10">
        <f t="shared" si="7"/>
        <v>2000</v>
      </c>
      <c r="G151" s="422">
        <f t="shared" si="7"/>
        <v>4000</v>
      </c>
      <c r="H151" s="41">
        <f t="shared" si="7"/>
        <v>3000</v>
      </c>
      <c r="I151" s="10">
        <f t="shared" si="7"/>
        <v>3000</v>
      </c>
      <c r="J151" s="10">
        <f t="shared" si="9"/>
        <v>862</v>
      </c>
      <c r="K151" s="113">
        <f t="shared" si="10"/>
        <v>10733822.837022133</v>
      </c>
    </row>
    <row r="152" spans="1:11" x14ac:dyDescent="0.25">
      <c r="A152" s="49">
        <f>'A) Base RI'!A151</f>
        <v>5643</v>
      </c>
      <c r="B152" s="293" t="str">
        <f>'A) Base RI'!B151</f>
        <v>Préverenges</v>
      </c>
      <c r="C152" s="10">
        <f>'A) Base RI'!V151</f>
        <v>5243</v>
      </c>
      <c r="D152" s="10">
        <f t="shared" si="8"/>
        <v>1000</v>
      </c>
      <c r="E152" s="422">
        <f t="shared" si="7"/>
        <v>2000</v>
      </c>
      <c r="F152" s="10">
        <f t="shared" si="7"/>
        <v>2000</v>
      </c>
      <c r="G152" s="422">
        <f t="shared" si="7"/>
        <v>243</v>
      </c>
      <c r="H152" s="41">
        <f t="shared" si="7"/>
        <v>0</v>
      </c>
      <c r="I152" s="10">
        <f t="shared" si="7"/>
        <v>0</v>
      </c>
      <c r="J152" s="10">
        <f t="shared" si="9"/>
        <v>0</v>
      </c>
      <c r="K152" s="113">
        <f t="shared" si="10"/>
        <v>1980713.480885312</v>
      </c>
    </row>
    <row r="153" spans="1:11" x14ac:dyDescent="0.25">
      <c r="A153" s="49">
        <f>'A) Base RI'!A152</f>
        <v>5644</v>
      </c>
      <c r="B153" s="293" t="str">
        <f>'A) Base RI'!B152</f>
        <v>Reverolle</v>
      </c>
      <c r="C153" s="10">
        <f>'A) Base RI'!V152</f>
        <v>413</v>
      </c>
      <c r="D153" s="10">
        <f t="shared" si="8"/>
        <v>413</v>
      </c>
      <c r="E153" s="422">
        <f t="shared" si="7"/>
        <v>0</v>
      </c>
      <c r="F153" s="10">
        <f t="shared" si="7"/>
        <v>0</v>
      </c>
      <c r="G153" s="422">
        <f t="shared" si="7"/>
        <v>0</v>
      </c>
      <c r="H153" s="41">
        <f t="shared" si="7"/>
        <v>0</v>
      </c>
      <c r="I153" s="10">
        <f t="shared" si="7"/>
        <v>0</v>
      </c>
      <c r="J153" s="10">
        <f t="shared" si="9"/>
        <v>0</v>
      </c>
      <c r="K153" s="113">
        <f t="shared" si="10"/>
        <v>51884.683098591544</v>
      </c>
    </row>
    <row r="154" spans="1:11" x14ac:dyDescent="0.25">
      <c r="A154" s="49">
        <f>'A) Base RI'!A153</f>
        <v>5645</v>
      </c>
      <c r="B154" s="293" t="str">
        <f>'A) Base RI'!B153</f>
        <v>Romanel-sur-Morges</v>
      </c>
      <c r="C154" s="10">
        <f>'A) Base RI'!V153</f>
        <v>470</v>
      </c>
      <c r="D154" s="10">
        <f t="shared" si="8"/>
        <v>470</v>
      </c>
      <c r="E154" s="422">
        <f t="shared" si="7"/>
        <v>0</v>
      </c>
      <c r="F154" s="10">
        <f t="shared" si="7"/>
        <v>0</v>
      </c>
      <c r="G154" s="422">
        <f t="shared" si="7"/>
        <v>0</v>
      </c>
      <c r="H154" s="41">
        <f t="shared" si="7"/>
        <v>0</v>
      </c>
      <c r="I154" s="10">
        <f t="shared" si="7"/>
        <v>0</v>
      </c>
      <c r="J154" s="10">
        <f t="shared" si="9"/>
        <v>0</v>
      </c>
      <c r="K154" s="113">
        <f t="shared" si="10"/>
        <v>59045.523138832992</v>
      </c>
    </row>
    <row r="155" spans="1:11" x14ac:dyDescent="0.25">
      <c r="A155" s="49">
        <f>'A) Base RI'!A154</f>
        <v>5646</v>
      </c>
      <c r="B155" s="293" t="str">
        <f>'A) Base RI'!B154</f>
        <v>Saint-Prex</v>
      </c>
      <c r="C155" s="10">
        <f>'A) Base RI'!V154</f>
        <v>5774</v>
      </c>
      <c r="D155" s="10">
        <f t="shared" si="8"/>
        <v>1000</v>
      </c>
      <c r="E155" s="422">
        <f t="shared" si="7"/>
        <v>2000</v>
      </c>
      <c r="F155" s="10">
        <f t="shared" si="7"/>
        <v>2000</v>
      </c>
      <c r="G155" s="422">
        <f t="shared" si="7"/>
        <v>774</v>
      </c>
      <c r="H155" s="41">
        <f t="shared" si="7"/>
        <v>0</v>
      </c>
      <c r="I155" s="10">
        <f t="shared" si="7"/>
        <v>0</v>
      </c>
      <c r="J155" s="10">
        <f t="shared" si="9"/>
        <v>0</v>
      </c>
      <c r="K155" s="113">
        <f t="shared" si="10"/>
        <v>2300916.0965794767</v>
      </c>
    </row>
    <row r="156" spans="1:11" x14ac:dyDescent="0.25">
      <c r="A156" s="49">
        <f>'A) Base RI'!A155</f>
        <v>5648</v>
      </c>
      <c r="B156" s="293" t="str">
        <f>'A) Base RI'!B155</f>
        <v>Saint-Sulpice</v>
      </c>
      <c r="C156" s="10">
        <f>'A) Base RI'!V155</f>
        <v>4717</v>
      </c>
      <c r="D156" s="10">
        <f t="shared" si="8"/>
        <v>1000</v>
      </c>
      <c r="E156" s="422">
        <f t="shared" si="7"/>
        <v>2000</v>
      </c>
      <c r="F156" s="10">
        <f t="shared" si="7"/>
        <v>1717</v>
      </c>
      <c r="G156" s="422">
        <f t="shared" ref="E156:I207" si="11">IF($C156&gt;G$4,IF($C156&lt;G$5,$C156-G$4,G$5-G$4),0)</f>
        <v>0</v>
      </c>
      <c r="H156" s="41">
        <f t="shared" si="11"/>
        <v>0</v>
      </c>
      <c r="I156" s="10">
        <f t="shared" si="11"/>
        <v>0</v>
      </c>
      <c r="J156" s="10">
        <f t="shared" si="9"/>
        <v>0</v>
      </c>
      <c r="K156" s="113">
        <f t="shared" si="10"/>
        <v>1691968.3098591547</v>
      </c>
    </row>
    <row r="157" spans="1:11" x14ac:dyDescent="0.25">
      <c r="A157" s="49">
        <f>'A) Base RI'!A156</f>
        <v>5649</v>
      </c>
      <c r="B157" s="293" t="str">
        <f>'A) Base RI'!B156</f>
        <v>Tolochenaz</v>
      </c>
      <c r="C157" s="10">
        <f>'A) Base RI'!V156</f>
        <v>1907</v>
      </c>
      <c r="D157" s="10">
        <f t="shared" si="8"/>
        <v>1000</v>
      </c>
      <c r="E157" s="422">
        <f t="shared" si="11"/>
        <v>907</v>
      </c>
      <c r="F157" s="10">
        <f t="shared" si="11"/>
        <v>0</v>
      </c>
      <c r="G157" s="422">
        <f t="shared" si="11"/>
        <v>0</v>
      </c>
      <c r="H157" s="41">
        <f t="shared" si="11"/>
        <v>0</v>
      </c>
      <c r="I157" s="10">
        <f t="shared" si="11"/>
        <v>0</v>
      </c>
      <c r="J157" s="10">
        <f t="shared" si="9"/>
        <v>0</v>
      </c>
      <c r="K157" s="113">
        <f t="shared" si="10"/>
        <v>444675.60362173035</v>
      </c>
    </row>
    <row r="158" spans="1:11" x14ac:dyDescent="0.25">
      <c r="A158" s="49">
        <f>'A) Base RI'!A157</f>
        <v>5650</v>
      </c>
      <c r="B158" s="293" t="str">
        <f>'A) Base RI'!B157</f>
        <v>Vaux-sur-Morges</v>
      </c>
      <c r="C158" s="10">
        <f>'A) Base RI'!V157</f>
        <v>196</v>
      </c>
      <c r="D158" s="10">
        <f t="shared" si="8"/>
        <v>196</v>
      </c>
      <c r="E158" s="422">
        <f t="shared" si="11"/>
        <v>0</v>
      </c>
      <c r="F158" s="10">
        <f t="shared" si="11"/>
        <v>0</v>
      </c>
      <c r="G158" s="422">
        <f t="shared" si="11"/>
        <v>0</v>
      </c>
      <c r="H158" s="41">
        <f t="shared" si="11"/>
        <v>0</v>
      </c>
      <c r="I158" s="10">
        <f t="shared" si="11"/>
        <v>0</v>
      </c>
      <c r="J158" s="10">
        <f t="shared" si="9"/>
        <v>0</v>
      </c>
      <c r="K158" s="113">
        <f t="shared" si="10"/>
        <v>24623.239436619719</v>
      </c>
    </row>
    <row r="159" spans="1:11" x14ac:dyDescent="0.25">
      <c r="A159" s="49">
        <f>'A) Base RI'!A158</f>
        <v>5651</v>
      </c>
      <c r="B159" s="293" t="str">
        <f>'A) Base RI'!B158</f>
        <v>Villars-Sainte-Croix</v>
      </c>
      <c r="C159" s="10">
        <f>'A) Base RI'!V158</f>
        <v>973</v>
      </c>
      <c r="D159" s="10">
        <f t="shared" si="8"/>
        <v>973</v>
      </c>
      <c r="E159" s="422">
        <f t="shared" si="11"/>
        <v>0</v>
      </c>
      <c r="F159" s="10">
        <f t="shared" si="11"/>
        <v>0</v>
      </c>
      <c r="G159" s="422">
        <f t="shared" si="11"/>
        <v>0</v>
      </c>
      <c r="H159" s="41">
        <f t="shared" si="11"/>
        <v>0</v>
      </c>
      <c r="I159" s="10">
        <f t="shared" si="11"/>
        <v>0</v>
      </c>
      <c r="J159" s="10">
        <f t="shared" si="9"/>
        <v>0</v>
      </c>
      <c r="K159" s="113">
        <f t="shared" si="10"/>
        <v>122236.79577464788</v>
      </c>
    </row>
    <row r="160" spans="1:11" x14ac:dyDescent="0.25">
      <c r="A160" s="49">
        <f>'A) Base RI'!A159</f>
        <v>5652</v>
      </c>
      <c r="B160" s="293" t="str">
        <f>'A) Base RI'!B159</f>
        <v>Villars-sous-Yens</v>
      </c>
      <c r="C160" s="10">
        <f>'A) Base RI'!V159</f>
        <v>603</v>
      </c>
      <c r="D160" s="10">
        <f t="shared" si="8"/>
        <v>603</v>
      </c>
      <c r="E160" s="422">
        <f t="shared" si="11"/>
        <v>0</v>
      </c>
      <c r="F160" s="10">
        <f t="shared" si="11"/>
        <v>0</v>
      </c>
      <c r="G160" s="422">
        <f t="shared" si="11"/>
        <v>0</v>
      </c>
      <c r="H160" s="41">
        <f t="shared" si="11"/>
        <v>0</v>
      </c>
      <c r="I160" s="10">
        <f t="shared" si="11"/>
        <v>0</v>
      </c>
      <c r="J160" s="10">
        <f t="shared" si="9"/>
        <v>0</v>
      </c>
      <c r="K160" s="113">
        <f t="shared" si="10"/>
        <v>75754.149899396376</v>
      </c>
    </row>
    <row r="161" spans="1:11" x14ac:dyDescent="0.25">
      <c r="A161" s="49">
        <f>'A) Base RI'!A160</f>
        <v>5653</v>
      </c>
      <c r="B161" s="293" t="str">
        <f>'A) Base RI'!B160</f>
        <v>Vufflens-le-Château</v>
      </c>
      <c r="C161" s="10">
        <f>'A) Base RI'!V160</f>
        <v>883</v>
      </c>
      <c r="D161" s="10">
        <f t="shared" si="8"/>
        <v>883</v>
      </c>
      <c r="E161" s="422">
        <f t="shared" si="11"/>
        <v>0</v>
      </c>
      <c r="F161" s="10">
        <f t="shared" si="11"/>
        <v>0</v>
      </c>
      <c r="G161" s="422">
        <f t="shared" si="11"/>
        <v>0</v>
      </c>
      <c r="H161" s="41">
        <f t="shared" si="11"/>
        <v>0</v>
      </c>
      <c r="I161" s="10">
        <f t="shared" si="11"/>
        <v>0</v>
      </c>
      <c r="J161" s="10">
        <f t="shared" si="9"/>
        <v>0</v>
      </c>
      <c r="K161" s="113">
        <f t="shared" si="10"/>
        <v>110930.20623742454</v>
      </c>
    </row>
    <row r="162" spans="1:11" x14ac:dyDescent="0.25">
      <c r="A162" s="49">
        <f>'A) Base RI'!A161</f>
        <v>5654</v>
      </c>
      <c r="B162" s="293" t="str">
        <f>'A) Base RI'!B161</f>
        <v>Vullierens</v>
      </c>
      <c r="C162" s="10">
        <f>'A) Base RI'!V161</f>
        <v>513</v>
      </c>
      <c r="D162" s="10">
        <f t="shared" si="8"/>
        <v>513</v>
      </c>
      <c r="E162" s="422">
        <f t="shared" si="11"/>
        <v>0</v>
      </c>
      <c r="F162" s="10">
        <f t="shared" si="11"/>
        <v>0</v>
      </c>
      <c r="G162" s="422">
        <f t="shared" si="11"/>
        <v>0</v>
      </c>
      <c r="H162" s="41">
        <f t="shared" si="11"/>
        <v>0</v>
      </c>
      <c r="I162" s="10">
        <f t="shared" si="11"/>
        <v>0</v>
      </c>
      <c r="J162" s="10">
        <f t="shared" si="9"/>
        <v>0</v>
      </c>
      <c r="K162" s="113">
        <f t="shared" si="10"/>
        <v>64447.560362173033</v>
      </c>
    </row>
    <row r="163" spans="1:11" x14ac:dyDescent="0.25">
      <c r="A163" s="49">
        <f>'A) Base RI'!A162</f>
        <v>5655</v>
      </c>
      <c r="B163" s="293" t="str">
        <f>'A) Base RI'!B162</f>
        <v>Yens</v>
      </c>
      <c r="C163" s="10">
        <f>'A) Base RI'!V162</f>
        <v>1477</v>
      </c>
      <c r="D163" s="10">
        <f t="shared" si="8"/>
        <v>1000</v>
      </c>
      <c r="E163" s="422">
        <f t="shared" si="11"/>
        <v>477</v>
      </c>
      <c r="F163" s="10">
        <f t="shared" si="11"/>
        <v>0</v>
      </c>
      <c r="G163" s="422">
        <f t="shared" si="11"/>
        <v>0</v>
      </c>
      <c r="H163" s="41">
        <f t="shared" si="11"/>
        <v>0</v>
      </c>
      <c r="I163" s="10">
        <f t="shared" si="11"/>
        <v>0</v>
      </c>
      <c r="J163" s="10">
        <f t="shared" si="9"/>
        <v>0</v>
      </c>
      <c r="K163" s="113">
        <f t="shared" si="10"/>
        <v>293418.56136820919</v>
      </c>
    </row>
    <row r="164" spans="1:11" x14ac:dyDescent="0.25">
      <c r="A164" s="49">
        <f>'A) Base RI'!A163</f>
        <v>5661</v>
      </c>
      <c r="B164" s="293" t="str">
        <f>'A) Base RI'!B163</f>
        <v>Boulens</v>
      </c>
      <c r="C164" s="10">
        <f>'A) Base RI'!V163</f>
        <v>361</v>
      </c>
      <c r="D164" s="10">
        <f t="shared" si="8"/>
        <v>361</v>
      </c>
      <c r="E164" s="422">
        <f t="shared" si="11"/>
        <v>0</v>
      </c>
      <c r="F164" s="10">
        <f t="shared" si="11"/>
        <v>0</v>
      </c>
      <c r="G164" s="422">
        <f t="shared" si="11"/>
        <v>0</v>
      </c>
      <c r="H164" s="41">
        <f t="shared" si="11"/>
        <v>0</v>
      </c>
      <c r="I164" s="10">
        <f t="shared" si="11"/>
        <v>0</v>
      </c>
      <c r="J164" s="10">
        <f t="shared" si="9"/>
        <v>0</v>
      </c>
      <c r="K164" s="113">
        <f t="shared" si="10"/>
        <v>45351.986921529169</v>
      </c>
    </row>
    <row r="165" spans="1:11" x14ac:dyDescent="0.25">
      <c r="A165" s="49">
        <f>'A) Base RI'!A164</f>
        <v>5663</v>
      </c>
      <c r="B165" s="293" t="str">
        <f>'A) Base RI'!B164</f>
        <v>Bussy-sur-Moudon</v>
      </c>
      <c r="C165" s="10">
        <f>'A) Base RI'!V164</f>
        <v>218</v>
      </c>
      <c r="D165" s="10">
        <f t="shared" si="8"/>
        <v>218</v>
      </c>
      <c r="E165" s="422">
        <f t="shared" si="11"/>
        <v>0</v>
      </c>
      <c r="F165" s="10">
        <f t="shared" si="11"/>
        <v>0</v>
      </c>
      <c r="G165" s="422">
        <f t="shared" si="11"/>
        <v>0</v>
      </c>
      <c r="H165" s="41">
        <f t="shared" si="11"/>
        <v>0</v>
      </c>
      <c r="I165" s="10">
        <f t="shared" si="11"/>
        <v>0</v>
      </c>
      <c r="J165" s="10">
        <f t="shared" si="9"/>
        <v>0</v>
      </c>
      <c r="K165" s="113">
        <f t="shared" si="10"/>
        <v>27387.072434607646</v>
      </c>
    </row>
    <row r="166" spans="1:11" x14ac:dyDescent="0.25">
      <c r="A166" s="49">
        <f>'A) Base RI'!A165</f>
        <v>5665</v>
      </c>
      <c r="B166" s="293" t="str">
        <f>'A) Base RI'!B165</f>
        <v>Chavannes-sur-Moudon</v>
      </c>
      <c r="C166" s="10">
        <f>'A) Base RI'!V165</f>
        <v>210</v>
      </c>
      <c r="D166" s="10">
        <f t="shared" si="8"/>
        <v>210</v>
      </c>
      <c r="E166" s="422">
        <f t="shared" si="11"/>
        <v>0</v>
      </c>
      <c r="F166" s="10">
        <f t="shared" si="11"/>
        <v>0</v>
      </c>
      <c r="G166" s="422">
        <f t="shared" si="11"/>
        <v>0</v>
      </c>
      <c r="H166" s="41">
        <f t="shared" si="11"/>
        <v>0</v>
      </c>
      <c r="I166" s="10">
        <f t="shared" si="11"/>
        <v>0</v>
      </c>
      <c r="J166" s="10">
        <f t="shared" si="9"/>
        <v>0</v>
      </c>
      <c r="K166" s="113">
        <f t="shared" si="10"/>
        <v>26382.042253521126</v>
      </c>
    </row>
    <row r="167" spans="1:11" x14ac:dyDescent="0.25">
      <c r="A167" s="49">
        <f>'A) Base RI'!A166</f>
        <v>5669</v>
      </c>
      <c r="B167" s="293" t="str">
        <f>'A) Base RI'!B166</f>
        <v>Curtilles</v>
      </c>
      <c r="C167" s="10">
        <f>'A) Base RI'!V166</f>
        <v>310</v>
      </c>
      <c r="D167" s="10">
        <f t="shared" si="8"/>
        <v>310</v>
      </c>
      <c r="E167" s="422">
        <f t="shared" si="11"/>
        <v>0</v>
      </c>
      <c r="F167" s="10">
        <f t="shared" si="11"/>
        <v>0</v>
      </c>
      <c r="G167" s="422">
        <f t="shared" si="11"/>
        <v>0</v>
      </c>
      <c r="H167" s="41">
        <f t="shared" si="11"/>
        <v>0</v>
      </c>
      <c r="I167" s="10">
        <f t="shared" si="11"/>
        <v>0</v>
      </c>
      <c r="J167" s="10">
        <f t="shared" si="9"/>
        <v>0</v>
      </c>
      <c r="K167" s="113">
        <f t="shared" si="10"/>
        <v>38944.919517102615</v>
      </c>
    </row>
    <row r="168" spans="1:11" x14ac:dyDescent="0.25">
      <c r="A168" s="49">
        <f>'A) Base RI'!A167</f>
        <v>5671</v>
      </c>
      <c r="B168" s="293" t="str">
        <f>'A) Base RI'!B167</f>
        <v>Dompierre</v>
      </c>
      <c r="C168" s="10">
        <f>'A) Base RI'!V167</f>
        <v>232</v>
      </c>
      <c r="D168" s="10">
        <f t="shared" si="8"/>
        <v>232</v>
      </c>
      <c r="E168" s="422">
        <f t="shared" si="11"/>
        <v>0</v>
      </c>
      <c r="F168" s="10">
        <f t="shared" si="11"/>
        <v>0</v>
      </c>
      <c r="G168" s="422">
        <f t="shared" si="11"/>
        <v>0</v>
      </c>
      <c r="H168" s="41">
        <f t="shared" si="11"/>
        <v>0</v>
      </c>
      <c r="I168" s="10">
        <f t="shared" si="11"/>
        <v>0</v>
      </c>
      <c r="J168" s="10">
        <f t="shared" si="9"/>
        <v>0</v>
      </c>
      <c r="K168" s="113">
        <f t="shared" si="10"/>
        <v>29145.875251509053</v>
      </c>
    </row>
    <row r="169" spans="1:11" x14ac:dyDescent="0.25">
      <c r="A169" s="49">
        <f>'A) Base RI'!A168</f>
        <v>5673</v>
      </c>
      <c r="B169" s="293" t="str">
        <f>'A) Base RI'!B168</f>
        <v>Hermenches</v>
      </c>
      <c r="C169" s="10">
        <f>'A) Base RI'!V168</f>
        <v>367</v>
      </c>
      <c r="D169" s="10">
        <f t="shared" si="8"/>
        <v>367</v>
      </c>
      <c r="E169" s="422">
        <f t="shared" si="11"/>
        <v>0</v>
      </c>
      <c r="F169" s="10">
        <f t="shared" si="11"/>
        <v>0</v>
      </c>
      <c r="G169" s="422">
        <f t="shared" si="11"/>
        <v>0</v>
      </c>
      <c r="H169" s="41">
        <f t="shared" si="11"/>
        <v>0</v>
      </c>
      <c r="I169" s="10">
        <f t="shared" si="11"/>
        <v>0</v>
      </c>
      <c r="J169" s="10">
        <f t="shared" si="9"/>
        <v>0</v>
      </c>
      <c r="K169" s="113">
        <f t="shared" si="10"/>
        <v>46105.759557344063</v>
      </c>
    </row>
    <row r="170" spans="1:11" x14ac:dyDescent="0.25">
      <c r="A170" s="49">
        <f>'A) Base RI'!A169</f>
        <v>5674</v>
      </c>
      <c r="B170" s="293" t="str">
        <f>'A) Base RI'!B169</f>
        <v>Lovatens</v>
      </c>
      <c r="C170" s="10">
        <f>'A) Base RI'!V169</f>
        <v>136</v>
      </c>
      <c r="D170" s="10">
        <f t="shared" ref="D170:D233" si="12">IF($C170&gt;D$4,IF($C170&lt;D$5,$C170-D$4,D$5-D$4),0)</f>
        <v>136</v>
      </c>
      <c r="E170" s="422">
        <f t="shared" si="11"/>
        <v>0</v>
      </c>
      <c r="F170" s="10">
        <f t="shared" si="11"/>
        <v>0</v>
      </c>
      <c r="G170" s="422">
        <f t="shared" si="11"/>
        <v>0</v>
      </c>
      <c r="H170" s="41">
        <f t="shared" si="11"/>
        <v>0</v>
      </c>
      <c r="I170" s="10">
        <f t="shared" si="11"/>
        <v>0</v>
      </c>
      <c r="J170" s="10">
        <f t="shared" si="9"/>
        <v>0</v>
      </c>
      <c r="K170" s="113">
        <f t="shared" si="10"/>
        <v>17085.513078470824</v>
      </c>
    </row>
    <row r="171" spans="1:11" x14ac:dyDescent="0.25">
      <c r="A171" s="49">
        <f>'A) Base RI'!A170</f>
        <v>5675</v>
      </c>
      <c r="B171" s="293" t="str">
        <f>'A) Base RI'!B170</f>
        <v>Lucens</v>
      </c>
      <c r="C171" s="10">
        <f>'A) Base RI'!V170</f>
        <v>4220</v>
      </c>
      <c r="D171" s="10">
        <f t="shared" si="12"/>
        <v>1000</v>
      </c>
      <c r="E171" s="422">
        <f t="shared" si="11"/>
        <v>2000</v>
      </c>
      <c r="F171" s="10">
        <f t="shared" si="11"/>
        <v>1220</v>
      </c>
      <c r="G171" s="422">
        <f t="shared" si="11"/>
        <v>0</v>
      </c>
      <c r="H171" s="41">
        <f t="shared" si="11"/>
        <v>0</v>
      </c>
      <c r="I171" s="10">
        <f t="shared" si="11"/>
        <v>0</v>
      </c>
      <c r="J171" s="10">
        <f t="shared" si="9"/>
        <v>0</v>
      </c>
      <c r="K171" s="113">
        <f t="shared" si="10"/>
        <v>1442218.3098591547</v>
      </c>
    </row>
    <row r="172" spans="1:11" x14ac:dyDescent="0.25">
      <c r="A172" s="49">
        <f>'A) Base RI'!A171</f>
        <v>5678</v>
      </c>
      <c r="B172" s="293" t="str">
        <f>'A) Base RI'!B171</f>
        <v>Moudon</v>
      </c>
      <c r="C172" s="10">
        <f>'A) Base RI'!V171</f>
        <v>6080</v>
      </c>
      <c r="D172" s="10">
        <f t="shared" si="12"/>
        <v>1000</v>
      </c>
      <c r="E172" s="422">
        <f t="shared" si="11"/>
        <v>2000</v>
      </c>
      <c r="F172" s="10">
        <f t="shared" si="11"/>
        <v>2000</v>
      </c>
      <c r="G172" s="422">
        <f t="shared" si="11"/>
        <v>1080</v>
      </c>
      <c r="H172" s="41">
        <f t="shared" si="11"/>
        <v>0</v>
      </c>
      <c r="I172" s="10">
        <f t="shared" si="11"/>
        <v>0</v>
      </c>
      <c r="J172" s="10">
        <f t="shared" si="9"/>
        <v>0</v>
      </c>
      <c r="K172" s="113">
        <f t="shared" si="10"/>
        <v>2485439.6378269615</v>
      </c>
    </row>
    <row r="173" spans="1:11" x14ac:dyDescent="0.25">
      <c r="A173" s="49">
        <f>'A) Base RI'!A172</f>
        <v>5680</v>
      </c>
      <c r="B173" s="293" t="str">
        <f>'A) Base RI'!B172</f>
        <v>Ogens</v>
      </c>
      <c r="C173" s="10">
        <f>'A) Base RI'!V172</f>
        <v>296</v>
      </c>
      <c r="D173" s="10">
        <f t="shared" si="12"/>
        <v>296</v>
      </c>
      <c r="E173" s="422">
        <f t="shared" si="11"/>
        <v>0</v>
      </c>
      <c r="F173" s="10">
        <f t="shared" si="11"/>
        <v>0</v>
      </c>
      <c r="G173" s="422">
        <f t="shared" si="11"/>
        <v>0</v>
      </c>
      <c r="H173" s="41">
        <f t="shared" si="11"/>
        <v>0</v>
      </c>
      <c r="I173" s="10">
        <f t="shared" si="11"/>
        <v>0</v>
      </c>
      <c r="J173" s="10">
        <f t="shared" si="9"/>
        <v>0</v>
      </c>
      <c r="K173" s="113">
        <f t="shared" si="10"/>
        <v>37186.116700201208</v>
      </c>
    </row>
    <row r="174" spans="1:11" x14ac:dyDescent="0.25">
      <c r="A174" s="49">
        <f>'A) Base RI'!A173</f>
        <v>5683</v>
      </c>
      <c r="B174" s="293" t="str">
        <f>'A) Base RI'!B173</f>
        <v>Prévonloup</v>
      </c>
      <c r="C174" s="10">
        <f>'A) Base RI'!V173</f>
        <v>194</v>
      </c>
      <c r="D174" s="10">
        <f t="shared" si="12"/>
        <v>194</v>
      </c>
      <c r="E174" s="422">
        <f t="shared" si="11"/>
        <v>0</v>
      </c>
      <c r="F174" s="10">
        <f t="shared" si="11"/>
        <v>0</v>
      </c>
      <c r="G174" s="422">
        <f t="shared" si="11"/>
        <v>0</v>
      </c>
      <c r="H174" s="41">
        <f t="shared" si="11"/>
        <v>0</v>
      </c>
      <c r="I174" s="10">
        <f t="shared" si="11"/>
        <v>0</v>
      </c>
      <c r="J174" s="10">
        <f t="shared" si="9"/>
        <v>0</v>
      </c>
      <c r="K174" s="113">
        <f t="shared" si="10"/>
        <v>24371.981891348089</v>
      </c>
    </row>
    <row r="175" spans="1:11" x14ac:dyDescent="0.25">
      <c r="A175" s="49">
        <f>'A) Base RI'!A174</f>
        <v>5684</v>
      </c>
      <c r="B175" s="293" t="str">
        <f>'A) Base RI'!B174</f>
        <v>Rossenges</v>
      </c>
      <c r="C175" s="10">
        <f>'A) Base RI'!V174</f>
        <v>84</v>
      </c>
      <c r="D175" s="10">
        <f t="shared" si="12"/>
        <v>84</v>
      </c>
      <c r="E175" s="422">
        <f t="shared" si="11"/>
        <v>0</v>
      </c>
      <c r="F175" s="10">
        <f t="shared" si="11"/>
        <v>0</v>
      </c>
      <c r="G175" s="422">
        <f t="shared" si="11"/>
        <v>0</v>
      </c>
      <c r="H175" s="41">
        <f t="shared" si="11"/>
        <v>0</v>
      </c>
      <c r="I175" s="10">
        <f t="shared" si="11"/>
        <v>0</v>
      </c>
      <c r="J175" s="10">
        <f t="shared" si="9"/>
        <v>0</v>
      </c>
      <c r="K175" s="113">
        <f t="shared" si="10"/>
        <v>10552.816901408451</v>
      </c>
    </row>
    <row r="176" spans="1:11" x14ac:dyDescent="0.25">
      <c r="A176" s="49">
        <f>'A) Base RI'!A175</f>
        <v>5688</v>
      </c>
      <c r="B176" s="293" t="str">
        <f>'A) Base RI'!B175</f>
        <v>Syens</v>
      </c>
      <c r="C176" s="10">
        <f>'A) Base RI'!V175</f>
        <v>155</v>
      </c>
      <c r="D176" s="10">
        <f t="shared" si="12"/>
        <v>155</v>
      </c>
      <c r="E176" s="422">
        <f t="shared" si="11"/>
        <v>0</v>
      </c>
      <c r="F176" s="10">
        <f t="shared" si="11"/>
        <v>0</v>
      </c>
      <c r="G176" s="422">
        <f t="shared" si="11"/>
        <v>0</v>
      </c>
      <c r="H176" s="41">
        <f t="shared" si="11"/>
        <v>0</v>
      </c>
      <c r="I176" s="10">
        <f t="shared" si="11"/>
        <v>0</v>
      </c>
      <c r="J176" s="10">
        <f t="shared" si="9"/>
        <v>0</v>
      </c>
      <c r="K176" s="113">
        <f t="shared" si="10"/>
        <v>19472.459758551307</v>
      </c>
    </row>
    <row r="177" spans="1:11" x14ac:dyDescent="0.25">
      <c r="A177" s="49">
        <f>'A) Base RI'!A176</f>
        <v>5690</v>
      </c>
      <c r="B177" s="293" t="str">
        <f>'A) Base RI'!B176</f>
        <v>Villars-le-Comte</v>
      </c>
      <c r="C177" s="10">
        <f>'A) Base RI'!V176</f>
        <v>122</v>
      </c>
      <c r="D177" s="10">
        <f t="shared" si="12"/>
        <v>122</v>
      </c>
      <c r="E177" s="422">
        <f t="shared" si="11"/>
        <v>0</v>
      </c>
      <c r="F177" s="10">
        <f t="shared" si="11"/>
        <v>0</v>
      </c>
      <c r="G177" s="422">
        <f t="shared" si="11"/>
        <v>0</v>
      </c>
      <c r="H177" s="41">
        <f t="shared" si="11"/>
        <v>0</v>
      </c>
      <c r="I177" s="10">
        <f t="shared" si="11"/>
        <v>0</v>
      </c>
      <c r="J177" s="10">
        <f t="shared" si="9"/>
        <v>0</v>
      </c>
      <c r="K177" s="113">
        <f t="shared" si="10"/>
        <v>15326.710261569417</v>
      </c>
    </row>
    <row r="178" spans="1:11" x14ac:dyDescent="0.25">
      <c r="A178" s="49">
        <f>'A) Base RI'!A177</f>
        <v>5692</v>
      </c>
      <c r="B178" s="293" t="str">
        <f>'A) Base RI'!B177</f>
        <v>Vucherens</v>
      </c>
      <c r="C178" s="10">
        <f>'A) Base RI'!V177</f>
        <v>580</v>
      </c>
      <c r="D178" s="10">
        <f t="shared" si="12"/>
        <v>580</v>
      </c>
      <c r="E178" s="422">
        <f t="shared" si="11"/>
        <v>0</v>
      </c>
      <c r="F178" s="10">
        <f t="shared" si="11"/>
        <v>0</v>
      </c>
      <c r="G178" s="422">
        <f t="shared" si="11"/>
        <v>0</v>
      </c>
      <c r="H178" s="41">
        <f t="shared" si="11"/>
        <v>0</v>
      </c>
      <c r="I178" s="10">
        <f t="shared" si="11"/>
        <v>0</v>
      </c>
      <c r="J178" s="10">
        <f t="shared" si="9"/>
        <v>0</v>
      </c>
      <c r="K178" s="113">
        <f t="shared" si="10"/>
        <v>72864.688128772628</v>
      </c>
    </row>
    <row r="179" spans="1:11" x14ac:dyDescent="0.25">
      <c r="A179" s="49">
        <f>'A) Base RI'!A178</f>
        <v>5693</v>
      </c>
      <c r="B179" s="293" t="str">
        <f>'A) Base RI'!B178</f>
        <v>Montanaire</v>
      </c>
      <c r="C179" s="10">
        <f>'A) Base RI'!V178</f>
        <v>2717</v>
      </c>
      <c r="D179" s="10">
        <f t="shared" si="12"/>
        <v>1000</v>
      </c>
      <c r="E179" s="422">
        <f t="shared" si="11"/>
        <v>1717</v>
      </c>
      <c r="F179" s="10">
        <f t="shared" si="11"/>
        <v>0</v>
      </c>
      <c r="G179" s="422">
        <f t="shared" si="11"/>
        <v>0</v>
      </c>
      <c r="H179" s="41">
        <f t="shared" si="11"/>
        <v>0</v>
      </c>
      <c r="I179" s="10">
        <f t="shared" si="11"/>
        <v>0</v>
      </c>
      <c r="J179" s="10">
        <f t="shared" si="9"/>
        <v>0</v>
      </c>
      <c r="K179" s="113">
        <f t="shared" si="10"/>
        <v>729601.65995975852</v>
      </c>
    </row>
    <row r="180" spans="1:11" x14ac:dyDescent="0.25">
      <c r="A180" s="49">
        <f>'A) Base RI'!A179</f>
        <v>5701</v>
      </c>
      <c r="B180" s="293" t="str">
        <f>'A) Base RI'!B179</f>
        <v>Arnex-sur-Nyon</v>
      </c>
      <c r="C180" s="10">
        <f>'A) Base RI'!V179</f>
        <v>229</v>
      </c>
      <c r="D180" s="10">
        <f t="shared" si="12"/>
        <v>229</v>
      </c>
      <c r="E180" s="422">
        <f t="shared" si="11"/>
        <v>0</v>
      </c>
      <c r="F180" s="10">
        <f t="shared" si="11"/>
        <v>0</v>
      </c>
      <c r="G180" s="422">
        <f t="shared" si="11"/>
        <v>0</v>
      </c>
      <c r="H180" s="41">
        <f t="shared" si="11"/>
        <v>0</v>
      </c>
      <c r="I180" s="10">
        <f t="shared" si="11"/>
        <v>0</v>
      </c>
      <c r="J180" s="10">
        <f t="shared" si="9"/>
        <v>0</v>
      </c>
      <c r="K180" s="113">
        <f t="shared" si="10"/>
        <v>28768.988933601609</v>
      </c>
    </row>
    <row r="181" spans="1:11" x14ac:dyDescent="0.25">
      <c r="A181" s="49">
        <f>'A) Base RI'!A180</f>
        <v>5702</v>
      </c>
      <c r="B181" s="293" t="str">
        <f>'A) Base RI'!B180</f>
        <v>Arzier-Le Muids</v>
      </c>
      <c r="C181" s="10">
        <f>'A) Base RI'!V180</f>
        <v>2801</v>
      </c>
      <c r="D181" s="10">
        <f t="shared" si="12"/>
        <v>1000</v>
      </c>
      <c r="E181" s="422">
        <f t="shared" si="11"/>
        <v>1801</v>
      </c>
      <c r="F181" s="10">
        <f t="shared" si="11"/>
        <v>0</v>
      </c>
      <c r="G181" s="422">
        <f t="shared" si="11"/>
        <v>0</v>
      </c>
      <c r="H181" s="41">
        <f t="shared" si="11"/>
        <v>0</v>
      </c>
      <c r="I181" s="10">
        <f t="shared" si="11"/>
        <v>0</v>
      </c>
      <c r="J181" s="10">
        <f t="shared" si="9"/>
        <v>0</v>
      </c>
      <c r="K181" s="113">
        <f t="shared" si="10"/>
        <v>759149.54728370218</v>
      </c>
    </row>
    <row r="182" spans="1:11" x14ac:dyDescent="0.25">
      <c r="A182" s="49">
        <f>'A) Base RI'!A181</f>
        <v>5703</v>
      </c>
      <c r="B182" s="293" t="str">
        <f>'A) Base RI'!B181</f>
        <v>Bassins</v>
      </c>
      <c r="C182" s="10">
        <f>'A) Base RI'!V181</f>
        <v>1395</v>
      </c>
      <c r="D182" s="10">
        <f t="shared" si="12"/>
        <v>1000</v>
      </c>
      <c r="E182" s="422">
        <f t="shared" si="11"/>
        <v>395</v>
      </c>
      <c r="F182" s="10">
        <f t="shared" si="11"/>
        <v>0</v>
      </c>
      <c r="G182" s="422">
        <f t="shared" si="11"/>
        <v>0</v>
      </c>
      <c r="H182" s="41">
        <f t="shared" si="11"/>
        <v>0</v>
      </c>
      <c r="I182" s="10">
        <f t="shared" si="11"/>
        <v>0</v>
      </c>
      <c r="J182" s="10">
        <f t="shared" si="9"/>
        <v>0</v>
      </c>
      <c r="K182" s="113">
        <f t="shared" si="10"/>
        <v>264574.19517102616</v>
      </c>
    </row>
    <row r="183" spans="1:11" x14ac:dyDescent="0.25">
      <c r="A183" s="49">
        <f>'A) Base RI'!A182</f>
        <v>5704</v>
      </c>
      <c r="B183" s="293" t="str">
        <f>'A) Base RI'!B182</f>
        <v>Begnins</v>
      </c>
      <c r="C183" s="10">
        <f>'A) Base RI'!V182</f>
        <v>1931</v>
      </c>
      <c r="D183" s="10">
        <f t="shared" si="12"/>
        <v>1000</v>
      </c>
      <c r="E183" s="422">
        <f t="shared" si="11"/>
        <v>931</v>
      </c>
      <c r="F183" s="10">
        <f t="shared" si="11"/>
        <v>0</v>
      </c>
      <c r="G183" s="422">
        <f t="shared" si="11"/>
        <v>0</v>
      </c>
      <c r="H183" s="41">
        <f t="shared" si="11"/>
        <v>0</v>
      </c>
      <c r="I183" s="10">
        <f t="shared" si="11"/>
        <v>0</v>
      </c>
      <c r="J183" s="10">
        <f t="shared" si="9"/>
        <v>0</v>
      </c>
      <c r="K183" s="113">
        <f t="shared" si="10"/>
        <v>453117.85714285716</v>
      </c>
    </row>
    <row r="184" spans="1:11" x14ac:dyDescent="0.25">
      <c r="A184" s="49">
        <f>'A) Base RI'!A183</f>
        <v>5705</v>
      </c>
      <c r="B184" s="293" t="str">
        <f>'A) Base RI'!B183</f>
        <v>Bogis-Bossey</v>
      </c>
      <c r="C184" s="10">
        <f>'A) Base RI'!V183</f>
        <v>825</v>
      </c>
      <c r="D184" s="10">
        <f t="shared" si="12"/>
        <v>825</v>
      </c>
      <c r="E184" s="422">
        <f t="shared" si="11"/>
        <v>0</v>
      </c>
      <c r="F184" s="10">
        <f t="shared" si="11"/>
        <v>0</v>
      </c>
      <c r="G184" s="422">
        <f t="shared" si="11"/>
        <v>0</v>
      </c>
      <c r="H184" s="41">
        <f t="shared" si="11"/>
        <v>0</v>
      </c>
      <c r="I184" s="10">
        <f t="shared" si="11"/>
        <v>0</v>
      </c>
      <c r="J184" s="10">
        <f t="shared" si="9"/>
        <v>0</v>
      </c>
      <c r="K184" s="113">
        <f t="shared" si="10"/>
        <v>103643.73742454727</v>
      </c>
    </row>
    <row r="185" spans="1:11" x14ac:dyDescent="0.25">
      <c r="A185" s="49">
        <f>'A) Base RI'!A184</f>
        <v>5706</v>
      </c>
      <c r="B185" s="293" t="str">
        <f>'A) Base RI'!B184</f>
        <v>Borex</v>
      </c>
      <c r="C185" s="10">
        <f>'A) Base RI'!V184</f>
        <v>1132</v>
      </c>
      <c r="D185" s="10">
        <f t="shared" si="12"/>
        <v>1000</v>
      </c>
      <c r="E185" s="422">
        <f t="shared" si="11"/>
        <v>132</v>
      </c>
      <c r="F185" s="10">
        <f t="shared" si="11"/>
        <v>0</v>
      </c>
      <c r="G185" s="422">
        <f t="shared" si="11"/>
        <v>0</v>
      </c>
      <c r="H185" s="41">
        <f t="shared" si="11"/>
        <v>0</v>
      </c>
      <c r="I185" s="10">
        <f t="shared" si="11"/>
        <v>0</v>
      </c>
      <c r="J185" s="10">
        <f t="shared" si="9"/>
        <v>0</v>
      </c>
      <c r="K185" s="113">
        <f t="shared" si="10"/>
        <v>172061.16700201205</v>
      </c>
    </row>
    <row r="186" spans="1:11" x14ac:dyDescent="0.25">
      <c r="A186" s="49">
        <f>'A) Base RI'!A185</f>
        <v>5707</v>
      </c>
      <c r="B186" s="293" t="str">
        <f>'A) Base RI'!B185</f>
        <v>Chavannes-de-Bogis</v>
      </c>
      <c r="C186" s="10">
        <f>'A) Base RI'!V185</f>
        <v>1357</v>
      </c>
      <c r="D186" s="10">
        <f t="shared" si="12"/>
        <v>1000</v>
      </c>
      <c r="E186" s="422">
        <f t="shared" si="11"/>
        <v>357</v>
      </c>
      <c r="F186" s="10">
        <f t="shared" si="11"/>
        <v>0</v>
      </c>
      <c r="G186" s="422">
        <f t="shared" si="11"/>
        <v>0</v>
      </c>
      <c r="H186" s="41">
        <f t="shared" si="11"/>
        <v>0</v>
      </c>
      <c r="I186" s="10">
        <f t="shared" si="11"/>
        <v>0</v>
      </c>
      <c r="J186" s="10">
        <f t="shared" si="9"/>
        <v>0</v>
      </c>
      <c r="K186" s="113">
        <f t="shared" si="10"/>
        <v>251207.29376257543</v>
      </c>
    </row>
    <row r="187" spans="1:11" x14ac:dyDescent="0.25">
      <c r="A187" s="49">
        <f>'A) Base RI'!A186</f>
        <v>5708</v>
      </c>
      <c r="B187" s="293" t="str">
        <f>'A) Base RI'!B186</f>
        <v>Chavannes-des-Bois</v>
      </c>
      <c r="C187" s="10">
        <f>'A) Base RI'!V186</f>
        <v>960</v>
      </c>
      <c r="D187" s="10">
        <f t="shared" si="12"/>
        <v>960</v>
      </c>
      <c r="E187" s="422">
        <f t="shared" si="11"/>
        <v>0</v>
      </c>
      <c r="F187" s="10">
        <f t="shared" si="11"/>
        <v>0</v>
      </c>
      <c r="G187" s="422">
        <f t="shared" si="11"/>
        <v>0</v>
      </c>
      <c r="H187" s="41">
        <f t="shared" si="11"/>
        <v>0</v>
      </c>
      <c r="I187" s="10">
        <f t="shared" si="11"/>
        <v>0</v>
      </c>
      <c r="J187" s="10">
        <f t="shared" si="9"/>
        <v>0</v>
      </c>
      <c r="K187" s="113">
        <f t="shared" si="10"/>
        <v>120603.62173038229</v>
      </c>
    </row>
    <row r="188" spans="1:11" x14ac:dyDescent="0.25">
      <c r="A188" s="49">
        <f>'A) Base RI'!A187</f>
        <v>5709</v>
      </c>
      <c r="B188" s="293" t="str">
        <f>'A) Base RI'!B187</f>
        <v>Chéserex</v>
      </c>
      <c r="C188" s="10">
        <f>'A) Base RI'!V187</f>
        <v>1238</v>
      </c>
      <c r="D188" s="10">
        <f t="shared" si="12"/>
        <v>1000</v>
      </c>
      <c r="E188" s="422">
        <f t="shared" si="11"/>
        <v>238</v>
      </c>
      <c r="F188" s="10">
        <f t="shared" si="11"/>
        <v>0</v>
      </c>
      <c r="G188" s="422">
        <f t="shared" si="11"/>
        <v>0</v>
      </c>
      <c r="H188" s="41">
        <f t="shared" si="11"/>
        <v>0</v>
      </c>
      <c r="I188" s="10">
        <f t="shared" si="11"/>
        <v>0</v>
      </c>
      <c r="J188" s="10">
        <f t="shared" si="9"/>
        <v>0</v>
      </c>
      <c r="K188" s="113">
        <f t="shared" si="10"/>
        <v>209347.78672032192</v>
      </c>
    </row>
    <row r="189" spans="1:11" x14ac:dyDescent="0.25">
      <c r="A189" s="49">
        <f>'A) Base RI'!A188</f>
        <v>5710</v>
      </c>
      <c r="B189" s="293" t="str">
        <f>'A) Base RI'!B188</f>
        <v>Coinsins</v>
      </c>
      <c r="C189" s="10">
        <f>'A) Base RI'!V188</f>
        <v>494</v>
      </c>
      <c r="D189" s="10">
        <f t="shared" si="12"/>
        <v>494</v>
      </c>
      <c r="E189" s="422">
        <f t="shared" si="11"/>
        <v>0</v>
      </c>
      <c r="F189" s="10">
        <f t="shared" si="11"/>
        <v>0</v>
      </c>
      <c r="G189" s="422">
        <f t="shared" si="11"/>
        <v>0</v>
      </c>
      <c r="H189" s="41">
        <f t="shared" si="11"/>
        <v>0</v>
      </c>
      <c r="I189" s="10">
        <f t="shared" si="11"/>
        <v>0</v>
      </c>
      <c r="J189" s="10">
        <f t="shared" si="9"/>
        <v>0</v>
      </c>
      <c r="K189" s="113">
        <f t="shared" si="10"/>
        <v>62060.613682092553</v>
      </c>
    </row>
    <row r="190" spans="1:11" x14ac:dyDescent="0.25">
      <c r="A190" s="49">
        <f>'A) Base RI'!A189</f>
        <v>5711</v>
      </c>
      <c r="B190" s="293" t="str">
        <f>'A) Base RI'!B189</f>
        <v>Commugny</v>
      </c>
      <c r="C190" s="10">
        <f>'A) Base RI'!V189</f>
        <v>2935</v>
      </c>
      <c r="D190" s="10">
        <f t="shared" si="12"/>
        <v>1000</v>
      </c>
      <c r="E190" s="422">
        <f t="shared" si="11"/>
        <v>1935</v>
      </c>
      <c r="F190" s="10">
        <f t="shared" si="11"/>
        <v>0</v>
      </c>
      <c r="G190" s="422">
        <f t="shared" si="11"/>
        <v>0</v>
      </c>
      <c r="H190" s="41">
        <f t="shared" si="11"/>
        <v>0</v>
      </c>
      <c r="I190" s="10">
        <f t="shared" si="11"/>
        <v>0</v>
      </c>
      <c r="J190" s="10">
        <f t="shared" si="9"/>
        <v>0</v>
      </c>
      <c r="K190" s="113">
        <f t="shared" si="10"/>
        <v>806285.46277665987</v>
      </c>
    </row>
    <row r="191" spans="1:11" x14ac:dyDescent="0.25">
      <c r="A191" s="49">
        <f>'A) Base RI'!A190</f>
        <v>5712</v>
      </c>
      <c r="B191" s="293" t="str">
        <f>'A) Base RI'!B190</f>
        <v>Coppet</v>
      </c>
      <c r="C191" s="10">
        <f>'A) Base RI'!V190</f>
        <v>3211</v>
      </c>
      <c r="D191" s="10">
        <f t="shared" si="12"/>
        <v>1000</v>
      </c>
      <c r="E191" s="422">
        <f t="shared" si="11"/>
        <v>2000</v>
      </c>
      <c r="F191" s="10">
        <f t="shared" si="11"/>
        <v>211</v>
      </c>
      <c r="G191" s="422">
        <f t="shared" si="11"/>
        <v>0</v>
      </c>
      <c r="H191" s="41">
        <f t="shared" si="11"/>
        <v>0</v>
      </c>
      <c r="I191" s="10">
        <f t="shared" si="11"/>
        <v>0</v>
      </c>
      <c r="J191" s="10">
        <f t="shared" si="9"/>
        <v>0</v>
      </c>
      <c r="K191" s="113">
        <f t="shared" si="10"/>
        <v>935180.58350100601</v>
      </c>
    </row>
    <row r="192" spans="1:11" x14ac:dyDescent="0.25">
      <c r="A192" s="49">
        <f>'A) Base RI'!A191</f>
        <v>5713</v>
      </c>
      <c r="B192" s="293" t="str">
        <f>'A) Base RI'!B191</f>
        <v>Crans-près-Céligny</v>
      </c>
      <c r="C192" s="10">
        <f>'A) Base RI'!V191</f>
        <v>2286</v>
      </c>
      <c r="D192" s="10">
        <f t="shared" si="12"/>
        <v>1000</v>
      </c>
      <c r="E192" s="422">
        <f t="shared" si="11"/>
        <v>1286</v>
      </c>
      <c r="F192" s="10">
        <f t="shared" si="11"/>
        <v>0</v>
      </c>
      <c r="G192" s="422">
        <f t="shared" si="11"/>
        <v>0</v>
      </c>
      <c r="H192" s="41">
        <f t="shared" si="11"/>
        <v>0</v>
      </c>
      <c r="I192" s="10">
        <f t="shared" si="11"/>
        <v>0</v>
      </c>
      <c r="J192" s="10">
        <f t="shared" si="9"/>
        <v>0</v>
      </c>
      <c r="K192" s="113">
        <f t="shared" si="10"/>
        <v>577992.85714285716</v>
      </c>
    </row>
    <row r="193" spans="1:11" x14ac:dyDescent="0.25">
      <c r="A193" s="49">
        <f>'A) Base RI'!A192</f>
        <v>5714</v>
      </c>
      <c r="B193" s="293" t="str">
        <f>'A) Base RI'!B192</f>
        <v>Crassier</v>
      </c>
      <c r="C193" s="10">
        <f>'A) Base RI'!V192</f>
        <v>1169</v>
      </c>
      <c r="D193" s="10">
        <f t="shared" si="12"/>
        <v>1000</v>
      </c>
      <c r="E193" s="422">
        <f t="shared" si="11"/>
        <v>169</v>
      </c>
      <c r="F193" s="10">
        <f t="shared" si="11"/>
        <v>0</v>
      </c>
      <c r="G193" s="422">
        <f t="shared" si="11"/>
        <v>0</v>
      </c>
      <c r="H193" s="41">
        <f t="shared" si="11"/>
        <v>0</v>
      </c>
      <c r="I193" s="10">
        <f t="shared" si="11"/>
        <v>0</v>
      </c>
      <c r="J193" s="10">
        <f t="shared" si="9"/>
        <v>0</v>
      </c>
      <c r="K193" s="113">
        <f t="shared" si="10"/>
        <v>185076.3078470825</v>
      </c>
    </row>
    <row r="194" spans="1:11" x14ac:dyDescent="0.25">
      <c r="A194" s="49">
        <f>'A) Base RI'!A193</f>
        <v>5715</v>
      </c>
      <c r="B194" s="293" t="str">
        <f>'A) Base RI'!B193</f>
        <v>Duillier</v>
      </c>
      <c r="C194" s="10">
        <f>'A) Base RI'!V193</f>
        <v>1090</v>
      </c>
      <c r="D194" s="10">
        <f t="shared" si="12"/>
        <v>1000</v>
      </c>
      <c r="E194" s="422">
        <f t="shared" si="11"/>
        <v>90</v>
      </c>
      <c r="F194" s="10">
        <f t="shared" si="11"/>
        <v>0</v>
      </c>
      <c r="G194" s="422">
        <f t="shared" si="11"/>
        <v>0</v>
      </c>
      <c r="H194" s="41">
        <f t="shared" si="11"/>
        <v>0</v>
      </c>
      <c r="I194" s="10">
        <f t="shared" si="11"/>
        <v>0</v>
      </c>
      <c r="J194" s="10">
        <f t="shared" si="9"/>
        <v>0</v>
      </c>
      <c r="K194" s="113">
        <f t="shared" si="10"/>
        <v>157287.22334004022</v>
      </c>
    </row>
    <row r="195" spans="1:11" x14ac:dyDescent="0.25">
      <c r="A195" s="49">
        <f>'A) Base RI'!A194</f>
        <v>5716</v>
      </c>
      <c r="B195" s="293" t="str">
        <f>'A) Base RI'!B194</f>
        <v>Eysins</v>
      </c>
      <c r="C195" s="10">
        <f>'A) Base RI'!V194</f>
        <v>1737</v>
      </c>
      <c r="D195" s="10">
        <f t="shared" si="12"/>
        <v>1000</v>
      </c>
      <c r="E195" s="422">
        <f t="shared" si="11"/>
        <v>737</v>
      </c>
      <c r="F195" s="10">
        <f t="shared" si="11"/>
        <v>0</v>
      </c>
      <c r="G195" s="422">
        <f t="shared" si="11"/>
        <v>0</v>
      </c>
      <c r="H195" s="41">
        <f t="shared" si="11"/>
        <v>0</v>
      </c>
      <c r="I195" s="10">
        <f t="shared" si="11"/>
        <v>0</v>
      </c>
      <c r="J195" s="10">
        <f t="shared" si="9"/>
        <v>0</v>
      </c>
      <c r="K195" s="113">
        <f t="shared" si="10"/>
        <v>384876.3078470825</v>
      </c>
    </row>
    <row r="196" spans="1:11" x14ac:dyDescent="0.25">
      <c r="A196" s="49">
        <f>'A) Base RI'!A195</f>
        <v>5717</v>
      </c>
      <c r="B196" s="293" t="str">
        <f>'A) Base RI'!B195</f>
        <v>Founex</v>
      </c>
      <c r="C196" s="10">
        <f>'A) Base RI'!V195</f>
        <v>3772</v>
      </c>
      <c r="D196" s="10">
        <f t="shared" si="12"/>
        <v>1000</v>
      </c>
      <c r="E196" s="422">
        <f t="shared" si="11"/>
        <v>2000</v>
      </c>
      <c r="F196" s="10">
        <f t="shared" si="11"/>
        <v>772</v>
      </c>
      <c r="G196" s="422">
        <f t="shared" si="11"/>
        <v>0</v>
      </c>
      <c r="H196" s="41">
        <f t="shared" si="11"/>
        <v>0</v>
      </c>
      <c r="I196" s="10">
        <f t="shared" si="11"/>
        <v>0</v>
      </c>
      <c r="J196" s="10">
        <f t="shared" si="9"/>
        <v>0</v>
      </c>
      <c r="K196" s="113">
        <f t="shared" si="10"/>
        <v>1217091.5492957747</v>
      </c>
    </row>
    <row r="197" spans="1:11" x14ac:dyDescent="0.25">
      <c r="A197" s="49">
        <f>'A) Base RI'!A196</f>
        <v>5718</v>
      </c>
      <c r="B197" s="293" t="str">
        <f>'A) Base RI'!B196</f>
        <v>Genolier</v>
      </c>
      <c r="C197" s="10">
        <f>'A) Base RI'!V196</f>
        <v>2000</v>
      </c>
      <c r="D197" s="10">
        <f t="shared" si="12"/>
        <v>1000</v>
      </c>
      <c r="E197" s="422">
        <f t="shared" si="11"/>
        <v>1000</v>
      </c>
      <c r="F197" s="10">
        <f t="shared" si="11"/>
        <v>0</v>
      </c>
      <c r="G197" s="422">
        <f t="shared" si="11"/>
        <v>0</v>
      </c>
      <c r="H197" s="41">
        <f t="shared" si="11"/>
        <v>0</v>
      </c>
      <c r="I197" s="10">
        <f t="shared" si="11"/>
        <v>0</v>
      </c>
      <c r="J197" s="10">
        <f t="shared" si="9"/>
        <v>0</v>
      </c>
      <c r="K197" s="113">
        <f t="shared" si="10"/>
        <v>477389.33601609652</v>
      </c>
    </row>
    <row r="198" spans="1:11" x14ac:dyDescent="0.25">
      <c r="A198" s="49">
        <f>'A) Base RI'!A197</f>
        <v>5719</v>
      </c>
      <c r="B198" s="293" t="str">
        <f>'A) Base RI'!B197</f>
        <v>Gingins</v>
      </c>
      <c r="C198" s="10">
        <f>'A) Base RI'!V197</f>
        <v>1239</v>
      </c>
      <c r="D198" s="10">
        <f t="shared" si="12"/>
        <v>1000</v>
      </c>
      <c r="E198" s="422">
        <f t="shared" si="11"/>
        <v>239</v>
      </c>
      <c r="F198" s="10">
        <f t="shared" si="11"/>
        <v>0</v>
      </c>
      <c r="G198" s="422">
        <f t="shared" si="11"/>
        <v>0</v>
      </c>
      <c r="H198" s="41">
        <f t="shared" si="11"/>
        <v>0</v>
      </c>
      <c r="I198" s="10">
        <f t="shared" si="11"/>
        <v>0</v>
      </c>
      <c r="J198" s="10">
        <f t="shared" si="9"/>
        <v>0</v>
      </c>
      <c r="K198" s="113">
        <f t="shared" si="10"/>
        <v>209699.54728370218</v>
      </c>
    </row>
    <row r="199" spans="1:11" x14ac:dyDescent="0.25">
      <c r="A199" s="49">
        <f>'A) Base RI'!A198</f>
        <v>5720</v>
      </c>
      <c r="B199" s="293" t="str">
        <f>'A) Base RI'!B198</f>
        <v>Givrins</v>
      </c>
      <c r="C199" s="10">
        <f>'A) Base RI'!V198</f>
        <v>1032</v>
      </c>
      <c r="D199" s="10">
        <f t="shared" si="12"/>
        <v>1000</v>
      </c>
      <c r="E199" s="422">
        <f t="shared" si="11"/>
        <v>32</v>
      </c>
      <c r="F199" s="10">
        <f t="shared" si="11"/>
        <v>0</v>
      </c>
      <c r="G199" s="422">
        <f t="shared" si="11"/>
        <v>0</v>
      </c>
      <c r="H199" s="41">
        <f t="shared" si="11"/>
        <v>0</v>
      </c>
      <c r="I199" s="10">
        <f t="shared" si="11"/>
        <v>0</v>
      </c>
      <c r="J199" s="10">
        <f t="shared" si="9"/>
        <v>0</v>
      </c>
      <c r="K199" s="113">
        <f t="shared" si="10"/>
        <v>136885.11066398388</v>
      </c>
    </row>
    <row r="200" spans="1:11" x14ac:dyDescent="0.25">
      <c r="A200" s="49">
        <f>'A) Base RI'!A199</f>
        <v>5721</v>
      </c>
      <c r="B200" s="293" t="str">
        <f>'A) Base RI'!B199</f>
        <v>Gland</v>
      </c>
      <c r="C200" s="10">
        <f>'A) Base RI'!V199</f>
        <v>13194</v>
      </c>
      <c r="D200" s="10">
        <f t="shared" si="12"/>
        <v>1000</v>
      </c>
      <c r="E200" s="422">
        <f t="shared" si="11"/>
        <v>2000</v>
      </c>
      <c r="F200" s="10">
        <f t="shared" si="11"/>
        <v>2000</v>
      </c>
      <c r="G200" s="422">
        <f t="shared" si="11"/>
        <v>4000</v>
      </c>
      <c r="H200" s="41">
        <f t="shared" si="11"/>
        <v>3000</v>
      </c>
      <c r="I200" s="10">
        <f t="shared" si="11"/>
        <v>1194</v>
      </c>
      <c r="J200" s="10">
        <f t="shared" ref="J200:J263" si="13">IF(C200&gt;$J$4,C200-$J$4,0)</f>
        <v>0</v>
      </c>
      <c r="K200" s="113">
        <f t="shared" ref="K200:K263" si="14">(D200*D$7)+(E200*E$7)+(F200*F$7)+(G200*G$7)+(H200*H$7)+(I200*I$7)+(J200*J$7)</f>
        <v>8009085.5130784716</v>
      </c>
    </row>
    <row r="201" spans="1:11" x14ac:dyDescent="0.25">
      <c r="A201" s="49">
        <f>'A) Base RI'!A200</f>
        <v>5722</v>
      </c>
      <c r="B201" s="293" t="str">
        <f>'A) Base RI'!B200</f>
        <v>Grens</v>
      </c>
      <c r="C201" s="10">
        <f>'A) Base RI'!V200</f>
        <v>383</v>
      </c>
      <c r="D201" s="10">
        <f t="shared" si="12"/>
        <v>383</v>
      </c>
      <c r="E201" s="422">
        <f t="shared" si="11"/>
        <v>0</v>
      </c>
      <c r="F201" s="10">
        <f t="shared" si="11"/>
        <v>0</v>
      </c>
      <c r="G201" s="422">
        <f t="shared" si="11"/>
        <v>0</v>
      </c>
      <c r="H201" s="41">
        <f t="shared" si="11"/>
        <v>0</v>
      </c>
      <c r="I201" s="10">
        <f t="shared" si="11"/>
        <v>0</v>
      </c>
      <c r="J201" s="10">
        <f t="shared" si="13"/>
        <v>0</v>
      </c>
      <c r="K201" s="113">
        <f t="shared" si="14"/>
        <v>48115.819919517104</v>
      </c>
    </row>
    <row r="202" spans="1:11" x14ac:dyDescent="0.25">
      <c r="A202" s="49">
        <f>'A) Base RI'!A201</f>
        <v>5723</v>
      </c>
      <c r="B202" s="293" t="str">
        <f>'A) Base RI'!B201</f>
        <v>Mies</v>
      </c>
      <c r="C202" s="10">
        <f>'A) Base RI'!V201</f>
        <v>2116</v>
      </c>
      <c r="D202" s="10">
        <f t="shared" si="12"/>
        <v>1000</v>
      </c>
      <c r="E202" s="422">
        <f t="shared" si="11"/>
        <v>1116</v>
      </c>
      <c r="F202" s="10">
        <f t="shared" si="11"/>
        <v>0</v>
      </c>
      <c r="G202" s="422">
        <f t="shared" si="11"/>
        <v>0</v>
      </c>
      <c r="H202" s="41">
        <f t="shared" si="11"/>
        <v>0</v>
      </c>
      <c r="I202" s="10">
        <f t="shared" si="11"/>
        <v>0</v>
      </c>
      <c r="J202" s="10">
        <f t="shared" si="13"/>
        <v>0</v>
      </c>
      <c r="K202" s="113">
        <f t="shared" si="14"/>
        <v>518193.56136820919</v>
      </c>
    </row>
    <row r="203" spans="1:11" x14ac:dyDescent="0.25">
      <c r="A203" s="49">
        <f>'A) Base RI'!A202</f>
        <v>5724</v>
      </c>
      <c r="B203" s="293" t="str">
        <f>'A) Base RI'!B202</f>
        <v>Nyon</v>
      </c>
      <c r="C203" s="10">
        <f>'A) Base RI'!V202</f>
        <v>21416</v>
      </c>
      <c r="D203" s="10">
        <f t="shared" si="12"/>
        <v>1000</v>
      </c>
      <c r="E203" s="422">
        <f t="shared" si="11"/>
        <v>2000</v>
      </c>
      <c r="F203" s="10">
        <f t="shared" si="11"/>
        <v>2000</v>
      </c>
      <c r="G203" s="422">
        <f t="shared" si="11"/>
        <v>4000</v>
      </c>
      <c r="H203" s="41">
        <f t="shared" si="11"/>
        <v>3000</v>
      </c>
      <c r="I203" s="10">
        <f t="shared" si="11"/>
        <v>3000</v>
      </c>
      <c r="J203" s="10">
        <f t="shared" si="13"/>
        <v>6416</v>
      </c>
      <c r="K203" s="113">
        <f t="shared" si="14"/>
        <v>16594857.344064387</v>
      </c>
    </row>
    <row r="204" spans="1:11" x14ac:dyDescent="0.25">
      <c r="A204" s="49">
        <f>'A) Base RI'!A203</f>
        <v>5725</v>
      </c>
      <c r="B204" s="293" t="str">
        <f>'A) Base RI'!B203</f>
        <v>Prangins</v>
      </c>
      <c r="C204" s="10">
        <f>'A) Base RI'!V203</f>
        <v>4088</v>
      </c>
      <c r="D204" s="10">
        <f t="shared" si="12"/>
        <v>1000</v>
      </c>
      <c r="E204" s="422">
        <f t="shared" si="11"/>
        <v>2000</v>
      </c>
      <c r="F204" s="10">
        <f t="shared" si="11"/>
        <v>1088</v>
      </c>
      <c r="G204" s="422">
        <f t="shared" si="11"/>
        <v>0</v>
      </c>
      <c r="H204" s="41">
        <f t="shared" si="11"/>
        <v>0</v>
      </c>
      <c r="I204" s="10">
        <f t="shared" si="11"/>
        <v>0</v>
      </c>
      <c r="J204" s="10">
        <f t="shared" si="13"/>
        <v>0</v>
      </c>
      <c r="K204" s="113">
        <f t="shared" si="14"/>
        <v>1375886.3179074447</v>
      </c>
    </row>
    <row r="205" spans="1:11" x14ac:dyDescent="0.25">
      <c r="A205" s="49">
        <f>'A) Base RI'!A204</f>
        <v>5726</v>
      </c>
      <c r="B205" s="293" t="str">
        <f>'A) Base RI'!B204</f>
        <v>La Rippe</v>
      </c>
      <c r="C205" s="10">
        <f>'A) Base RI'!V204</f>
        <v>1136</v>
      </c>
      <c r="D205" s="10">
        <f t="shared" si="12"/>
        <v>1000</v>
      </c>
      <c r="E205" s="422">
        <f t="shared" si="11"/>
        <v>136</v>
      </c>
      <c r="F205" s="10">
        <f t="shared" si="11"/>
        <v>0</v>
      </c>
      <c r="G205" s="422">
        <f t="shared" si="11"/>
        <v>0</v>
      </c>
      <c r="H205" s="41">
        <f t="shared" si="11"/>
        <v>0</v>
      </c>
      <c r="I205" s="10">
        <f t="shared" si="11"/>
        <v>0</v>
      </c>
      <c r="J205" s="10">
        <f t="shared" si="13"/>
        <v>0</v>
      </c>
      <c r="K205" s="113">
        <f t="shared" si="14"/>
        <v>173468.20925553318</v>
      </c>
    </row>
    <row r="206" spans="1:11" x14ac:dyDescent="0.25">
      <c r="A206" s="49">
        <f>'A) Base RI'!A205</f>
        <v>5727</v>
      </c>
      <c r="B206" s="293" t="str">
        <f>'A) Base RI'!B205</f>
        <v>Saint-Cergue</v>
      </c>
      <c r="C206" s="10">
        <f>'A) Base RI'!V205</f>
        <v>2603</v>
      </c>
      <c r="D206" s="10">
        <f t="shared" si="12"/>
        <v>1000</v>
      </c>
      <c r="E206" s="422">
        <f t="shared" si="11"/>
        <v>1603</v>
      </c>
      <c r="F206" s="10">
        <f t="shared" si="11"/>
        <v>0</v>
      </c>
      <c r="G206" s="422">
        <f t="shared" si="11"/>
        <v>0</v>
      </c>
      <c r="H206" s="41">
        <f t="shared" si="11"/>
        <v>0</v>
      </c>
      <c r="I206" s="10">
        <f t="shared" si="11"/>
        <v>0</v>
      </c>
      <c r="J206" s="10">
        <f t="shared" si="13"/>
        <v>0</v>
      </c>
      <c r="K206" s="113">
        <f t="shared" si="14"/>
        <v>689500.95573440637</v>
      </c>
    </row>
    <row r="207" spans="1:11" x14ac:dyDescent="0.25">
      <c r="A207" s="49">
        <f>'A) Base RI'!A206</f>
        <v>5728</v>
      </c>
      <c r="B207" s="293" t="str">
        <f>'A) Base RI'!B206</f>
        <v>Signy-Avenex</v>
      </c>
      <c r="C207" s="10">
        <f>'A) Base RI'!V206</f>
        <v>586</v>
      </c>
      <c r="D207" s="10">
        <f t="shared" si="12"/>
        <v>586</v>
      </c>
      <c r="E207" s="422">
        <f t="shared" si="11"/>
        <v>0</v>
      </c>
      <c r="F207" s="10">
        <f t="shared" si="11"/>
        <v>0</v>
      </c>
      <c r="G207" s="422">
        <f t="shared" ref="E207:I258" si="15">IF($C207&gt;G$4,IF($C207&lt;G$5,$C207-G$4,G$5-G$4),0)</f>
        <v>0</v>
      </c>
      <c r="H207" s="41">
        <f t="shared" si="15"/>
        <v>0</v>
      </c>
      <c r="I207" s="10">
        <f t="shared" si="15"/>
        <v>0</v>
      </c>
      <c r="J207" s="10">
        <f t="shared" si="13"/>
        <v>0</v>
      </c>
      <c r="K207" s="113">
        <f t="shared" si="14"/>
        <v>73618.460764587522</v>
      </c>
    </row>
    <row r="208" spans="1:11" x14ac:dyDescent="0.25">
      <c r="A208" s="49">
        <f>'A) Base RI'!A207</f>
        <v>5729</v>
      </c>
      <c r="B208" s="293" t="str">
        <f>'A) Base RI'!B207</f>
        <v>Tannay</v>
      </c>
      <c r="C208" s="10">
        <f>'A) Base RI'!V207</f>
        <v>1600</v>
      </c>
      <c r="D208" s="10">
        <f t="shared" si="12"/>
        <v>1000</v>
      </c>
      <c r="E208" s="422">
        <f t="shared" si="15"/>
        <v>600</v>
      </c>
      <c r="F208" s="10">
        <f t="shared" si="15"/>
        <v>0</v>
      </c>
      <c r="G208" s="422">
        <f t="shared" si="15"/>
        <v>0</v>
      </c>
      <c r="H208" s="41">
        <f t="shared" si="15"/>
        <v>0</v>
      </c>
      <c r="I208" s="10">
        <f t="shared" si="15"/>
        <v>0</v>
      </c>
      <c r="J208" s="10">
        <f t="shared" si="13"/>
        <v>0</v>
      </c>
      <c r="K208" s="113">
        <f t="shared" si="14"/>
        <v>336685.11066398385</v>
      </c>
    </row>
    <row r="209" spans="1:11" x14ac:dyDescent="0.25">
      <c r="A209" s="49">
        <f>'A) Base RI'!A208</f>
        <v>5730</v>
      </c>
      <c r="B209" s="293" t="str">
        <f>'A) Base RI'!B208</f>
        <v>Trélex</v>
      </c>
      <c r="C209" s="10">
        <f>'A) Base RI'!V208</f>
        <v>1434</v>
      </c>
      <c r="D209" s="10">
        <f t="shared" si="12"/>
        <v>1000</v>
      </c>
      <c r="E209" s="422">
        <f t="shared" si="15"/>
        <v>434</v>
      </c>
      <c r="F209" s="10">
        <f t="shared" si="15"/>
        <v>0</v>
      </c>
      <c r="G209" s="422">
        <f t="shared" si="15"/>
        <v>0</v>
      </c>
      <c r="H209" s="41">
        <f t="shared" si="15"/>
        <v>0</v>
      </c>
      <c r="I209" s="10">
        <f t="shared" si="15"/>
        <v>0</v>
      </c>
      <c r="J209" s="10">
        <f t="shared" si="13"/>
        <v>0</v>
      </c>
      <c r="K209" s="113">
        <f t="shared" si="14"/>
        <v>278292.85714285716</v>
      </c>
    </row>
    <row r="210" spans="1:11" x14ac:dyDescent="0.25">
      <c r="A210" s="49">
        <f>'A) Base RI'!A209</f>
        <v>5731</v>
      </c>
      <c r="B210" s="293" t="str">
        <f>'A) Base RI'!B209</f>
        <v>Le Vaud</v>
      </c>
      <c r="C210" s="10">
        <f>'A) Base RI'!V209</f>
        <v>1362</v>
      </c>
      <c r="D210" s="10">
        <f t="shared" si="12"/>
        <v>1000</v>
      </c>
      <c r="E210" s="422">
        <f t="shared" si="15"/>
        <v>362</v>
      </c>
      <c r="F210" s="10">
        <f t="shared" si="15"/>
        <v>0</v>
      </c>
      <c r="G210" s="422">
        <f t="shared" si="15"/>
        <v>0</v>
      </c>
      <c r="H210" s="41">
        <f t="shared" si="15"/>
        <v>0</v>
      </c>
      <c r="I210" s="10">
        <f t="shared" si="15"/>
        <v>0</v>
      </c>
      <c r="J210" s="10">
        <f t="shared" si="13"/>
        <v>0</v>
      </c>
      <c r="K210" s="113">
        <f t="shared" si="14"/>
        <v>252966.09657947684</v>
      </c>
    </row>
    <row r="211" spans="1:11" x14ac:dyDescent="0.25">
      <c r="A211" s="49">
        <f>'A) Base RI'!A210</f>
        <v>5732</v>
      </c>
      <c r="B211" s="293" t="str">
        <f>'A) Base RI'!B210</f>
        <v>Vich</v>
      </c>
      <c r="C211" s="10">
        <f>'A) Base RI'!V210</f>
        <v>1083</v>
      </c>
      <c r="D211" s="10">
        <f t="shared" si="12"/>
        <v>1000</v>
      </c>
      <c r="E211" s="422">
        <f t="shared" si="15"/>
        <v>83</v>
      </c>
      <c r="F211" s="10">
        <f t="shared" si="15"/>
        <v>0</v>
      </c>
      <c r="G211" s="422">
        <f t="shared" si="15"/>
        <v>0</v>
      </c>
      <c r="H211" s="41">
        <f t="shared" si="15"/>
        <v>0</v>
      </c>
      <c r="I211" s="10">
        <f t="shared" si="15"/>
        <v>0</v>
      </c>
      <c r="J211" s="10">
        <f t="shared" si="13"/>
        <v>0</v>
      </c>
      <c r="K211" s="113">
        <f t="shared" si="14"/>
        <v>154824.89939637826</v>
      </c>
    </row>
    <row r="212" spans="1:11" x14ac:dyDescent="0.25">
      <c r="A212" s="49">
        <f>'A) Base RI'!A211</f>
        <v>5741</v>
      </c>
      <c r="B212" s="293" t="str">
        <f>'A) Base RI'!B211</f>
        <v>L'Abergement</v>
      </c>
      <c r="C212" s="10">
        <f>'A) Base RI'!V211</f>
        <v>244</v>
      </c>
      <c r="D212" s="10">
        <f t="shared" si="12"/>
        <v>244</v>
      </c>
      <c r="E212" s="422">
        <f t="shared" si="15"/>
        <v>0</v>
      </c>
      <c r="F212" s="10">
        <f t="shared" si="15"/>
        <v>0</v>
      </c>
      <c r="G212" s="422">
        <f t="shared" si="15"/>
        <v>0</v>
      </c>
      <c r="H212" s="41">
        <f t="shared" si="15"/>
        <v>0</v>
      </c>
      <c r="I212" s="10">
        <f t="shared" si="15"/>
        <v>0</v>
      </c>
      <c r="J212" s="10">
        <f t="shared" si="13"/>
        <v>0</v>
      </c>
      <c r="K212" s="113">
        <f t="shared" si="14"/>
        <v>30653.420523138833</v>
      </c>
    </row>
    <row r="213" spans="1:11" x14ac:dyDescent="0.25">
      <c r="A213" s="49">
        <f>'A) Base RI'!A212</f>
        <v>5742</v>
      </c>
      <c r="B213" s="293" t="str">
        <f>'A) Base RI'!B212</f>
        <v>Agiez</v>
      </c>
      <c r="C213" s="10">
        <f>'A) Base RI'!V212</f>
        <v>354</v>
      </c>
      <c r="D213" s="10">
        <f t="shared" si="12"/>
        <v>354</v>
      </c>
      <c r="E213" s="422">
        <f t="shared" si="15"/>
        <v>0</v>
      </c>
      <c r="F213" s="10">
        <f t="shared" si="15"/>
        <v>0</v>
      </c>
      <c r="G213" s="422">
        <f t="shared" si="15"/>
        <v>0</v>
      </c>
      <c r="H213" s="41">
        <f t="shared" si="15"/>
        <v>0</v>
      </c>
      <c r="I213" s="10">
        <f t="shared" si="15"/>
        <v>0</v>
      </c>
      <c r="J213" s="10">
        <f t="shared" si="13"/>
        <v>0</v>
      </c>
      <c r="K213" s="113">
        <f t="shared" si="14"/>
        <v>44472.585513078469</v>
      </c>
    </row>
    <row r="214" spans="1:11" x14ac:dyDescent="0.25">
      <c r="A214" s="49">
        <f>'A) Base RI'!A213</f>
        <v>5743</v>
      </c>
      <c r="B214" s="293" t="str">
        <f>'A) Base RI'!B213</f>
        <v>Arnex-sur-Orbe</v>
      </c>
      <c r="C214" s="10">
        <f>'A) Base RI'!V213</f>
        <v>633</v>
      </c>
      <c r="D214" s="10">
        <f t="shared" si="12"/>
        <v>633</v>
      </c>
      <c r="E214" s="422">
        <f t="shared" si="15"/>
        <v>0</v>
      </c>
      <c r="F214" s="10">
        <f t="shared" si="15"/>
        <v>0</v>
      </c>
      <c r="G214" s="422">
        <f t="shared" si="15"/>
        <v>0</v>
      </c>
      <c r="H214" s="41">
        <f t="shared" si="15"/>
        <v>0</v>
      </c>
      <c r="I214" s="10">
        <f t="shared" si="15"/>
        <v>0</v>
      </c>
      <c r="J214" s="10">
        <f t="shared" si="13"/>
        <v>0</v>
      </c>
      <c r="K214" s="113">
        <f t="shared" si="14"/>
        <v>79523.013078470816</v>
      </c>
    </row>
    <row r="215" spans="1:11" x14ac:dyDescent="0.25">
      <c r="A215" s="49">
        <f>'A) Base RI'!A214</f>
        <v>5744</v>
      </c>
      <c r="B215" s="293" t="str">
        <f>'A) Base RI'!B214</f>
        <v>Ballaigues</v>
      </c>
      <c r="C215" s="10">
        <f>'A) Base RI'!V214</f>
        <v>1108</v>
      </c>
      <c r="D215" s="10">
        <f t="shared" si="12"/>
        <v>1000</v>
      </c>
      <c r="E215" s="422">
        <f t="shared" si="15"/>
        <v>108</v>
      </c>
      <c r="F215" s="10">
        <f t="shared" si="15"/>
        <v>0</v>
      </c>
      <c r="G215" s="422">
        <f t="shared" si="15"/>
        <v>0</v>
      </c>
      <c r="H215" s="41">
        <f t="shared" si="15"/>
        <v>0</v>
      </c>
      <c r="I215" s="10">
        <f t="shared" si="15"/>
        <v>0</v>
      </c>
      <c r="J215" s="10">
        <f t="shared" si="13"/>
        <v>0</v>
      </c>
      <c r="K215" s="113">
        <f t="shared" si="14"/>
        <v>163618.9134808853</v>
      </c>
    </row>
    <row r="216" spans="1:11" x14ac:dyDescent="0.25">
      <c r="A216" s="49">
        <f>'A) Base RI'!A215</f>
        <v>5745</v>
      </c>
      <c r="B216" s="293" t="str">
        <f>'A) Base RI'!B215</f>
        <v>Baulmes</v>
      </c>
      <c r="C216" s="10">
        <f>'A) Base RI'!V215</f>
        <v>1042</v>
      </c>
      <c r="D216" s="10">
        <f t="shared" si="12"/>
        <v>1000</v>
      </c>
      <c r="E216" s="422">
        <f t="shared" si="15"/>
        <v>42</v>
      </c>
      <c r="F216" s="10">
        <f t="shared" si="15"/>
        <v>0</v>
      </c>
      <c r="G216" s="422">
        <f t="shared" si="15"/>
        <v>0</v>
      </c>
      <c r="H216" s="41">
        <f t="shared" si="15"/>
        <v>0</v>
      </c>
      <c r="I216" s="10">
        <f t="shared" si="15"/>
        <v>0</v>
      </c>
      <c r="J216" s="10">
        <f t="shared" si="13"/>
        <v>0</v>
      </c>
      <c r="K216" s="113">
        <f t="shared" si="14"/>
        <v>140402.71629778671</v>
      </c>
    </row>
    <row r="217" spans="1:11" x14ac:dyDescent="0.25">
      <c r="A217" s="49">
        <f>'A) Base RI'!A216</f>
        <v>5746</v>
      </c>
      <c r="B217" s="293" t="str">
        <f>'A) Base RI'!B216</f>
        <v>Bavois</v>
      </c>
      <c r="C217" s="10">
        <f>'A) Base RI'!V216</f>
        <v>952</v>
      </c>
      <c r="D217" s="10">
        <f t="shared" si="12"/>
        <v>952</v>
      </c>
      <c r="E217" s="422">
        <f t="shared" si="15"/>
        <v>0</v>
      </c>
      <c r="F217" s="10">
        <f t="shared" si="15"/>
        <v>0</v>
      </c>
      <c r="G217" s="422">
        <f t="shared" si="15"/>
        <v>0</v>
      </c>
      <c r="H217" s="41">
        <f t="shared" si="15"/>
        <v>0</v>
      </c>
      <c r="I217" s="10">
        <f t="shared" si="15"/>
        <v>0</v>
      </c>
      <c r="J217" s="10">
        <f t="shared" si="13"/>
        <v>0</v>
      </c>
      <c r="K217" s="113">
        <f t="shared" si="14"/>
        <v>119598.59154929577</v>
      </c>
    </row>
    <row r="218" spans="1:11" x14ac:dyDescent="0.25">
      <c r="A218" s="49">
        <f>'A) Base RI'!A217</f>
        <v>5747</v>
      </c>
      <c r="B218" s="293" t="str">
        <f>'A) Base RI'!B217</f>
        <v>Bofflens</v>
      </c>
      <c r="C218" s="10">
        <f>'A) Base RI'!V217</f>
        <v>194</v>
      </c>
      <c r="D218" s="10">
        <f t="shared" si="12"/>
        <v>194</v>
      </c>
      <c r="E218" s="422">
        <f t="shared" si="15"/>
        <v>0</v>
      </c>
      <c r="F218" s="10">
        <f t="shared" si="15"/>
        <v>0</v>
      </c>
      <c r="G218" s="422">
        <f t="shared" si="15"/>
        <v>0</v>
      </c>
      <c r="H218" s="41">
        <f t="shared" si="15"/>
        <v>0</v>
      </c>
      <c r="I218" s="10">
        <f t="shared" si="15"/>
        <v>0</v>
      </c>
      <c r="J218" s="10">
        <f t="shared" si="13"/>
        <v>0</v>
      </c>
      <c r="K218" s="113">
        <f t="shared" si="14"/>
        <v>24371.981891348089</v>
      </c>
    </row>
    <row r="219" spans="1:11" x14ac:dyDescent="0.25">
      <c r="A219" s="49">
        <f>'A) Base RI'!A218</f>
        <v>5748</v>
      </c>
      <c r="B219" s="293" t="str">
        <f>'A) Base RI'!B218</f>
        <v>Bretonnières</v>
      </c>
      <c r="C219" s="10">
        <f>'A) Base RI'!V218</f>
        <v>269</v>
      </c>
      <c r="D219" s="10">
        <f t="shared" si="12"/>
        <v>269</v>
      </c>
      <c r="E219" s="422">
        <f t="shared" si="15"/>
        <v>0</v>
      </c>
      <c r="F219" s="10">
        <f t="shared" si="15"/>
        <v>0</v>
      </c>
      <c r="G219" s="422">
        <f t="shared" si="15"/>
        <v>0</v>
      </c>
      <c r="H219" s="41">
        <f t="shared" si="15"/>
        <v>0</v>
      </c>
      <c r="I219" s="10">
        <f t="shared" si="15"/>
        <v>0</v>
      </c>
      <c r="J219" s="10">
        <f t="shared" si="13"/>
        <v>0</v>
      </c>
      <c r="K219" s="113">
        <f t="shared" si="14"/>
        <v>33794.1398390342</v>
      </c>
    </row>
    <row r="220" spans="1:11" x14ac:dyDescent="0.25">
      <c r="A220" s="49">
        <f>'A) Base RI'!A219</f>
        <v>5749</v>
      </c>
      <c r="B220" s="293" t="str">
        <f>'A) Base RI'!B219</f>
        <v>Chavornay</v>
      </c>
      <c r="C220" s="10">
        <f>'A) Base RI'!V219</f>
        <v>5135</v>
      </c>
      <c r="D220" s="10">
        <f t="shared" si="12"/>
        <v>1000</v>
      </c>
      <c r="E220" s="422">
        <f t="shared" si="15"/>
        <v>2000</v>
      </c>
      <c r="F220" s="10">
        <f t="shared" si="15"/>
        <v>2000</v>
      </c>
      <c r="G220" s="422">
        <f t="shared" si="15"/>
        <v>135</v>
      </c>
      <c r="H220" s="41">
        <f t="shared" si="15"/>
        <v>0</v>
      </c>
      <c r="I220" s="10">
        <f t="shared" si="15"/>
        <v>0</v>
      </c>
      <c r="J220" s="10">
        <f t="shared" si="13"/>
        <v>0</v>
      </c>
      <c r="K220" s="113">
        <f t="shared" si="14"/>
        <v>1915587.5251509054</v>
      </c>
    </row>
    <row r="221" spans="1:11" x14ac:dyDescent="0.25">
      <c r="A221" s="49">
        <f>'A) Base RI'!A220</f>
        <v>5750</v>
      </c>
      <c r="B221" s="293" t="str">
        <f>'A) Base RI'!B220</f>
        <v>Les Clées</v>
      </c>
      <c r="C221" s="10">
        <f>'A) Base RI'!V220</f>
        <v>185</v>
      </c>
      <c r="D221" s="10">
        <f t="shared" si="12"/>
        <v>185</v>
      </c>
      <c r="E221" s="422">
        <f t="shared" si="15"/>
        <v>0</v>
      </c>
      <c r="F221" s="10">
        <f t="shared" si="15"/>
        <v>0</v>
      </c>
      <c r="G221" s="422">
        <f t="shared" si="15"/>
        <v>0</v>
      </c>
      <c r="H221" s="41">
        <f t="shared" si="15"/>
        <v>0</v>
      </c>
      <c r="I221" s="10">
        <f t="shared" si="15"/>
        <v>0</v>
      </c>
      <c r="J221" s="10">
        <f t="shared" si="13"/>
        <v>0</v>
      </c>
      <c r="K221" s="113">
        <f t="shared" si="14"/>
        <v>23241.322937625755</v>
      </c>
    </row>
    <row r="222" spans="1:11" x14ac:dyDescent="0.25">
      <c r="A222" s="49">
        <f>'A) Base RI'!A221</f>
        <v>5752</v>
      </c>
      <c r="B222" s="293" t="str">
        <f>'A) Base RI'!B221</f>
        <v>Croy</v>
      </c>
      <c r="C222" s="10">
        <f>'A) Base RI'!V221</f>
        <v>403</v>
      </c>
      <c r="D222" s="10">
        <f t="shared" si="12"/>
        <v>403</v>
      </c>
      <c r="E222" s="422">
        <f t="shared" si="15"/>
        <v>0</v>
      </c>
      <c r="F222" s="10">
        <f t="shared" si="15"/>
        <v>0</v>
      </c>
      <c r="G222" s="422">
        <f t="shared" si="15"/>
        <v>0</v>
      </c>
      <c r="H222" s="41">
        <f t="shared" si="15"/>
        <v>0</v>
      </c>
      <c r="I222" s="10">
        <f t="shared" si="15"/>
        <v>0</v>
      </c>
      <c r="J222" s="10">
        <f t="shared" si="13"/>
        <v>0</v>
      </c>
      <c r="K222" s="113">
        <f t="shared" si="14"/>
        <v>50628.395372233397</v>
      </c>
    </row>
    <row r="223" spans="1:11" x14ac:dyDescent="0.25">
      <c r="A223" s="49">
        <f>'A) Base RI'!A222</f>
        <v>5754</v>
      </c>
      <c r="B223" s="293" t="str">
        <f>'A) Base RI'!B222</f>
        <v>Juriens</v>
      </c>
      <c r="C223" s="10">
        <f>'A) Base RI'!V222</f>
        <v>328</v>
      </c>
      <c r="D223" s="10">
        <f t="shared" si="12"/>
        <v>328</v>
      </c>
      <c r="E223" s="422">
        <f t="shared" si="15"/>
        <v>0</v>
      </c>
      <c r="F223" s="10">
        <f t="shared" si="15"/>
        <v>0</v>
      </c>
      <c r="G223" s="422">
        <f t="shared" si="15"/>
        <v>0</v>
      </c>
      <c r="H223" s="41">
        <f t="shared" si="15"/>
        <v>0</v>
      </c>
      <c r="I223" s="10">
        <f t="shared" si="15"/>
        <v>0</v>
      </c>
      <c r="J223" s="10">
        <f t="shared" si="13"/>
        <v>0</v>
      </c>
      <c r="K223" s="113">
        <f t="shared" si="14"/>
        <v>41206.237424547282</v>
      </c>
    </row>
    <row r="224" spans="1:11" x14ac:dyDescent="0.25">
      <c r="A224" s="49">
        <f>'A) Base RI'!A223</f>
        <v>5755</v>
      </c>
      <c r="B224" s="293" t="str">
        <f>'A) Base RI'!B223</f>
        <v>Lignerolle</v>
      </c>
      <c r="C224" s="10">
        <f>'A) Base RI'!V223</f>
        <v>437</v>
      </c>
      <c r="D224" s="10">
        <f t="shared" si="12"/>
        <v>437</v>
      </c>
      <c r="E224" s="422">
        <f t="shared" si="15"/>
        <v>0</v>
      </c>
      <c r="F224" s="10">
        <f t="shared" si="15"/>
        <v>0</v>
      </c>
      <c r="G224" s="422">
        <f t="shared" si="15"/>
        <v>0</v>
      </c>
      <c r="H224" s="41">
        <f t="shared" si="15"/>
        <v>0</v>
      </c>
      <c r="I224" s="10">
        <f t="shared" si="15"/>
        <v>0</v>
      </c>
      <c r="J224" s="10">
        <f t="shared" si="13"/>
        <v>0</v>
      </c>
      <c r="K224" s="113">
        <f t="shared" si="14"/>
        <v>54899.773641851105</v>
      </c>
    </row>
    <row r="225" spans="1:11" x14ac:dyDescent="0.25">
      <c r="A225" s="49">
        <f>'A) Base RI'!A224</f>
        <v>5756</v>
      </c>
      <c r="B225" s="293" t="str">
        <f>'A) Base RI'!B224</f>
        <v>Montcherand</v>
      </c>
      <c r="C225" s="10">
        <f>'A) Base RI'!V224</f>
        <v>505</v>
      </c>
      <c r="D225" s="10">
        <f t="shared" si="12"/>
        <v>505</v>
      </c>
      <c r="E225" s="422">
        <f t="shared" si="15"/>
        <v>0</v>
      </c>
      <c r="F225" s="10">
        <f t="shared" si="15"/>
        <v>0</v>
      </c>
      <c r="G225" s="422">
        <f t="shared" si="15"/>
        <v>0</v>
      </c>
      <c r="H225" s="41">
        <f t="shared" si="15"/>
        <v>0</v>
      </c>
      <c r="I225" s="10">
        <f t="shared" si="15"/>
        <v>0</v>
      </c>
      <c r="J225" s="10">
        <f t="shared" si="13"/>
        <v>0</v>
      </c>
      <c r="K225" s="113">
        <f t="shared" si="14"/>
        <v>63442.530181086513</v>
      </c>
    </row>
    <row r="226" spans="1:11" x14ac:dyDescent="0.25">
      <c r="A226" s="49">
        <f>'A) Base RI'!A225</f>
        <v>5757</v>
      </c>
      <c r="B226" s="293" t="str">
        <f>'A) Base RI'!B225</f>
        <v>Orbe</v>
      </c>
      <c r="C226" s="10">
        <f>'A) Base RI'!V225</f>
        <v>7030</v>
      </c>
      <c r="D226" s="10">
        <f t="shared" si="12"/>
        <v>1000</v>
      </c>
      <c r="E226" s="422">
        <f t="shared" si="15"/>
        <v>2000</v>
      </c>
      <c r="F226" s="10">
        <f t="shared" si="15"/>
        <v>2000</v>
      </c>
      <c r="G226" s="422">
        <f t="shared" si="15"/>
        <v>2030</v>
      </c>
      <c r="H226" s="41">
        <f t="shared" si="15"/>
        <v>0</v>
      </c>
      <c r="I226" s="10">
        <f t="shared" si="15"/>
        <v>0</v>
      </c>
      <c r="J226" s="10">
        <f t="shared" si="13"/>
        <v>0</v>
      </c>
      <c r="K226" s="113">
        <f t="shared" si="14"/>
        <v>3058306.8410462774</v>
      </c>
    </row>
    <row r="227" spans="1:11" x14ac:dyDescent="0.25">
      <c r="A227" s="49">
        <f>'A) Base RI'!A226</f>
        <v>5758</v>
      </c>
      <c r="B227" s="293" t="str">
        <f>'A) Base RI'!B226</f>
        <v>La Praz</v>
      </c>
      <c r="C227" s="10">
        <f>'A) Base RI'!V226</f>
        <v>165</v>
      </c>
      <c r="D227" s="10">
        <f t="shared" si="12"/>
        <v>165</v>
      </c>
      <c r="E227" s="422">
        <f t="shared" si="15"/>
        <v>0</v>
      </c>
      <c r="F227" s="10">
        <f t="shared" si="15"/>
        <v>0</v>
      </c>
      <c r="G227" s="422">
        <f t="shared" si="15"/>
        <v>0</v>
      </c>
      <c r="H227" s="41">
        <f t="shared" si="15"/>
        <v>0</v>
      </c>
      <c r="I227" s="10">
        <f t="shared" si="15"/>
        <v>0</v>
      </c>
      <c r="J227" s="10">
        <f t="shared" si="13"/>
        <v>0</v>
      </c>
      <c r="K227" s="113">
        <f t="shared" si="14"/>
        <v>20728.747484909454</v>
      </c>
    </row>
    <row r="228" spans="1:11" x14ac:dyDescent="0.25">
      <c r="A228" s="49">
        <f>'A) Base RI'!A227</f>
        <v>5759</v>
      </c>
      <c r="B228" s="293" t="str">
        <f>'A) Base RI'!B227</f>
        <v>Premier</v>
      </c>
      <c r="C228" s="10">
        <f>'A) Base RI'!V227</f>
        <v>215</v>
      </c>
      <c r="D228" s="10">
        <f t="shared" si="12"/>
        <v>215</v>
      </c>
      <c r="E228" s="422">
        <f t="shared" si="15"/>
        <v>0</v>
      </c>
      <c r="F228" s="10">
        <f t="shared" si="15"/>
        <v>0</v>
      </c>
      <c r="G228" s="422">
        <f t="shared" si="15"/>
        <v>0</v>
      </c>
      <c r="H228" s="41">
        <f t="shared" si="15"/>
        <v>0</v>
      </c>
      <c r="I228" s="10">
        <f t="shared" si="15"/>
        <v>0</v>
      </c>
      <c r="J228" s="10">
        <f t="shared" si="13"/>
        <v>0</v>
      </c>
      <c r="K228" s="113">
        <f t="shared" si="14"/>
        <v>27010.186116700199</v>
      </c>
    </row>
    <row r="229" spans="1:11" x14ac:dyDescent="0.25">
      <c r="A229" s="49">
        <f>'A) Base RI'!A228</f>
        <v>5760</v>
      </c>
      <c r="B229" s="293" t="str">
        <f>'A) Base RI'!B228</f>
        <v>Rances</v>
      </c>
      <c r="C229" s="10">
        <f>'A) Base RI'!V228</f>
        <v>505</v>
      </c>
      <c r="D229" s="10">
        <f t="shared" si="12"/>
        <v>505</v>
      </c>
      <c r="E229" s="422">
        <f t="shared" si="15"/>
        <v>0</v>
      </c>
      <c r="F229" s="10">
        <f t="shared" si="15"/>
        <v>0</v>
      </c>
      <c r="G229" s="422">
        <f t="shared" si="15"/>
        <v>0</v>
      </c>
      <c r="H229" s="41">
        <f t="shared" si="15"/>
        <v>0</v>
      </c>
      <c r="I229" s="10">
        <f t="shared" si="15"/>
        <v>0</v>
      </c>
      <c r="J229" s="10">
        <f t="shared" si="13"/>
        <v>0</v>
      </c>
      <c r="K229" s="113">
        <f t="shared" si="14"/>
        <v>63442.530181086513</v>
      </c>
    </row>
    <row r="230" spans="1:11" x14ac:dyDescent="0.25">
      <c r="A230" s="49">
        <f>'A) Base RI'!A229</f>
        <v>5761</v>
      </c>
      <c r="B230" s="293" t="str">
        <f>'A) Base RI'!B229</f>
        <v>Romainmôtier-Envy</v>
      </c>
      <c r="C230" s="10">
        <f>'A) Base RI'!V229</f>
        <v>535</v>
      </c>
      <c r="D230" s="10">
        <f t="shared" si="12"/>
        <v>535</v>
      </c>
      <c r="E230" s="422">
        <f t="shared" si="15"/>
        <v>0</v>
      </c>
      <c r="F230" s="10">
        <f t="shared" si="15"/>
        <v>0</v>
      </c>
      <c r="G230" s="422">
        <f t="shared" si="15"/>
        <v>0</v>
      </c>
      <c r="H230" s="41">
        <f t="shared" si="15"/>
        <v>0</v>
      </c>
      <c r="I230" s="10">
        <f t="shared" si="15"/>
        <v>0</v>
      </c>
      <c r="J230" s="10">
        <f t="shared" si="13"/>
        <v>0</v>
      </c>
      <c r="K230" s="113">
        <f t="shared" si="14"/>
        <v>67211.393360160961</v>
      </c>
    </row>
    <row r="231" spans="1:11" x14ac:dyDescent="0.25">
      <c r="A231" s="49">
        <f>'A) Base RI'!A230</f>
        <v>5762</v>
      </c>
      <c r="B231" s="293" t="str">
        <f>'A) Base RI'!B230</f>
        <v>Sergey</v>
      </c>
      <c r="C231" s="10">
        <f>'A) Base RI'!V230</f>
        <v>145</v>
      </c>
      <c r="D231" s="10">
        <f t="shared" si="12"/>
        <v>145</v>
      </c>
      <c r="E231" s="422">
        <f t="shared" si="15"/>
        <v>0</v>
      </c>
      <c r="F231" s="10">
        <f t="shared" si="15"/>
        <v>0</v>
      </c>
      <c r="G231" s="422">
        <f t="shared" si="15"/>
        <v>0</v>
      </c>
      <c r="H231" s="41">
        <f t="shared" si="15"/>
        <v>0</v>
      </c>
      <c r="I231" s="10">
        <f t="shared" si="15"/>
        <v>0</v>
      </c>
      <c r="J231" s="10">
        <f t="shared" si="13"/>
        <v>0</v>
      </c>
      <c r="K231" s="113">
        <f t="shared" si="14"/>
        <v>18216.172032193157</v>
      </c>
    </row>
    <row r="232" spans="1:11" x14ac:dyDescent="0.25">
      <c r="A232" s="49">
        <f>'A) Base RI'!A231</f>
        <v>5763</v>
      </c>
      <c r="B232" s="293" t="str">
        <f>'A) Base RI'!B231</f>
        <v>Valeyres-sous-Rances</v>
      </c>
      <c r="C232" s="10">
        <f>'A) Base RI'!V231</f>
        <v>620</v>
      </c>
      <c r="D232" s="10">
        <f t="shared" si="12"/>
        <v>620</v>
      </c>
      <c r="E232" s="422">
        <f t="shared" si="15"/>
        <v>0</v>
      </c>
      <c r="F232" s="10">
        <f t="shared" si="15"/>
        <v>0</v>
      </c>
      <c r="G232" s="422">
        <f t="shared" si="15"/>
        <v>0</v>
      </c>
      <c r="H232" s="41">
        <f t="shared" si="15"/>
        <v>0</v>
      </c>
      <c r="I232" s="10">
        <f t="shared" si="15"/>
        <v>0</v>
      </c>
      <c r="J232" s="10">
        <f t="shared" si="13"/>
        <v>0</v>
      </c>
      <c r="K232" s="113">
        <f t="shared" si="14"/>
        <v>77889.83903420523</v>
      </c>
    </row>
    <row r="233" spans="1:11" x14ac:dyDescent="0.25">
      <c r="A233" s="49">
        <f>'A) Base RI'!A232</f>
        <v>5764</v>
      </c>
      <c r="B233" s="293" t="str">
        <f>'A) Base RI'!B232</f>
        <v>Vallorbe</v>
      </c>
      <c r="C233" s="10">
        <f>'A) Base RI'!V232</f>
        <v>3857</v>
      </c>
      <c r="D233" s="10">
        <f t="shared" si="12"/>
        <v>1000</v>
      </c>
      <c r="E233" s="422">
        <f t="shared" si="15"/>
        <v>2000</v>
      </c>
      <c r="F233" s="10">
        <f t="shared" si="15"/>
        <v>857</v>
      </c>
      <c r="G233" s="422">
        <f t="shared" si="15"/>
        <v>0</v>
      </c>
      <c r="H233" s="41">
        <f t="shared" si="15"/>
        <v>0</v>
      </c>
      <c r="I233" s="10">
        <f t="shared" si="15"/>
        <v>0</v>
      </c>
      <c r="J233" s="10">
        <f t="shared" si="13"/>
        <v>0</v>
      </c>
      <c r="K233" s="113">
        <f t="shared" si="14"/>
        <v>1259805.3319919517</v>
      </c>
    </row>
    <row r="234" spans="1:11" x14ac:dyDescent="0.25">
      <c r="A234" s="49">
        <f>'A) Base RI'!A233</f>
        <v>5765</v>
      </c>
      <c r="B234" s="293" t="str">
        <f>'A) Base RI'!B233</f>
        <v>Vaulion</v>
      </c>
      <c r="C234" s="10">
        <f>'A) Base RI'!V233</f>
        <v>496</v>
      </c>
      <c r="D234" s="10">
        <f t="shared" ref="D234:D297" si="16">IF($C234&gt;D$4,IF($C234&lt;D$5,$C234-D$4,D$5-D$4),0)</f>
        <v>496</v>
      </c>
      <c r="E234" s="422">
        <f t="shared" si="15"/>
        <v>0</v>
      </c>
      <c r="F234" s="10">
        <f t="shared" si="15"/>
        <v>0</v>
      </c>
      <c r="G234" s="422">
        <f t="shared" si="15"/>
        <v>0</v>
      </c>
      <c r="H234" s="41">
        <f t="shared" si="15"/>
        <v>0</v>
      </c>
      <c r="I234" s="10">
        <f t="shared" si="15"/>
        <v>0</v>
      </c>
      <c r="J234" s="10">
        <f t="shared" si="13"/>
        <v>0</v>
      </c>
      <c r="K234" s="113">
        <f t="shared" si="14"/>
        <v>62311.87122736418</v>
      </c>
    </row>
    <row r="235" spans="1:11" x14ac:dyDescent="0.25">
      <c r="A235" s="49">
        <f>'A) Base RI'!A234</f>
        <v>5766</v>
      </c>
      <c r="B235" s="293" t="str">
        <f>'A) Base RI'!B234</f>
        <v>Vuiteboeuf</v>
      </c>
      <c r="C235" s="10">
        <f>'A) Base RI'!V234</f>
        <v>576</v>
      </c>
      <c r="D235" s="10">
        <f t="shared" si="16"/>
        <v>576</v>
      </c>
      <c r="E235" s="422">
        <f t="shared" si="15"/>
        <v>0</v>
      </c>
      <c r="F235" s="10">
        <f t="shared" si="15"/>
        <v>0</v>
      </c>
      <c r="G235" s="422">
        <f t="shared" si="15"/>
        <v>0</v>
      </c>
      <c r="H235" s="41">
        <f t="shared" si="15"/>
        <v>0</v>
      </c>
      <c r="I235" s="10">
        <f t="shared" si="15"/>
        <v>0</v>
      </c>
      <c r="J235" s="10">
        <f t="shared" si="13"/>
        <v>0</v>
      </c>
      <c r="K235" s="113">
        <f t="shared" si="14"/>
        <v>72362.173038229375</v>
      </c>
    </row>
    <row r="236" spans="1:11" x14ac:dyDescent="0.25">
      <c r="A236" s="49">
        <f>'A) Base RI'!A235</f>
        <v>5785</v>
      </c>
      <c r="B236" s="293" t="str">
        <f>'A) Base RI'!B235</f>
        <v>Corcelles-le-Jorat</v>
      </c>
      <c r="C236" s="10">
        <f>'A) Base RI'!V235</f>
        <v>458</v>
      </c>
      <c r="D236" s="10">
        <f t="shared" si="16"/>
        <v>458</v>
      </c>
      <c r="E236" s="422">
        <f t="shared" si="15"/>
        <v>0</v>
      </c>
      <c r="F236" s="10">
        <f t="shared" si="15"/>
        <v>0</v>
      </c>
      <c r="G236" s="422">
        <f t="shared" si="15"/>
        <v>0</v>
      </c>
      <c r="H236" s="41">
        <f t="shared" si="15"/>
        <v>0</v>
      </c>
      <c r="I236" s="10">
        <f t="shared" si="15"/>
        <v>0</v>
      </c>
      <c r="J236" s="10">
        <f t="shared" si="13"/>
        <v>0</v>
      </c>
      <c r="K236" s="113">
        <f t="shared" si="14"/>
        <v>57537.977867203219</v>
      </c>
    </row>
    <row r="237" spans="1:11" x14ac:dyDescent="0.25">
      <c r="A237" s="49">
        <f>'A) Base RI'!A236</f>
        <v>5788</v>
      </c>
      <c r="B237" s="293" t="str">
        <f>'A) Base RI'!B236</f>
        <v>Essertes</v>
      </c>
      <c r="C237" s="10">
        <f>'A) Base RI'!V236</f>
        <v>380</v>
      </c>
      <c r="D237" s="10">
        <f t="shared" si="16"/>
        <v>380</v>
      </c>
      <c r="E237" s="422">
        <f t="shared" si="15"/>
        <v>0</v>
      </c>
      <c r="F237" s="10">
        <f t="shared" si="15"/>
        <v>0</v>
      </c>
      <c r="G237" s="422">
        <f t="shared" si="15"/>
        <v>0</v>
      </c>
      <c r="H237" s="41">
        <f t="shared" si="15"/>
        <v>0</v>
      </c>
      <c r="I237" s="10">
        <f t="shared" si="15"/>
        <v>0</v>
      </c>
      <c r="J237" s="10">
        <f t="shared" si="13"/>
        <v>0</v>
      </c>
      <c r="K237" s="113">
        <f t="shared" si="14"/>
        <v>47738.933601609657</v>
      </c>
    </row>
    <row r="238" spans="1:11" x14ac:dyDescent="0.25">
      <c r="A238" s="49">
        <f>'A) Base RI'!A237</f>
        <v>5790</v>
      </c>
      <c r="B238" s="293" t="str">
        <f>'A) Base RI'!B237</f>
        <v>Maracon</v>
      </c>
      <c r="C238" s="10">
        <f>'A) Base RI'!V237</f>
        <v>538</v>
      </c>
      <c r="D238" s="10">
        <f t="shared" si="16"/>
        <v>538</v>
      </c>
      <c r="E238" s="422">
        <f t="shared" si="15"/>
        <v>0</v>
      </c>
      <c r="F238" s="10">
        <f t="shared" si="15"/>
        <v>0</v>
      </c>
      <c r="G238" s="422">
        <f t="shared" si="15"/>
        <v>0</v>
      </c>
      <c r="H238" s="41">
        <f t="shared" si="15"/>
        <v>0</v>
      </c>
      <c r="I238" s="10">
        <f t="shared" si="15"/>
        <v>0</v>
      </c>
      <c r="J238" s="10">
        <f t="shared" si="13"/>
        <v>0</v>
      </c>
      <c r="K238" s="113">
        <f t="shared" si="14"/>
        <v>67588.2796780684</v>
      </c>
    </row>
    <row r="239" spans="1:11" x14ac:dyDescent="0.25">
      <c r="A239" s="49">
        <f>'A) Base RI'!A238</f>
        <v>5792</v>
      </c>
      <c r="B239" s="293" t="str">
        <f>'A) Base RI'!B238</f>
        <v>Montpreveyres</v>
      </c>
      <c r="C239" s="10">
        <f>'A) Base RI'!V238</f>
        <v>657</v>
      </c>
      <c r="D239" s="10">
        <f t="shared" si="16"/>
        <v>657</v>
      </c>
      <c r="E239" s="422">
        <f t="shared" si="15"/>
        <v>0</v>
      </c>
      <c r="F239" s="10">
        <f t="shared" si="15"/>
        <v>0</v>
      </c>
      <c r="G239" s="422">
        <f t="shared" si="15"/>
        <v>0</v>
      </c>
      <c r="H239" s="41">
        <f t="shared" si="15"/>
        <v>0</v>
      </c>
      <c r="I239" s="10">
        <f t="shared" si="15"/>
        <v>0</v>
      </c>
      <c r="J239" s="10">
        <f t="shared" si="13"/>
        <v>0</v>
      </c>
      <c r="K239" s="113">
        <f t="shared" si="14"/>
        <v>82538.103621730377</v>
      </c>
    </row>
    <row r="240" spans="1:11" x14ac:dyDescent="0.25">
      <c r="A240" s="49">
        <f>'A) Base RI'!A239</f>
        <v>5798</v>
      </c>
      <c r="B240" s="293" t="str">
        <f>'A) Base RI'!B239</f>
        <v>Ropraz</v>
      </c>
      <c r="C240" s="10">
        <f>'A) Base RI'!V239</f>
        <v>488</v>
      </c>
      <c r="D240" s="10">
        <f t="shared" si="16"/>
        <v>488</v>
      </c>
      <c r="E240" s="422">
        <f t="shared" si="15"/>
        <v>0</v>
      </c>
      <c r="F240" s="10">
        <f t="shared" si="15"/>
        <v>0</v>
      </c>
      <c r="G240" s="422">
        <f t="shared" si="15"/>
        <v>0</v>
      </c>
      <c r="H240" s="41">
        <f t="shared" si="15"/>
        <v>0</v>
      </c>
      <c r="I240" s="10">
        <f t="shared" si="15"/>
        <v>0</v>
      </c>
      <c r="J240" s="10">
        <f t="shared" si="13"/>
        <v>0</v>
      </c>
      <c r="K240" s="113">
        <f t="shared" si="14"/>
        <v>61306.841046277666</v>
      </c>
    </row>
    <row r="241" spans="1:11" x14ac:dyDescent="0.25">
      <c r="A241" s="49">
        <f>'A) Base RI'!A240</f>
        <v>5799</v>
      </c>
      <c r="B241" s="293" t="str">
        <f>'A) Base RI'!B240</f>
        <v>Servion</v>
      </c>
      <c r="C241" s="10">
        <f>'A) Base RI'!V240</f>
        <v>1997</v>
      </c>
      <c r="D241" s="10">
        <f t="shared" si="16"/>
        <v>1000</v>
      </c>
      <c r="E241" s="422">
        <f t="shared" si="15"/>
        <v>997</v>
      </c>
      <c r="F241" s="10">
        <f t="shared" si="15"/>
        <v>0</v>
      </c>
      <c r="G241" s="422">
        <f t="shared" si="15"/>
        <v>0</v>
      </c>
      <c r="H241" s="41">
        <f t="shared" si="15"/>
        <v>0</v>
      </c>
      <c r="I241" s="10">
        <f t="shared" si="15"/>
        <v>0</v>
      </c>
      <c r="J241" s="10">
        <f t="shared" si="13"/>
        <v>0</v>
      </c>
      <c r="K241" s="113">
        <f t="shared" si="14"/>
        <v>476334.05432595569</v>
      </c>
    </row>
    <row r="242" spans="1:11" x14ac:dyDescent="0.25">
      <c r="A242" s="49">
        <f>'A) Base RI'!A241</f>
        <v>5803</v>
      </c>
      <c r="B242" s="293" t="str">
        <f>'A) Base RI'!B241</f>
        <v>Vulliens</v>
      </c>
      <c r="C242" s="10">
        <f>'A) Base RI'!V241</f>
        <v>614</v>
      </c>
      <c r="D242" s="10">
        <f t="shared" si="16"/>
        <v>614</v>
      </c>
      <c r="E242" s="422">
        <f t="shared" si="15"/>
        <v>0</v>
      </c>
      <c r="F242" s="10">
        <f t="shared" si="15"/>
        <v>0</v>
      </c>
      <c r="G242" s="422">
        <f t="shared" si="15"/>
        <v>0</v>
      </c>
      <c r="H242" s="41">
        <f t="shared" si="15"/>
        <v>0</v>
      </c>
      <c r="I242" s="10">
        <f t="shared" si="15"/>
        <v>0</v>
      </c>
      <c r="J242" s="10">
        <f t="shared" si="13"/>
        <v>0</v>
      </c>
      <c r="K242" s="113">
        <f t="shared" si="14"/>
        <v>77136.066398390336</v>
      </c>
    </row>
    <row r="243" spans="1:11" x14ac:dyDescent="0.25">
      <c r="A243" s="49">
        <f>'A) Base RI'!A242</f>
        <v>5804</v>
      </c>
      <c r="B243" s="293" t="str">
        <f>'A) Base RI'!B242</f>
        <v>Jorat-Menthue</v>
      </c>
      <c r="C243" s="10">
        <f>'A) Base RI'!V242</f>
        <v>1591</v>
      </c>
      <c r="D243" s="10">
        <f t="shared" si="16"/>
        <v>1000</v>
      </c>
      <c r="E243" s="422">
        <f t="shared" si="15"/>
        <v>591</v>
      </c>
      <c r="F243" s="10">
        <f t="shared" si="15"/>
        <v>0</v>
      </c>
      <c r="G243" s="422">
        <f t="shared" si="15"/>
        <v>0</v>
      </c>
      <c r="H243" s="41">
        <f t="shared" si="15"/>
        <v>0</v>
      </c>
      <c r="I243" s="10">
        <f t="shared" si="15"/>
        <v>0</v>
      </c>
      <c r="J243" s="10">
        <f t="shared" si="13"/>
        <v>0</v>
      </c>
      <c r="K243" s="113">
        <f t="shared" si="14"/>
        <v>333519.26559356134</v>
      </c>
    </row>
    <row r="244" spans="1:11" x14ac:dyDescent="0.25">
      <c r="A244" s="49">
        <f>'A) Base RI'!A243</f>
        <v>5805</v>
      </c>
      <c r="B244" s="293" t="str">
        <f>'A) Base RI'!B243</f>
        <v>Oron</v>
      </c>
      <c r="C244" s="10">
        <f>'A) Base RI'!V243</f>
        <v>5669</v>
      </c>
      <c r="D244" s="10">
        <f t="shared" si="16"/>
        <v>1000</v>
      </c>
      <c r="E244" s="422">
        <f t="shared" si="15"/>
        <v>2000</v>
      </c>
      <c r="F244" s="10">
        <f t="shared" si="15"/>
        <v>2000</v>
      </c>
      <c r="G244" s="422">
        <f t="shared" si="15"/>
        <v>669</v>
      </c>
      <c r="H244" s="41">
        <f t="shared" si="15"/>
        <v>0</v>
      </c>
      <c r="I244" s="10">
        <f t="shared" si="15"/>
        <v>0</v>
      </c>
      <c r="J244" s="10">
        <f t="shared" si="13"/>
        <v>0</v>
      </c>
      <c r="K244" s="113">
        <f t="shared" si="14"/>
        <v>2237599.195171026</v>
      </c>
    </row>
    <row r="245" spans="1:11" x14ac:dyDescent="0.25">
      <c r="A245" s="49">
        <f>'A) Base RI'!A244</f>
        <v>5806</v>
      </c>
      <c r="B245" s="293" t="str">
        <f>'A) Base RI'!B244</f>
        <v>Jorat-Mézières</v>
      </c>
      <c r="C245" s="10">
        <f>'A) Base RI'!V244</f>
        <v>2949</v>
      </c>
      <c r="D245" s="10">
        <f t="shared" si="16"/>
        <v>1000</v>
      </c>
      <c r="E245" s="422">
        <f t="shared" si="15"/>
        <v>1949</v>
      </c>
      <c r="F245" s="10">
        <f t="shared" si="15"/>
        <v>0</v>
      </c>
      <c r="G245" s="422">
        <f t="shared" si="15"/>
        <v>0</v>
      </c>
      <c r="H245" s="41">
        <f t="shared" si="15"/>
        <v>0</v>
      </c>
      <c r="I245" s="10">
        <f t="shared" si="15"/>
        <v>0</v>
      </c>
      <c r="J245" s="10">
        <f t="shared" si="13"/>
        <v>0</v>
      </c>
      <c r="K245" s="113">
        <f t="shared" si="14"/>
        <v>811210.11066398385</v>
      </c>
    </row>
    <row r="246" spans="1:11" x14ac:dyDescent="0.25">
      <c r="A246" s="49">
        <f>'A) Base RI'!A245</f>
        <v>5812</v>
      </c>
      <c r="B246" s="293" t="str">
        <f>'A) Base RI'!B245</f>
        <v>Champtauroz</v>
      </c>
      <c r="C246" s="10">
        <f>'A) Base RI'!V245</f>
        <v>130</v>
      </c>
      <c r="D246" s="10">
        <f t="shared" si="16"/>
        <v>130</v>
      </c>
      <c r="E246" s="422">
        <f t="shared" si="15"/>
        <v>0</v>
      </c>
      <c r="F246" s="10">
        <f t="shared" si="15"/>
        <v>0</v>
      </c>
      <c r="G246" s="422">
        <f t="shared" si="15"/>
        <v>0</v>
      </c>
      <c r="H246" s="41">
        <f t="shared" si="15"/>
        <v>0</v>
      </c>
      <c r="I246" s="10">
        <f t="shared" si="15"/>
        <v>0</v>
      </c>
      <c r="J246" s="10">
        <f t="shared" si="13"/>
        <v>0</v>
      </c>
      <c r="K246" s="113">
        <f t="shared" si="14"/>
        <v>16331.740442655935</v>
      </c>
    </row>
    <row r="247" spans="1:11" x14ac:dyDescent="0.25">
      <c r="A247" s="49">
        <f>'A) Base RI'!A246</f>
        <v>5813</v>
      </c>
      <c r="B247" s="293" t="str">
        <f>'A) Base RI'!B246</f>
        <v>Chevroux</v>
      </c>
      <c r="C247" s="10">
        <f>'A) Base RI'!V246</f>
        <v>492</v>
      </c>
      <c r="D247" s="10">
        <f t="shared" si="16"/>
        <v>492</v>
      </c>
      <c r="E247" s="422">
        <f t="shared" si="15"/>
        <v>0</v>
      </c>
      <c r="F247" s="10">
        <f t="shared" si="15"/>
        <v>0</v>
      </c>
      <c r="G247" s="422">
        <f t="shared" si="15"/>
        <v>0</v>
      </c>
      <c r="H247" s="41">
        <f t="shared" si="15"/>
        <v>0</v>
      </c>
      <c r="I247" s="10">
        <f t="shared" si="15"/>
        <v>0</v>
      </c>
      <c r="J247" s="10">
        <f t="shared" si="13"/>
        <v>0</v>
      </c>
      <c r="K247" s="113">
        <f t="shared" si="14"/>
        <v>61809.356136820919</v>
      </c>
    </row>
    <row r="248" spans="1:11" x14ac:dyDescent="0.25">
      <c r="A248" s="49">
        <f>'A) Base RI'!A247</f>
        <v>5816</v>
      </c>
      <c r="B248" s="293" t="str">
        <f>'A) Base RI'!B247</f>
        <v>Corcelles-près-Payerne</v>
      </c>
      <c r="C248" s="10">
        <f>'A) Base RI'!V247</f>
        <v>2571</v>
      </c>
      <c r="D248" s="10">
        <f t="shared" si="16"/>
        <v>1000</v>
      </c>
      <c r="E248" s="422">
        <f t="shared" si="15"/>
        <v>1571</v>
      </c>
      <c r="F248" s="10">
        <f t="shared" si="15"/>
        <v>0</v>
      </c>
      <c r="G248" s="422">
        <f t="shared" si="15"/>
        <v>0</v>
      </c>
      <c r="H248" s="41">
        <f t="shared" si="15"/>
        <v>0</v>
      </c>
      <c r="I248" s="10">
        <f t="shared" si="15"/>
        <v>0</v>
      </c>
      <c r="J248" s="10">
        <f t="shared" si="13"/>
        <v>0</v>
      </c>
      <c r="K248" s="113">
        <f t="shared" si="14"/>
        <v>678244.61770623736</v>
      </c>
    </row>
    <row r="249" spans="1:11" x14ac:dyDescent="0.25">
      <c r="A249" s="49">
        <f>'A) Base RI'!A248</f>
        <v>5817</v>
      </c>
      <c r="B249" s="293" t="str">
        <f>'A) Base RI'!B248</f>
        <v>Grandcour</v>
      </c>
      <c r="C249" s="10">
        <f>'A) Base RI'!V248</f>
        <v>953</v>
      </c>
      <c r="D249" s="10">
        <f t="shared" si="16"/>
        <v>953</v>
      </c>
      <c r="E249" s="422">
        <f t="shared" si="15"/>
        <v>0</v>
      </c>
      <c r="F249" s="10">
        <f t="shared" si="15"/>
        <v>0</v>
      </c>
      <c r="G249" s="422">
        <f t="shared" si="15"/>
        <v>0</v>
      </c>
      <c r="H249" s="41">
        <f t="shared" si="15"/>
        <v>0</v>
      </c>
      <c r="I249" s="10">
        <f t="shared" si="15"/>
        <v>0</v>
      </c>
      <c r="J249" s="10">
        <f t="shared" si="13"/>
        <v>0</v>
      </c>
      <c r="K249" s="113">
        <f t="shared" si="14"/>
        <v>119724.22032193159</v>
      </c>
    </row>
    <row r="250" spans="1:11" x14ac:dyDescent="0.25">
      <c r="A250" s="49">
        <f>'A) Base RI'!A249</f>
        <v>5819</v>
      </c>
      <c r="B250" s="293" t="str">
        <f>'A) Base RI'!B249</f>
        <v>Henniez</v>
      </c>
      <c r="C250" s="10">
        <f>'A) Base RI'!V249</f>
        <v>376</v>
      </c>
      <c r="D250" s="10">
        <f t="shared" si="16"/>
        <v>376</v>
      </c>
      <c r="E250" s="422">
        <f t="shared" si="15"/>
        <v>0</v>
      </c>
      <c r="F250" s="10">
        <f t="shared" si="15"/>
        <v>0</v>
      </c>
      <c r="G250" s="422">
        <f t="shared" si="15"/>
        <v>0</v>
      </c>
      <c r="H250" s="41">
        <f t="shared" si="15"/>
        <v>0</v>
      </c>
      <c r="I250" s="10">
        <f t="shared" si="15"/>
        <v>0</v>
      </c>
      <c r="J250" s="10">
        <f t="shared" si="13"/>
        <v>0</v>
      </c>
      <c r="K250" s="113">
        <f t="shared" si="14"/>
        <v>47236.418511066397</v>
      </c>
    </row>
    <row r="251" spans="1:11" x14ac:dyDescent="0.25">
      <c r="A251" s="49">
        <f>'A) Base RI'!A250</f>
        <v>5821</v>
      </c>
      <c r="B251" s="293" t="str">
        <f>'A) Base RI'!B250</f>
        <v>Missy</v>
      </c>
      <c r="C251" s="10">
        <f>'A) Base RI'!V250</f>
        <v>362</v>
      </c>
      <c r="D251" s="10">
        <f t="shared" si="16"/>
        <v>362</v>
      </c>
      <c r="E251" s="422">
        <f t="shared" si="15"/>
        <v>0</v>
      </c>
      <c r="F251" s="10">
        <f t="shared" si="15"/>
        <v>0</v>
      </c>
      <c r="G251" s="422">
        <f t="shared" si="15"/>
        <v>0</v>
      </c>
      <c r="H251" s="41">
        <f t="shared" si="15"/>
        <v>0</v>
      </c>
      <c r="I251" s="10">
        <f t="shared" si="15"/>
        <v>0</v>
      </c>
      <c r="J251" s="10">
        <f t="shared" si="13"/>
        <v>0</v>
      </c>
      <c r="K251" s="113">
        <f t="shared" si="14"/>
        <v>45477.61569416499</v>
      </c>
    </row>
    <row r="252" spans="1:11" x14ac:dyDescent="0.25">
      <c r="A252" s="49">
        <f>'A) Base RI'!A251</f>
        <v>5822</v>
      </c>
      <c r="B252" s="293" t="str">
        <f>'A) Base RI'!B251</f>
        <v>Payerne</v>
      </c>
      <c r="C252" s="10">
        <f>'A) Base RI'!V251</f>
        <v>10072</v>
      </c>
      <c r="D252" s="10">
        <f t="shared" si="16"/>
        <v>1000</v>
      </c>
      <c r="E252" s="422">
        <f t="shared" si="15"/>
        <v>2000</v>
      </c>
      <c r="F252" s="10">
        <f t="shared" si="15"/>
        <v>2000</v>
      </c>
      <c r="G252" s="422">
        <f t="shared" si="15"/>
        <v>4000</v>
      </c>
      <c r="H252" s="41">
        <f t="shared" si="15"/>
        <v>1072</v>
      </c>
      <c r="I252" s="10">
        <f t="shared" si="15"/>
        <v>0</v>
      </c>
      <c r="J252" s="10">
        <f t="shared" si="13"/>
        <v>0</v>
      </c>
      <c r="K252" s="113">
        <f t="shared" si="14"/>
        <v>5162036.0160965798</v>
      </c>
    </row>
    <row r="253" spans="1:11" x14ac:dyDescent="0.25">
      <c r="A253" s="49">
        <f>'A) Base RI'!A252</f>
        <v>5827</v>
      </c>
      <c r="B253" s="293" t="str">
        <f>'A) Base RI'!B252</f>
        <v>Trey</v>
      </c>
      <c r="C253" s="10">
        <f>'A) Base RI'!V252</f>
        <v>285</v>
      </c>
      <c r="D253" s="10">
        <f t="shared" si="16"/>
        <v>285</v>
      </c>
      <c r="E253" s="422">
        <f t="shared" si="15"/>
        <v>0</v>
      </c>
      <c r="F253" s="10">
        <f t="shared" si="15"/>
        <v>0</v>
      </c>
      <c r="G253" s="422">
        <f t="shared" si="15"/>
        <v>0</v>
      </c>
      <c r="H253" s="41">
        <f t="shared" si="15"/>
        <v>0</v>
      </c>
      <c r="I253" s="10">
        <f t="shared" si="15"/>
        <v>0</v>
      </c>
      <c r="J253" s="10">
        <f t="shared" si="13"/>
        <v>0</v>
      </c>
      <c r="K253" s="113">
        <f t="shared" si="14"/>
        <v>35804.200201207241</v>
      </c>
    </row>
    <row r="254" spans="1:11" x14ac:dyDescent="0.25">
      <c r="A254" s="49">
        <f>'A) Base RI'!A253</f>
        <v>5828</v>
      </c>
      <c r="B254" s="293" t="str">
        <f>'A) Base RI'!B253</f>
        <v>Treytorrens (Payerne)</v>
      </c>
      <c r="C254" s="10">
        <f>'A) Base RI'!V253</f>
        <v>111</v>
      </c>
      <c r="D254" s="10">
        <f t="shared" si="16"/>
        <v>111</v>
      </c>
      <c r="E254" s="422">
        <f t="shared" si="15"/>
        <v>0</v>
      </c>
      <c r="F254" s="10">
        <f t="shared" si="15"/>
        <v>0</v>
      </c>
      <c r="G254" s="422">
        <f t="shared" si="15"/>
        <v>0</v>
      </c>
      <c r="H254" s="41">
        <f t="shared" si="15"/>
        <v>0</v>
      </c>
      <c r="I254" s="10">
        <f t="shared" si="15"/>
        <v>0</v>
      </c>
      <c r="J254" s="10">
        <f t="shared" si="13"/>
        <v>0</v>
      </c>
      <c r="K254" s="113">
        <f t="shared" si="14"/>
        <v>13944.793762575451</v>
      </c>
    </row>
    <row r="255" spans="1:11" x14ac:dyDescent="0.25">
      <c r="A255" s="49">
        <f>'A) Base RI'!A254</f>
        <v>5830</v>
      </c>
      <c r="B255" s="293" t="str">
        <f>'A) Base RI'!B254</f>
        <v>Villarzel</v>
      </c>
      <c r="C255" s="10">
        <f>'A) Base RI'!V254</f>
        <v>451</v>
      </c>
      <c r="D255" s="10">
        <f t="shared" si="16"/>
        <v>451</v>
      </c>
      <c r="E255" s="422">
        <f t="shared" si="15"/>
        <v>0</v>
      </c>
      <c r="F255" s="10">
        <f t="shared" si="15"/>
        <v>0</v>
      </c>
      <c r="G255" s="422">
        <f t="shared" si="15"/>
        <v>0</v>
      </c>
      <c r="H255" s="41">
        <f t="shared" si="15"/>
        <v>0</v>
      </c>
      <c r="I255" s="10">
        <f t="shared" si="15"/>
        <v>0</v>
      </c>
      <c r="J255" s="10">
        <f t="shared" si="13"/>
        <v>0</v>
      </c>
      <c r="K255" s="113">
        <f t="shared" si="14"/>
        <v>56658.576458752512</v>
      </c>
    </row>
    <row r="256" spans="1:11" x14ac:dyDescent="0.25">
      <c r="A256" s="49">
        <f>'A) Base RI'!A255</f>
        <v>5831</v>
      </c>
      <c r="B256" s="293" t="str">
        <f>'A) Base RI'!B255</f>
        <v>Valbroye</v>
      </c>
      <c r="C256" s="10">
        <f>'A) Base RI'!V255</f>
        <v>3296</v>
      </c>
      <c r="D256" s="10">
        <f t="shared" si="16"/>
        <v>1000</v>
      </c>
      <c r="E256" s="422">
        <f t="shared" si="15"/>
        <v>2000</v>
      </c>
      <c r="F256" s="10">
        <f t="shared" si="15"/>
        <v>296</v>
      </c>
      <c r="G256" s="422">
        <f t="shared" si="15"/>
        <v>0</v>
      </c>
      <c r="H256" s="41">
        <f t="shared" si="15"/>
        <v>0</v>
      </c>
      <c r="I256" s="10">
        <f t="shared" si="15"/>
        <v>0</v>
      </c>
      <c r="J256" s="10">
        <f t="shared" si="13"/>
        <v>0</v>
      </c>
      <c r="K256" s="113">
        <f t="shared" si="14"/>
        <v>977894.36619718303</v>
      </c>
    </row>
    <row r="257" spans="1:11" x14ac:dyDescent="0.25">
      <c r="A257" s="49">
        <f>'A) Base RI'!A256</f>
        <v>5841</v>
      </c>
      <c r="B257" s="293" t="str">
        <f>'A) Base RI'!B256</f>
        <v>Château-d'Oex</v>
      </c>
      <c r="C257" s="10">
        <f>'A) Base RI'!V256</f>
        <v>3468</v>
      </c>
      <c r="D257" s="10">
        <f t="shared" si="16"/>
        <v>1000</v>
      </c>
      <c r="E257" s="422">
        <f t="shared" si="15"/>
        <v>2000</v>
      </c>
      <c r="F257" s="10">
        <f t="shared" si="15"/>
        <v>468</v>
      </c>
      <c r="G257" s="422">
        <f t="shared" si="15"/>
        <v>0</v>
      </c>
      <c r="H257" s="41">
        <f t="shared" si="15"/>
        <v>0</v>
      </c>
      <c r="I257" s="10">
        <f t="shared" si="15"/>
        <v>0</v>
      </c>
      <c r="J257" s="10">
        <f t="shared" si="13"/>
        <v>0</v>
      </c>
      <c r="K257" s="113">
        <f t="shared" si="14"/>
        <v>1064326.9617706237</v>
      </c>
    </row>
    <row r="258" spans="1:11" x14ac:dyDescent="0.25">
      <c r="A258" s="49">
        <f>'A) Base RI'!A257</f>
        <v>5842</v>
      </c>
      <c r="B258" s="293" t="str">
        <f>'A) Base RI'!B257</f>
        <v>Rossinière</v>
      </c>
      <c r="C258" s="10">
        <f>'A) Base RI'!V257</f>
        <v>548</v>
      </c>
      <c r="D258" s="10">
        <f t="shared" si="16"/>
        <v>548</v>
      </c>
      <c r="E258" s="422">
        <f t="shared" si="15"/>
        <v>0</v>
      </c>
      <c r="F258" s="10">
        <f t="shared" si="15"/>
        <v>0</v>
      </c>
      <c r="G258" s="422">
        <f t="shared" ref="E258:I309" si="17">IF($C258&gt;G$4,IF($C258&lt;G$5,$C258-G$4,G$5-G$4),0)</f>
        <v>0</v>
      </c>
      <c r="H258" s="41">
        <f t="shared" si="17"/>
        <v>0</v>
      </c>
      <c r="I258" s="10">
        <f t="shared" si="17"/>
        <v>0</v>
      </c>
      <c r="J258" s="10">
        <f t="shared" si="13"/>
        <v>0</v>
      </c>
      <c r="K258" s="113">
        <f t="shared" si="14"/>
        <v>68844.567404426562</v>
      </c>
    </row>
    <row r="259" spans="1:11" x14ac:dyDescent="0.25">
      <c r="A259" s="49">
        <f>'A) Base RI'!A258</f>
        <v>5843</v>
      </c>
      <c r="B259" s="293" t="str">
        <f>'A) Base RI'!B258</f>
        <v>Rougemont</v>
      </c>
      <c r="C259" s="10">
        <f>'A) Base RI'!V258</f>
        <v>858</v>
      </c>
      <c r="D259" s="10">
        <f t="shared" si="16"/>
        <v>858</v>
      </c>
      <c r="E259" s="422">
        <f t="shared" si="17"/>
        <v>0</v>
      </c>
      <c r="F259" s="10">
        <f t="shared" si="17"/>
        <v>0</v>
      </c>
      <c r="G259" s="422">
        <f t="shared" si="17"/>
        <v>0</v>
      </c>
      <c r="H259" s="41">
        <f t="shared" si="17"/>
        <v>0</v>
      </c>
      <c r="I259" s="10">
        <f t="shared" si="17"/>
        <v>0</v>
      </c>
      <c r="J259" s="10">
        <f t="shared" si="13"/>
        <v>0</v>
      </c>
      <c r="K259" s="113">
        <f t="shared" si="14"/>
        <v>107789.48692152917</v>
      </c>
    </row>
    <row r="260" spans="1:11" x14ac:dyDescent="0.25">
      <c r="A260" s="49">
        <f>'A) Base RI'!A259</f>
        <v>5851</v>
      </c>
      <c r="B260" s="293" t="str">
        <f>'A) Base RI'!B259</f>
        <v>Allaman</v>
      </c>
      <c r="C260" s="10">
        <f>'A) Base RI'!V259</f>
        <v>451</v>
      </c>
      <c r="D260" s="10">
        <f t="shared" si="16"/>
        <v>451</v>
      </c>
      <c r="E260" s="422">
        <f t="shared" si="17"/>
        <v>0</v>
      </c>
      <c r="F260" s="10">
        <f t="shared" si="17"/>
        <v>0</v>
      </c>
      <c r="G260" s="422">
        <f t="shared" si="17"/>
        <v>0</v>
      </c>
      <c r="H260" s="41">
        <f t="shared" si="17"/>
        <v>0</v>
      </c>
      <c r="I260" s="10">
        <f t="shared" si="17"/>
        <v>0</v>
      </c>
      <c r="J260" s="10">
        <f t="shared" si="13"/>
        <v>0</v>
      </c>
      <c r="K260" s="113">
        <f t="shared" si="14"/>
        <v>56658.576458752512</v>
      </c>
    </row>
    <row r="261" spans="1:11" x14ac:dyDescent="0.25">
      <c r="A261" s="49">
        <f>'A) Base RI'!A260</f>
        <v>5852</v>
      </c>
      <c r="B261" s="293" t="str">
        <f>'A) Base RI'!B260</f>
        <v>Bursinel</v>
      </c>
      <c r="C261" s="10">
        <f>'A) Base RI'!V260</f>
        <v>473</v>
      </c>
      <c r="D261" s="10">
        <f t="shared" si="16"/>
        <v>473</v>
      </c>
      <c r="E261" s="422">
        <f t="shared" si="17"/>
        <v>0</v>
      </c>
      <c r="F261" s="10">
        <f t="shared" si="17"/>
        <v>0</v>
      </c>
      <c r="G261" s="422">
        <f t="shared" si="17"/>
        <v>0</v>
      </c>
      <c r="H261" s="41">
        <f t="shared" si="17"/>
        <v>0</v>
      </c>
      <c r="I261" s="10">
        <f t="shared" si="17"/>
        <v>0</v>
      </c>
      <c r="J261" s="10">
        <f t="shared" si="13"/>
        <v>0</v>
      </c>
      <c r="K261" s="113">
        <f t="shared" si="14"/>
        <v>59422.409456740439</v>
      </c>
    </row>
    <row r="262" spans="1:11" x14ac:dyDescent="0.25">
      <c r="A262" s="49">
        <f>'A) Base RI'!A261</f>
        <v>5853</v>
      </c>
      <c r="B262" s="293" t="str">
        <f>'A) Base RI'!B261</f>
        <v>Bursins</v>
      </c>
      <c r="C262" s="10">
        <f>'A) Base RI'!V261</f>
        <v>782</v>
      </c>
      <c r="D262" s="10">
        <f t="shared" si="16"/>
        <v>782</v>
      </c>
      <c r="E262" s="422">
        <f t="shared" si="17"/>
        <v>0</v>
      </c>
      <c r="F262" s="10">
        <f t="shared" si="17"/>
        <v>0</v>
      </c>
      <c r="G262" s="422">
        <f t="shared" si="17"/>
        <v>0</v>
      </c>
      <c r="H262" s="41">
        <f t="shared" si="17"/>
        <v>0</v>
      </c>
      <c r="I262" s="10">
        <f t="shared" si="17"/>
        <v>0</v>
      </c>
      <c r="J262" s="10">
        <f t="shared" si="13"/>
        <v>0</v>
      </c>
      <c r="K262" s="113">
        <f t="shared" si="14"/>
        <v>98241.700201207233</v>
      </c>
    </row>
    <row r="263" spans="1:11" x14ac:dyDescent="0.25">
      <c r="A263" s="49">
        <f>'A) Base RI'!A262</f>
        <v>5854</v>
      </c>
      <c r="B263" s="293" t="str">
        <f>'A) Base RI'!B262</f>
        <v>Burtigny</v>
      </c>
      <c r="C263" s="10">
        <f>'A) Base RI'!V262</f>
        <v>390</v>
      </c>
      <c r="D263" s="10">
        <f t="shared" si="16"/>
        <v>390</v>
      </c>
      <c r="E263" s="422">
        <f t="shared" si="17"/>
        <v>0</v>
      </c>
      <c r="F263" s="10">
        <f t="shared" si="17"/>
        <v>0</v>
      </c>
      <c r="G263" s="422">
        <f t="shared" si="17"/>
        <v>0</v>
      </c>
      <c r="H263" s="41">
        <f t="shared" si="17"/>
        <v>0</v>
      </c>
      <c r="I263" s="10">
        <f t="shared" si="17"/>
        <v>0</v>
      </c>
      <c r="J263" s="10">
        <f t="shared" si="13"/>
        <v>0</v>
      </c>
      <c r="K263" s="113">
        <f t="shared" si="14"/>
        <v>48995.221327967804</v>
      </c>
    </row>
    <row r="264" spans="1:11" x14ac:dyDescent="0.25">
      <c r="A264" s="49">
        <f>'A) Base RI'!A263</f>
        <v>5855</v>
      </c>
      <c r="B264" s="293" t="str">
        <f>'A) Base RI'!B263</f>
        <v>Dully</v>
      </c>
      <c r="C264" s="10">
        <f>'A) Base RI'!V263</f>
        <v>639</v>
      </c>
      <c r="D264" s="10">
        <f t="shared" si="16"/>
        <v>639</v>
      </c>
      <c r="E264" s="422">
        <f t="shared" si="17"/>
        <v>0</v>
      </c>
      <c r="F264" s="10">
        <f t="shared" si="17"/>
        <v>0</v>
      </c>
      <c r="G264" s="422">
        <f t="shared" si="17"/>
        <v>0</v>
      </c>
      <c r="H264" s="41">
        <f t="shared" si="17"/>
        <v>0</v>
      </c>
      <c r="I264" s="10">
        <f t="shared" si="17"/>
        <v>0</v>
      </c>
      <c r="J264" s="10">
        <f t="shared" ref="J264:J315" si="18">IF(C264&gt;$J$4,C264-$J$4,0)</f>
        <v>0</v>
      </c>
      <c r="K264" s="113">
        <f t="shared" ref="K264:K315" si="19">(D264*D$7)+(E264*E$7)+(F264*F$7)+(G264*G$7)+(H264*H$7)+(I264*I$7)+(J264*J$7)</f>
        <v>80276.78571428571</v>
      </c>
    </row>
    <row r="265" spans="1:11" x14ac:dyDescent="0.25">
      <c r="A265" s="49">
        <f>'A) Base RI'!A264</f>
        <v>5856</v>
      </c>
      <c r="B265" s="293" t="str">
        <f>'A) Base RI'!B264</f>
        <v>Essertines-sur-Rolle</v>
      </c>
      <c r="C265" s="10">
        <f>'A) Base RI'!V264</f>
        <v>722</v>
      </c>
      <c r="D265" s="10">
        <f t="shared" si="16"/>
        <v>722</v>
      </c>
      <c r="E265" s="422">
        <f t="shared" si="17"/>
        <v>0</v>
      </c>
      <c r="F265" s="10">
        <f t="shared" si="17"/>
        <v>0</v>
      </c>
      <c r="G265" s="422">
        <f t="shared" si="17"/>
        <v>0</v>
      </c>
      <c r="H265" s="41">
        <f t="shared" si="17"/>
        <v>0</v>
      </c>
      <c r="I265" s="10">
        <f t="shared" si="17"/>
        <v>0</v>
      </c>
      <c r="J265" s="10">
        <f t="shared" si="18"/>
        <v>0</v>
      </c>
      <c r="K265" s="113">
        <f t="shared" si="19"/>
        <v>90703.973843058338</v>
      </c>
    </row>
    <row r="266" spans="1:11" x14ac:dyDescent="0.25">
      <c r="A266" s="49">
        <f>'A) Base RI'!A265</f>
        <v>5857</v>
      </c>
      <c r="B266" s="293" t="str">
        <f>'A) Base RI'!B265</f>
        <v>Gilly</v>
      </c>
      <c r="C266" s="10">
        <f>'A) Base RI'!V265</f>
        <v>1370</v>
      </c>
      <c r="D266" s="10">
        <f t="shared" si="16"/>
        <v>1000</v>
      </c>
      <c r="E266" s="422">
        <f t="shared" si="17"/>
        <v>370</v>
      </c>
      <c r="F266" s="10">
        <f t="shared" si="17"/>
        <v>0</v>
      </c>
      <c r="G266" s="422">
        <f t="shared" si="17"/>
        <v>0</v>
      </c>
      <c r="H266" s="41">
        <f t="shared" si="17"/>
        <v>0</v>
      </c>
      <c r="I266" s="10">
        <f t="shared" si="17"/>
        <v>0</v>
      </c>
      <c r="J266" s="10">
        <f t="shared" si="18"/>
        <v>0</v>
      </c>
      <c r="K266" s="113">
        <f t="shared" si="19"/>
        <v>255780.18108651909</v>
      </c>
    </row>
    <row r="267" spans="1:11" x14ac:dyDescent="0.25">
      <c r="A267" s="49">
        <f>'A) Base RI'!A266</f>
        <v>5858</v>
      </c>
      <c r="B267" s="293" t="str">
        <f>'A) Base RI'!B266</f>
        <v>Luins</v>
      </c>
      <c r="C267" s="10">
        <f>'A) Base RI'!V266</f>
        <v>621</v>
      </c>
      <c r="D267" s="10">
        <f t="shared" si="16"/>
        <v>621</v>
      </c>
      <c r="E267" s="422">
        <f t="shared" si="17"/>
        <v>0</v>
      </c>
      <c r="F267" s="10">
        <f t="shared" si="17"/>
        <v>0</v>
      </c>
      <c r="G267" s="422">
        <f t="shared" si="17"/>
        <v>0</v>
      </c>
      <c r="H267" s="41">
        <f t="shared" si="17"/>
        <v>0</v>
      </c>
      <c r="I267" s="10">
        <f t="shared" si="17"/>
        <v>0</v>
      </c>
      <c r="J267" s="10">
        <f t="shared" si="18"/>
        <v>0</v>
      </c>
      <c r="K267" s="113">
        <f t="shared" si="19"/>
        <v>78015.467806841043</v>
      </c>
    </row>
    <row r="268" spans="1:11" x14ac:dyDescent="0.25">
      <c r="A268" s="49">
        <f>'A) Base RI'!A267</f>
        <v>5859</v>
      </c>
      <c r="B268" s="293" t="str">
        <f>'A) Base RI'!B267</f>
        <v>Mont-sur-Rolle</v>
      </c>
      <c r="C268" s="10">
        <f>'A) Base RI'!V267</f>
        <v>2677</v>
      </c>
      <c r="D268" s="10">
        <f t="shared" si="16"/>
        <v>1000</v>
      </c>
      <c r="E268" s="422">
        <f t="shared" si="17"/>
        <v>1677</v>
      </c>
      <c r="F268" s="10">
        <f t="shared" si="17"/>
        <v>0</v>
      </c>
      <c r="G268" s="422">
        <f t="shared" si="17"/>
        <v>0</v>
      </c>
      <c r="H268" s="41">
        <f t="shared" si="17"/>
        <v>0</v>
      </c>
      <c r="I268" s="10">
        <f t="shared" si="17"/>
        <v>0</v>
      </c>
      <c r="J268" s="10">
        <f t="shared" si="18"/>
        <v>0</v>
      </c>
      <c r="K268" s="113">
        <f t="shared" si="19"/>
        <v>715531.2374245472</v>
      </c>
    </row>
    <row r="269" spans="1:11" x14ac:dyDescent="0.25">
      <c r="A269" s="49">
        <f>'A) Base RI'!A268</f>
        <v>5860</v>
      </c>
      <c r="B269" s="293" t="str">
        <f>'A) Base RI'!B268</f>
        <v>Perroy</v>
      </c>
      <c r="C269" s="10">
        <f>'A) Base RI'!V268</f>
        <v>1497</v>
      </c>
      <c r="D269" s="10">
        <f t="shared" si="16"/>
        <v>1000</v>
      </c>
      <c r="E269" s="422">
        <f t="shared" si="17"/>
        <v>497</v>
      </c>
      <c r="F269" s="10">
        <f t="shared" si="17"/>
        <v>0</v>
      </c>
      <c r="G269" s="422">
        <f t="shared" si="17"/>
        <v>0</v>
      </c>
      <c r="H269" s="41">
        <f t="shared" si="17"/>
        <v>0</v>
      </c>
      <c r="I269" s="10">
        <f t="shared" si="17"/>
        <v>0</v>
      </c>
      <c r="J269" s="10">
        <f t="shared" si="18"/>
        <v>0</v>
      </c>
      <c r="K269" s="113">
        <f t="shared" si="19"/>
        <v>300453.77263581485</v>
      </c>
    </row>
    <row r="270" spans="1:11" x14ac:dyDescent="0.25">
      <c r="A270" s="49">
        <f>'A) Base RI'!A269</f>
        <v>5861</v>
      </c>
      <c r="B270" s="293" t="str">
        <f>'A) Base RI'!B269</f>
        <v>Rolle</v>
      </c>
      <c r="C270" s="10">
        <f>'A) Base RI'!V269</f>
        <v>6245</v>
      </c>
      <c r="D270" s="10">
        <f t="shared" si="16"/>
        <v>1000</v>
      </c>
      <c r="E270" s="422">
        <f t="shared" si="17"/>
        <v>2000</v>
      </c>
      <c r="F270" s="10">
        <f t="shared" si="17"/>
        <v>2000</v>
      </c>
      <c r="G270" s="422">
        <f t="shared" si="17"/>
        <v>1245</v>
      </c>
      <c r="H270" s="41">
        <f t="shared" si="17"/>
        <v>0</v>
      </c>
      <c r="I270" s="10">
        <f t="shared" si="17"/>
        <v>0</v>
      </c>
      <c r="J270" s="10">
        <f t="shared" si="18"/>
        <v>0</v>
      </c>
      <c r="K270" s="113">
        <f t="shared" si="19"/>
        <v>2584937.6257545273</v>
      </c>
    </row>
    <row r="271" spans="1:11" x14ac:dyDescent="0.25">
      <c r="A271" s="49">
        <f>'A) Base RI'!A270</f>
        <v>5862</v>
      </c>
      <c r="B271" s="293" t="str">
        <f>'A) Base RI'!B270</f>
        <v>Tartegnin</v>
      </c>
      <c r="C271" s="10">
        <f>'A) Base RI'!V270</f>
        <v>233</v>
      </c>
      <c r="D271" s="10">
        <f t="shared" si="16"/>
        <v>233</v>
      </c>
      <c r="E271" s="422">
        <f t="shared" si="17"/>
        <v>0</v>
      </c>
      <c r="F271" s="10">
        <f t="shared" si="17"/>
        <v>0</v>
      </c>
      <c r="G271" s="422">
        <f t="shared" si="17"/>
        <v>0</v>
      </c>
      <c r="H271" s="41">
        <f t="shared" si="17"/>
        <v>0</v>
      </c>
      <c r="I271" s="10">
        <f t="shared" si="17"/>
        <v>0</v>
      </c>
      <c r="J271" s="10">
        <f t="shared" si="18"/>
        <v>0</v>
      </c>
      <c r="K271" s="113">
        <f t="shared" si="19"/>
        <v>29271.504024144866</v>
      </c>
    </row>
    <row r="272" spans="1:11" x14ac:dyDescent="0.25">
      <c r="A272" s="49">
        <f>'A) Base RI'!A271</f>
        <v>5863</v>
      </c>
      <c r="B272" s="293" t="str">
        <f>'A) Base RI'!B271</f>
        <v>Vinzel</v>
      </c>
      <c r="C272" s="10">
        <f>'A) Base RI'!V271</f>
        <v>355</v>
      </c>
      <c r="D272" s="10">
        <f t="shared" si="16"/>
        <v>355</v>
      </c>
      <c r="E272" s="422">
        <f t="shared" si="17"/>
        <v>0</v>
      </c>
      <c r="F272" s="10">
        <f t="shared" si="17"/>
        <v>0</v>
      </c>
      <c r="G272" s="422">
        <f t="shared" si="17"/>
        <v>0</v>
      </c>
      <c r="H272" s="41">
        <f t="shared" si="17"/>
        <v>0</v>
      </c>
      <c r="I272" s="10">
        <f t="shared" si="17"/>
        <v>0</v>
      </c>
      <c r="J272" s="10">
        <f t="shared" si="18"/>
        <v>0</v>
      </c>
      <c r="K272" s="113">
        <f t="shared" si="19"/>
        <v>44598.214285714283</v>
      </c>
    </row>
    <row r="273" spans="1:11" x14ac:dyDescent="0.25">
      <c r="A273" s="49">
        <f>'A) Base RI'!A272</f>
        <v>5871</v>
      </c>
      <c r="B273" s="293" t="str">
        <f>'A) Base RI'!B272</f>
        <v>L'Abbaye</v>
      </c>
      <c r="C273" s="10">
        <f>'A) Base RI'!V272</f>
        <v>1481</v>
      </c>
      <c r="D273" s="10">
        <f t="shared" si="16"/>
        <v>1000</v>
      </c>
      <c r="E273" s="422">
        <f t="shared" si="17"/>
        <v>481</v>
      </c>
      <c r="F273" s="10">
        <f t="shared" si="17"/>
        <v>0</v>
      </c>
      <c r="G273" s="422">
        <f t="shared" si="17"/>
        <v>0</v>
      </c>
      <c r="H273" s="41">
        <f t="shared" si="17"/>
        <v>0</v>
      </c>
      <c r="I273" s="10">
        <f t="shared" si="17"/>
        <v>0</v>
      </c>
      <c r="J273" s="10">
        <f t="shared" si="18"/>
        <v>0</v>
      </c>
      <c r="K273" s="113">
        <f t="shared" si="19"/>
        <v>294825.60362173035</v>
      </c>
    </row>
    <row r="274" spans="1:11" x14ac:dyDescent="0.25">
      <c r="A274" s="49">
        <f>'A) Base RI'!A273</f>
        <v>5872</v>
      </c>
      <c r="B274" s="293" t="str">
        <f>'A) Base RI'!B273</f>
        <v>Le Chenit</v>
      </c>
      <c r="C274" s="10">
        <f>'A) Base RI'!V273</f>
        <v>4657</v>
      </c>
      <c r="D274" s="10">
        <f t="shared" si="16"/>
        <v>1000</v>
      </c>
      <c r="E274" s="422">
        <f t="shared" si="17"/>
        <v>2000</v>
      </c>
      <c r="F274" s="10">
        <f t="shared" si="17"/>
        <v>1657</v>
      </c>
      <c r="G274" s="422">
        <f t="shared" si="17"/>
        <v>0</v>
      </c>
      <c r="H274" s="41">
        <f t="shared" si="17"/>
        <v>0</v>
      </c>
      <c r="I274" s="10">
        <f t="shared" si="17"/>
        <v>0</v>
      </c>
      <c r="J274" s="10">
        <f t="shared" si="18"/>
        <v>0</v>
      </c>
      <c r="K274" s="113">
        <f t="shared" si="19"/>
        <v>1661817.4044265593</v>
      </c>
    </row>
    <row r="275" spans="1:11" x14ac:dyDescent="0.25">
      <c r="A275" s="49">
        <f>'A) Base RI'!A274</f>
        <v>5873</v>
      </c>
      <c r="B275" s="293" t="str">
        <f>'A) Base RI'!B274</f>
        <v>Le Lieu</v>
      </c>
      <c r="C275" s="10">
        <f>'A) Base RI'!V274</f>
        <v>900</v>
      </c>
      <c r="D275" s="10">
        <f t="shared" si="16"/>
        <v>900</v>
      </c>
      <c r="E275" s="422">
        <f t="shared" si="17"/>
        <v>0</v>
      </c>
      <c r="F275" s="10">
        <f t="shared" si="17"/>
        <v>0</v>
      </c>
      <c r="G275" s="422">
        <f t="shared" si="17"/>
        <v>0</v>
      </c>
      <c r="H275" s="41">
        <f t="shared" si="17"/>
        <v>0</v>
      </c>
      <c r="I275" s="10">
        <f t="shared" si="17"/>
        <v>0</v>
      </c>
      <c r="J275" s="10">
        <f t="shared" si="18"/>
        <v>0</v>
      </c>
      <c r="K275" s="113">
        <f t="shared" si="19"/>
        <v>113065.8953722334</v>
      </c>
    </row>
    <row r="276" spans="1:11" x14ac:dyDescent="0.25">
      <c r="A276" s="49">
        <f>'A) Base RI'!A275</f>
        <v>5881</v>
      </c>
      <c r="B276" s="293" t="str">
        <f>'A) Base RI'!B275</f>
        <v>Blonay</v>
      </c>
      <c r="C276" s="10">
        <f>'A) Base RI'!V275</f>
        <v>6151</v>
      </c>
      <c r="D276" s="10">
        <f t="shared" si="16"/>
        <v>1000</v>
      </c>
      <c r="E276" s="422">
        <f t="shared" si="17"/>
        <v>2000</v>
      </c>
      <c r="F276" s="10">
        <f t="shared" si="17"/>
        <v>2000</v>
      </c>
      <c r="G276" s="422">
        <f t="shared" si="17"/>
        <v>1151</v>
      </c>
      <c r="H276" s="41">
        <f t="shared" si="17"/>
        <v>0</v>
      </c>
      <c r="I276" s="10">
        <f t="shared" si="17"/>
        <v>0</v>
      </c>
      <c r="J276" s="10">
        <f t="shared" si="18"/>
        <v>0</v>
      </c>
      <c r="K276" s="113">
        <f t="shared" si="19"/>
        <v>2528253.9235412474</v>
      </c>
    </row>
    <row r="277" spans="1:11" x14ac:dyDescent="0.25">
      <c r="A277" s="49">
        <f>'A) Base RI'!A276</f>
        <v>5882</v>
      </c>
      <c r="B277" s="293" t="str">
        <f>'A) Base RI'!B276</f>
        <v>Chardonne</v>
      </c>
      <c r="C277" s="10">
        <f>'A) Base RI'!V276</f>
        <v>3032</v>
      </c>
      <c r="D277" s="10">
        <f t="shared" si="16"/>
        <v>1000</v>
      </c>
      <c r="E277" s="422">
        <f t="shared" si="17"/>
        <v>2000</v>
      </c>
      <c r="F277" s="10">
        <f t="shared" si="17"/>
        <v>32</v>
      </c>
      <c r="G277" s="422">
        <f t="shared" si="17"/>
        <v>0</v>
      </c>
      <c r="H277" s="41">
        <f t="shared" si="17"/>
        <v>0</v>
      </c>
      <c r="I277" s="10">
        <f t="shared" si="17"/>
        <v>0</v>
      </c>
      <c r="J277" s="10">
        <f t="shared" si="18"/>
        <v>0</v>
      </c>
      <c r="K277" s="113">
        <f t="shared" si="19"/>
        <v>845230.38229376252</v>
      </c>
    </row>
    <row r="278" spans="1:11" x14ac:dyDescent="0.25">
      <c r="A278" s="49">
        <f>'A) Base RI'!A277</f>
        <v>5883</v>
      </c>
      <c r="B278" s="293" t="str">
        <f>'A) Base RI'!B277</f>
        <v>Corseaux</v>
      </c>
      <c r="C278" s="10">
        <f>'A) Base RI'!V277</f>
        <v>2287</v>
      </c>
      <c r="D278" s="10">
        <f t="shared" si="16"/>
        <v>1000</v>
      </c>
      <c r="E278" s="422">
        <f t="shared" si="17"/>
        <v>1287</v>
      </c>
      <c r="F278" s="10">
        <f t="shared" si="17"/>
        <v>0</v>
      </c>
      <c r="G278" s="422">
        <f t="shared" si="17"/>
        <v>0</v>
      </c>
      <c r="H278" s="41">
        <f t="shared" si="17"/>
        <v>0</v>
      </c>
      <c r="I278" s="10">
        <f t="shared" si="17"/>
        <v>0</v>
      </c>
      <c r="J278" s="10">
        <f t="shared" si="18"/>
        <v>0</v>
      </c>
      <c r="K278" s="113">
        <f t="shared" si="19"/>
        <v>578344.61770623736</v>
      </c>
    </row>
    <row r="279" spans="1:11" x14ac:dyDescent="0.25">
      <c r="A279" s="49">
        <f>'A) Base RI'!A278</f>
        <v>5884</v>
      </c>
      <c r="B279" s="293" t="str">
        <f>'A) Base RI'!B278</f>
        <v>Corsier-sur-Vevey</v>
      </c>
      <c r="C279" s="10">
        <f>'A) Base RI'!V278</f>
        <v>3363</v>
      </c>
      <c r="D279" s="10">
        <f t="shared" si="16"/>
        <v>1000</v>
      </c>
      <c r="E279" s="422">
        <f t="shared" si="17"/>
        <v>2000</v>
      </c>
      <c r="F279" s="10">
        <f t="shared" si="17"/>
        <v>363</v>
      </c>
      <c r="G279" s="422">
        <f t="shared" si="17"/>
        <v>0</v>
      </c>
      <c r="H279" s="41">
        <f t="shared" si="17"/>
        <v>0</v>
      </c>
      <c r="I279" s="10">
        <f t="shared" si="17"/>
        <v>0</v>
      </c>
      <c r="J279" s="10">
        <f t="shared" si="18"/>
        <v>0</v>
      </c>
      <c r="K279" s="113">
        <f t="shared" si="19"/>
        <v>1011562.8772635814</v>
      </c>
    </row>
    <row r="280" spans="1:11" x14ac:dyDescent="0.25">
      <c r="A280" s="49">
        <f>'A) Base RI'!A279</f>
        <v>5885</v>
      </c>
      <c r="B280" s="293" t="str">
        <f>'A) Base RI'!B279</f>
        <v>Jongny</v>
      </c>
      <c r="C280" s="10">
        <f>'A) Base RI'!V279</f>
        <v>1544</v>
      </c>
      <c r="D280" s="10">
        <f t="shared" si="16"/>
        <v>1000</v>
      </c>
      <c r="E280" s="422">
        <f t="shared" si="17"/>
        <v>544</v>
      </c>
      <c r="F280" s="10">
        <f t="shared" si="17"/>
        <v>0</v>
      </c>
      <c r="G280" s="422">
        <f t="shared" si="17"/>
        <v>0</v>
      </c>
      <c r="H280" s="41">
        <f t="shared" si="17"/>
        <v>0</v>
      </c>
      <c r="I280" s="10">
        <f t="shared" si="17"/>
        <v>0</v>
      </c>
      <c r="J280" s="10">
        <f t="shared" si="18"/>
        <v>0</v>
      </c>
      <c r="K280" s="113">
        <f t="shared" si="19"/>
        <v>316986.5191146881</v>
      </c>
    </row>
    <row r="281" spans="1:11" x14ac:dyDescent="0.25">
      <c r="A281" s="49">
        <f>'A) Base RI'!A280</f>
        <v>5886</v>
      </c>
      <c r="B281" s="293" t="str">
        <f>'A) Base RI'!B280</f>
        <v>Montreux</v>
      </c>
      <c r="C281" s="10">
        <f>'A) Base RI'!V280</f>
        <v>26065</v>
      </c>
      <c r="D281" s="10">
        <f t="shared" si="16"/>
        <v>1000</v>
      </c>
      <c r="E281" s="422">
        <f t="shared" si="17"/>
        <v>2000</v>
      </c>
      <c r="F281" s="10">
        <f t="shared" si="17"/>
        <v>2000</v>
      </c>
      <c r="G281" s="422">
        <f t="shared" si="17"/>
        <v>4000</v>
      </c>
      <c r="H281" s="41">
        <f t="shared" si="17"/>
        <v>3000</v>
      </c>
      <c r="I281" s="10">
        <f t="shared" si="17"/>
        <v>3000</v>
      </c>
      <c r="J281" s="10">
        <f t="shared" si="18"/>
        <v>11065</v>
      </c>
      <c r="K281" s="113">
        <f t="shared" si="19"/>
        <v>21500861.921529174</v>
      </c>
    </row>
    <row r="282" spans="1:11" x14ac:dyDescent="0.25">
      <c r="A282" s="49">
        <f>'A) Base RI'!A281</f>
        <v>5888</v>
      </c>
      <c r="B282" s="293" t="str">
        <f>'A) Base RI'!B281</f>
        <v>Saint-Légier-La Chiésaz</v>
      </c>
      <c r="C282" s="10">
        <f>'A) Base RI'!V281</f>
        <v>5243</v>
      </c>
      <c r="D282" s="10">
        <f t="shared" si="16"/>
        <v>1000</v>
      </c>
      <c r="E282" s="422">
        <f t="shared" si="17"/>
        <v>2000</v>
      </c>
      <c r="F282" s="10">
        <f t="shared" si="17"/>
        <v>2000</v>
      </c>
      <c r="G282" s="422">
        <f t="shared" si="17"/>
        <v>243</v>
      </c>
      <c r="H282" s="41">
        <f t="shared" si="17"/>
        <v>0</v>
      </c>
      <c r="I282" s="10">
        <f t="shared" si="17"/>
        <v>0</v>
      </c>
      <c r="J282" s="10">
        <f t="shared" si="18"/>
        <v>0</v>
      </c>
      <c r="K282" s="113">
        <f t="shared" si="19"/>
        <v>1980713.480885312</v>
      </c>
    </row>
    <row r="283" spans="1:11" x14ac:dyDescent="0.25">
      <c r="A283" s="49">
        <f>'A) Base RI'!A282</f>
        <v>5889</v>
      </c>
      <c r="B283" s="293" t="str">
        <f>'A) Base RI'!B282</f>
        <v>La Tour-de-Peilz</v>
      </c>
      <c r="C283" s="10">
        <f>'A) Base RI'!V282</f>
        <v>11906</v>
      </c>
      <c r="D283" s="10">
        <f t="shared" si="16"/>
        <v>1000</v>
      </c>
      <c r="E283" s="422">
        <f t="shared" si="17"/>
        <v>2000</v>
      </c>
      <c r="F283" s="10">
        <f t="shared" si="17"/>
        <v>2000</v>
      </c>
      <c r="G283" s="422">
        <f t="shared" si="17"/>
        <v>4000</v>
      </c>
      <c r="H283" s="41">
        <f t="shared" si="17"/>
        <v>2906</v>
      </c>
      <c r="I283" s="10">
        <f t="shared" si="17"/>
        <v>0</v>
      </c>
      <c r="J283" s="10">
        <f t="shared" si="18"/>
        <v>0</v>
      </c>
      <c r="K283" s="113">
        <f t="shared" si="19"/>
        <v>6728777.5653923545</v>
      </c>
    </row>
    <row r="284" spans="1:11" x14ac:dyDescent="0.25">
      <c r="A284" s="49">
        <f>'A) Base RI'!A283</f>
        <v>5890</v>
      </c>
      <c r="B284" s="293" t="str">
        <f>'A) Base RI'!B283</f>
        <v>Vevey</v>
      </c>
      <c r="C284" s="10">
        <f>'A) Base RI'!V283</f>
        <v>19871</v>
      </c>
      <c r="D284" s="10">
        <f t="shared" si="16"/>
        <v>1000</v>
      </c>
      <c r="E284" s="422">
        <f t="shared" si="17"/>
        <v>2000</v>
      </c>
      <c r="F284" s="10">
        <f t="shared" si="17"/>
        <v>2000</v>
      </c>
      <c r="G284" s="422">
        <f t="shared" si="17"/>
        <v>4000</v>
      </c>
      <c r="H284" s="41">
        <f t="shared" si="17"/>
        <v>3000</v>
      </c>
      <c r="I284" s="10">
        <f t="shared" si="17"/>
        <v>3000</v>
      </c>
      <c r="J284" s="10">
        <f t="shared" si="18"/>
        <v>4871</v>
      </c>
      <c r="K284" s="113">
        <f t="shared" si="19"/>
        <v>14964447.132796781</v>
      </c>
    </row>
    <row r="285" spans="1:11" x14ac:dyDescent="0.25">
      <c r="A285" s="49">
        <f>'A) Base RI'!A284</f>
        <v>5891</v>
      </c>
      <c r="B285" s="293" t="str">
        <f>'A) Base RI'!B284</f>
        <v>Veytaux</v>
      </c>
      <c r="C285" s="10">
        <f>'A) Base RI'!V284</f>
        <v>922</v>
      </c>
      <c r="D285" s="10">
        <f t="shared" si="16"/>
        <v>922</v>
      </c>
      <c r="E285" s="422">
        <f t="shared" si="17"/>
        <v>0</v>
      </c>
      <c r="F285" s="10">
        <f t="shared" si="17"/>
        <v>0</v>
      </c>
      <c r="G285" s="422">
        <f t="shared" si="17"/>
        <v>0</v>
      </c>
      <c r="H285" s="41">
        <f t="shared" si="17"/>
        <v>0</v>
      </c>
      <c r="I285" s="10">
        <f t="shared" si="17"/>
        <v>0</v>
      </c>
      <c r="J285" s="10">
        <f t="shared" si="18"/>
        <v>0</v>
      </c>
      <c r="K285" s="113">
        <f t="shared" si="19"/>
        <v>115829.72837022132</v>
      </c>
    </row>
    <row r="286" spans="1:11" x14ac:dyDescent="0.25">
      <c r="A286" s="49">
        <f>'A) Base RI'!A285</f>
        <v>5902</v>
      </c>
      <c r="B286" s="293" t="str">
        <f>'A) Base RI'!B285</f>
        <v>Belmont-sur-Yverdon</v>
      </c>
      <c r="C286" s="10">
        <f>'A) Base RI'!V285</f>
        <v>374</v>
      </c>
      <c r="D286" s="10">
        <f t="shared" si="16"/>
        <v>374</v>
      </c>
      <c r="E286" s="422">
        <f t="shared" si="17"/>
        <v>0</v>
      </c>
      <c r="F286" s="10">
        <f t="shared" si="17"/>
        <v>0</v>
      </c>
      <c r="G286" s="422">
        <f t="shared" si="17"/>
        <v>0</v>
      </c>
      <c r="H286" s="41">
        <f t="shared" si="17"/>
        <v>0</v>
      </c>
      <c r="I286" s="10">
        <f t="shared" si="17"/>
        <v>0</v>
      </c>
      <c r="J286" s="10">
        <f t="shared" si="18"/>
        <v>0</v>
      </c>
      <c r="K286" s="113">
        <f t="shared" si="19"/>
        <v>46985.160965794763</v>
      </c>
    </row>
    <row r="287" spans="1:11" x14ac:dyDescent="0.25">
      <c r="A287" s="49">
        <f>'A) Base RI'!A286</f>
        <v>5903</v>
      </c>
      <c r="B287" s="293" t="str">
        <f>'A) Base RI'!B286</f>
        <v>Bioley-Magnoux</v>
      </c>
      <c r="C287" s="10">
        <f>'A) Base RI'!V286</f>
        <v>228</v>
      </c>
      <c r="D287" s="10">
        <f t="shared" si="16"/>
        <v>228</v>
      </c>
      <c r="E287" s="422">
        <f t="shared" si="17"/>
        <v>0</v>
      </c>
      <c r="F287" s="10">
        <f t="shared" si="17"/>
        <v>0</v>
      </c>
      <c r="G287" s="422">
        <f t="shared" si="17"/>
        <v>0</v>
      </c>
      <c r="H287" s="41">
        <f t="shared" si="17"/>
        <v>0</v>
      </c>
      <c r="I287" s="10">
        <f t="shared" si="17"/>
        <v>0</v>
      </c>
      <c r="J287" s="10">
        <f t="shared" si="18"/>
        <v>0</v>
      </c>
      <c r="K287" s="113">
        <f t="shared" si="19"/>
        <v>28643.360160965793</v>
      </c>
    </row>
    <row r="288" spans="1:11" x14ac:dyDescent="0.25">
      <c r="A288" s="49">
        <f>'A) Base RI'!A287</f>
        <v>5904</v>
      </c>
      <c r="B288" s="293" t="str">
        <f>'A) Base RI'!B287</f>
        <v>Chamblon</v>
      </c>
      <c r="C288" s="10">
        <f>'A) Base RI'!V287</f>
        <v>540</v>
      </c>
      <c r="D288" s="10">
        <f t="shared" si="16"/>
        <v>540</v>
      </c>
      <c r="E288" s="422">
        <f t="shared" si="17"/>
        <v>0</v>
      </c>
      <c r="F288" s="10">
        <f t="shared" si="17"/>
        <v>0</v>
      </c>
      <c r="G288" s="422">
        <f t="shared" si="17"/>
        <v>0</v>
      </c>
      <c r="H288" s="41">
        <f t="shared" si="17"/>
        <v>0</v>
      </c>
      <c r="I288" s="10">
        <f t="shared" si="17"/>
        <v>0</v>
      </c>
      <c r="J288" s="10">
        <f t="shared" si="18"/>
        <v>0</v>
      </c>
      <c r="K288" s="113">
        <f t="shared" si="19"/>
        <v>67839.537223340041</v>
      </c>
    </row>
    <row r="289" spans="1:11" x14ac:dyDescent="0.25">
      <c r="A289" s="49">
        <f>'A) Base RI'!A288</f>
        <v>5905</v>
      </c>
      <c r="B289" s="293" t="str">
        <f>'A) Base RI'!B288</f>
        <v>Champvent</v>
      </c>
      <c r="C289" s="10">
        <f>'A) Base RI'!V288</f>
        <v>689</v>
      </c>
      <c r="D289" s="10">
        <f t="shared" si="16"/>
        <v>689</v>
      </c>
      <c r="E289" s="422">
        <f t="shared" si="17"/>
        <v>0</v>
      </c>
      <c r="F289" s="10">
        <f t="shared" si="17"/>
        <v>0</v>
      </c>
      <c r="G289" s="422">
        <f t="shared" si="17"/>
        <v>0</v>
      </c>
      <c r="H289" s="41">
        <f t="shared" si="17"/>
        <v>0</v>
      </c>
      <c r="I289" s="10">
        <f t="shared" si="17"/>
        <v>0</v>
      </c>
      <c r="J289" s="10">
        <f t="shared" si="18"/>
        <v>0</v>
      </c>
      <c r="K289" s="113">
        <f t="shared" si="19"/>
        <v>86558.224346076458</v>
      </c>
    </row>
    <row r="290" spans="1:11" x14ac:dyDescent="0.25">
      <c r="A290" s="49">
        <f>'A) Base RI'!A289</f>
        <v>5907</v>
      </c>
      <c r="B290" s="293" t="str">
        <f>'A) Base RI'!B289</f>
        <v>Chavannes-le-Chêne</v>
      </c>
      <c r="C290" s="10">
        <f>'A) Base RI'!V289</f>
        <v>311</v>
      </c>
      <c r="D290" s="10">
        <f t="shared" si="16"/>
        <v>311</v>
      </c>
      <c r="E290" s="422">
        <f t="shared" si="17"/>
        <v>0</v>
      </c>
      <c r="F290" s="10">
        <f t="shared" si="17"/>
        <v>0</v>
      </c>
      <c r="G290" s="422">
        <f t="shared" si="17"/>
        <v>0</v>
      </c>
      <c r="H290" s="41">
        <f t="shared" si="17"/>
        <v>0</v>
      </c>
      <c r="I290" s="10">
        <f t="shared" si="17"/>
        <v>0</v>
      </c>
      <c r="J290" s="10">
        <f t="shared" si="18"/>
        <v>0</v>
      </c>
      <c r="K290" s="113">
        <f t="shared" si="19"/>
        <v>39070.548289738428</v>
      </c>
    </row>
    <row r="291" spans="1:11" x14ac:dyDescent="0.25">
      <c r="A291" s="49">
        <f>'A) Base RI'!A290</f>
        <v>5908</v>
      </c>
      <c r="B291" s="293" t="str">
        <f>'A) Base RI'!B290</f>
        <v>Chêne-Pâquier</v>
      </c>
      <c r="C291" s="10">
        <f>'A) Base RI'!V290</f>
        <v>153</v>
      </c>
      <c r="D291" s="10">
        <f t="shared" si="16"/>
        <v>153</v>
      </c>
      <c r="E291" s="422">
        <f t="shared" si="17"/>
        <v>0</v>
      </c>
      <c r="F291" s="10">
        <f t="shared" si="17"/>
        <v>0</v>
      </c>
      <c r="G291" s="422">
        <f t="shared" si="17"/>
        <v>0</v>
      </c>
      <c r="H291" s="41">
        <f t="shared" si="17"/>
        <v>0</v>
      </c>
      <c r="I291" s="10">
        <f t="shared" si="17"/>
        <v>0</v>
      </c>
      <c r="J291" s="10">
        <f t="shared" si="18"/>
        <v>0</v>
      </c>
      <c r="K291" s="113">
        <f t="shared" si="19"/>
        <v>19221.202213279677</v>
      </c>
    </row>
    <row r="292" spans="1:11" x14ac:dyDescent="0.25">
      <c r="A292" s="49">
        <f>'A) Base RI'!A291</f>
        <v>5909</v>
      </c>
      <c r="B292" s="293" t="str">
        <f>'A) Base RI'!B291</f>
        <v>Cheseaux-Noréaz</v>
      </c>
      <c r="C292" s="10">
        <f>'A) Base RI'!V291</f>
        <v>725</v>
      </c>
      <c r="D292" s="10">
        <f t="shared" si="16"/>
        <v>725</v>
      </c>
      <c r="E292" s="422">
        <f t="shared" si="17"/>
        <v>0</v>
      </c>
      <c r="F292" s="10">
        <f t="shared" si="17"/>
        <v>0</v>
      </c>
      <c r="G292" s="422">
        <f t="shared" si="17"/>
        <v>0</v>
      </c>
      <c r="H292" s="41">
        <f t="shared" si="17"/>
        <v>0</v>
      </c>
      <c r="I292" s="10">
        <f t="shared" si="17"/>
        <v>0</v>
      </c>
      <c r="J292" s="10">
        <f t="shared" si="18"/>
        <v>0</v>
      </c>
      <c r="K292" s="113">
        <f t="shared" si="19"/>
        <v>91080.860160965793</v>
      </c>
    </row>
    <row r="293" spans="1:11" x14ac:dyDescent="0.25">
      <c r="A293" s="49">
        <f>'A) Base RI'!A292</f>
        <v>5910</v>
      </c>
      <c r="B293" s="293" t="str">
        <f>'A) Base RI'!B292</f>
        <v>Cronay</v>
      </c>
      <c r="C293" s="10">
        <f>'A) Base RI'!V292</f>
        <v>394</v>
      </c>
      <c r="D293" s="10">
        <f t="shared" si="16"/>
        <v>394</v>
      </c>
      <c r="E293" s="422">
        <f t="shared" si="17"/>
        <v>0</v>
      </c>
      <c r="F293" s="10">
        <f t="shared" si="17"/>
        <v>0</v>
      </c>
      <c r="G293" s="422">
        <f t="shared" si="17"/>
        <v>0</v>
      </c>
      <c r="H293" s="41">
        <f t="shared" si="17"/>
        <v>0</v>
      </c>
      <c r="I293" s="10">
        <f t="shared" si="17"/>
        <v>0</v>
      </c>
      <c r="J293" s="10">
        <f t="shared" si="18"/>
        <v>0</v>
      </c>
      <c r="K293" s="113">
        <f t="shared" si="19"/>
        <v>49497.736418511064</v>
      </c>
    </row>
    <row r="294" spans="1:11" x14ac:dyDescent="0.25">
      <c r="A294" s="49">
        <f>'A) Base RI'!A293</f>
        <v>5911</v>
      </c>
      <c r="B294" s="293" t="str">
        <f>'A) Base RI'!B293</f>
        <v>Cuarny</v>
      </c>
      <c r="C294" s="10">
        <f>'A) Base RI'!V293</f>
        <v>239</v>
      </c>
      <c r="D294" s="10">
        <f t="shared" si="16"/>
        <v>239</v>
      </c>
      <c r="E294" s="422">
        <f t="shared" si="17"/>
        <v>0</v>
      </c>
      <c r="F294" s="10">
        <f t="shared" si="17"/>
        <v>0</v>
      </c>
      <c r="G294" s="422">
        <f t="shared" si="17"/>
        <v>0</v>
      </c>
      <c r="H294" s="41">
        <f t="shared" si="17"/>
        <v>0</v>
      </c>
      <c r="I294" s="10">
        <f t="shared" si="17"/>
        <v>0</v>
      </c>
      <c r="J294" s="10">
        <f t="shared" si="18"/>
        <v>0</v>
      </c>
      <c r="K294" s="113">
        <f t="shared" si="19"/>
        <v>30025.276659959756</v>
      </c>
    </row>
    <row r="295" spans="1:11" x14ac:dyDescent="0.25">
      <c r="A295" s="49">
        <f>'A) Base RI'!A294</f>
        <v>5912</v>
      </c>
      <c r="B295" s="293" t="str">
        <f>'A) Base RI'!B294</f>
        <v>Démoret</v>
      </c>
      <c r="C295" s="10">
        <f>'A) Base RI'!V294</f>
        <v>156</v>
      </c>
      <c r="D295" s="10">
        <f t="shared" si="16"/>
        <v>156</v>
      </c>
      <c r="E295" s="422">
        <f t="shared" si="17"/>
        <v>0</v>
      </c>
      <c r="F295" s="10">
        <f t="shared" si="17"/>
        <v>0</v>
      </c>
      <c r="G295" s="422">
        <f t="shared" si="17"/>
        <v>0</v>
      </c>
      <c r="H295" s="41">
        <f t="shared" si="17"/>
        <v>0</v>
      </c>
      <c r="I295" s="10">
        <f t="shared" si="17"/>
        <v>0</v>
      </c>
      <c r="J295" s="10">
        <f t="shared" si="18"/>
        <v>0</v>
      </c>
      <c r="K295" s="113">
        <f t="shared" si="19"/>
        <v>19598.088531187121</v>
      </c>
    </row>
    <row r="296" spans="1:11" x14ac:dyDescent="0.25">
      <c r="A296" s="49">
        <f>'A) Base RI'!A295</f>
        <v>5913</v>
      </c>
      <c r="B296" s="293" t="str">
        <f>'A) Base RI'!B295</f>
        <v>Donneloye</v>
      </c>
      <c r="C296" s="10">
        <f>'A) Base RI'!V295</f>
        <v>823</v>
      </c>
      <c r="D296" s="10">
        <f t="shared" si="16"/>
        <v>823</v>
      </c>
      <c r="E296" s="422">
        <f t="shared" si="17"/>
        <v>0</v>
      </c>
      <c r="F296" s="10">
        <f t="shared" si="17"/>
        <v>0</v>
      </c>
      <c r="G296" s="422">
        <f t="shared" si="17"/>
        <v>0</v>
      </c>
      <c r="H296" s="41">
        <f t="shared" si="17"/>
        <v>0</v>
      </c>
      <c r="I296" s="10">
        <f t="shared" si="17"/>
        <v>0</v>
      </c>
      <c r="J296" s="10">
        <f t="shared" si="18"/>
        <v>0</v>
      </c>
      <c r="K296" s="113">
        <f t="shared" si="19"/>
        <v>103392.47987927565</v>
      </c>
    </row>
    <row r="297" spans="1:11" x14ac:dyDescent="0.25">
      <c r="A297" s="49">
        <f>'A) Base RI'!A296</f>
        <v>5914</v>
      </c>
      <c r="B297" s="293" t="str">
        <f>'A) Base RI'!B296</f>
        <v>Ependes</v>
      </c>
      <c r="C297" s="10">
        <f>'A) Base RI'!V296</f>
        <v>357</v>
      </c>
      <c r="D297" s="10">
        <f t="shared" si="16"/>
        <v>357</v>
      </c>
      <c r="E297" s="422">
        <f t="shared" si="17"/>
        <v>0</v>
      </c>
      <c r="F297" s="10">
        <f t="shared" si="17"/>
        <v>0</v>
      </c>
      <c r="G297" s="422">
        <f t="shared" si="17"/>
        <v>0</v>
      </c>
      <c r="H297" s="41">
        <f t="shared" si="17"/>
        <v>0</v>
      </c>
      <c r="I297" s="10">
        <f t="shared" si="17"/>
        <v>0</v>
      </c>
      <c r="J297" s="10">
        <f t="shared" si="18"/>
        <v>0</v>
      </c>
      <c r="K297" s="113">
        <f t="shared" si="19"/>
        <v>44849.471830985916</v>
      </c>
    </row>
    <row r="298" spans="1:11" x14ac:dyDescent="0.25">
      <c r="A298" s="49">
        <f>'A) Base RI'!A297</f>
        <v>5919</v>
      </c>
      <c r="B298" s="293" t="str">
        <f>'A) Base RI'!B297</f>
        <v>Mathod</v>
      </c>
      <c r="C298" s="10">
        <f>'A) Base RI'!V297</f>
        <v>601</v>
      </c>
      <c r="D298" s="10">
        <f t="shared" ref="D298:D315" si="20">IF($C298&gt;D$4,IF($C298&lt;D$5,$C298-D$4,D$5-D$4),0)</f>
        <v>601</v>
      </c>
      <c r="E298" s="422">
        <f t="shared" si="17"/>
        <v>0</v>
      </c>
      <c r="F298" s="10">
        <f t="shared" si="17"/>
        <v>0</v>
      </c>
      <c r="G298" s="422">
        <f t="shared" si="17"/>
        <v>0</v>
      </c>
      <c r="H298" s="41">
        <f t="shared" si="17"/>
        <v>0</v>
      </c>
      <c r="I298" s="10">
        <f t="shared" si="17"/>
        <v>0</v>
      </c>
      <c r="J298" s="10">
        <f t="shared" si="18"/>
        <v>0</v>
      </c>
      <c r="K298" s="113">
        <f t="shared" si="19"/>
        <v>75502.89235412475</v>
      </c>
    </row>
    <row r="299" spans="1:11" x14ac:dyDescent="0.25">
      <c r="A299" s="49">
        <f>'A) Base RI'!A298</f>
        <v>5921</v>
      </c>
      <c r="B299" s="293" t="str">
        <f>'A) Base RI'!B298</f>
        <v>Molondin</v>
      </c>
      <c r="C299" s="10">
        <f>'A) Base RI'!V298</f>
        <v>240</v>
      </c>
      <c r="D299" s="10">
        <f t="shared" si="20"/>
        <v>240</v>
      </c>
      <c r="E299" s="422">
        <f t="shared" si="17"/>
        <v>0</v>
      </c>
      <c r="F299" s="10">
        <f t="shared" si="17"/>
        <v>0</v>
      </c>
      <c r="G299" s="422">
        <f t="shared" si="17"/>
        <v>0</v>
      </c>
      <c r="H299" s="41">
        <f t="shared" si="17"/>
        <v>0</v>
      </c>
      <c r="I299" s="10">
        <f t="shared" si="17"/>
        <v>0</v>
      </c>
      <c r="J299" s="10">
        <f t="shared" si="18"/>
        <v>0</v>
      </c>
      <c r="K299" s="113">
        <f t="shared" si="19"/>
        <v>30150.905432595573</v>
      </c>
    </row>
    <row r="300" spans="1:11" x14ac:dyDescent="0.25">
      <c r="A300" s="49">
        <f>'A) Base RI'!A299</f>
        <v>5922</v>
      </c>
      <c r="B300" s="293" t="str">
        <f>'A) Base RI'!B299</f>
        <v>Montagny-près-Yverdon</v>
      </c>
      <c r="C300" s="10">
        <f>'A) Base RI'!V299</f>
        <v>747</v>
      </c>
      <c r="D300" s="10">
        <f t="shared" si="20"/>
        <v>747</v>
      </c>
      <c r="E300" s="422">
        <f t="shared" si="17"/>
        <v>0</v>
      </c>
      <c r="F300" s="10">
        <f t="shared" si="17"/>
        <v>0</v>
      </c>
      <c r="G300" s="422">
        <f t="shared" si="17"/>
        <v>0</v>
      </c>
      <c r="H300" s="41">
        <f t="shared" si="17"/>
        <v>0</v>
      </c>
      <c r="I300" s="10">
        <f t="shared" si="17"/>
        <v>0</v>
      </c>
      <c r="J300" s="10">
        <f t="shared" si="18"/>
        <v>0</v>
      </c>
      <c r="K300" s="113">
        <f t="shared" si="19"/>
        <v>93844.693158953713</v>
      </c>
    </row>
    <row r="301" spans="1:11" x14ac:dyDescent="0.25">
      <c r="A301" s="49">
        <f>'A) Base RI'!A300</f>
        <v>5923</v>
      </c>
      <c r="B301" s="293" t="str">
        <f>'A) Base RI'!B300</f>
        <v>Oppens</v>
      </c>
      <c r="C301" s="10">
        <f>'A) Base RI'!V300</f>
        <v>202</v>
      </c>
      <c r="D301" s="10">
        <f t="shared" si="20"/>
        <v>202</v>
      </c>
      <c r="E301" s="422">
        <f t="shared" si="17"/>
        <v>0</v>
      </c>
      <c r="F301" s="10">
        <f t="shared" si="17"/>
        <v>0</v>
      </c>
      <c r="G301" s="422">
        <f t="shared" si="17"/>
        <v>0</v>
      </c>
      <c r="H301" s="41">
        <f t="shared" si="17"/>
        <v>0</v>
      </c>
      <c r="I301" s="10">
        <f t="shared" si="17"/>
        <v>0</v>
      </c>
      <c r="J301" s="10">
        <f t="shared" si="18"/>
        <v>0</v>
      </c>
      <c r="K301" s="113">
        <f t="shared" si="19"/>
        <v>25377.012072434605</v>
      </c>
    </row>
    <row r="302" spans="1:11" x14ac:dyDescent="0.25">
      <c r="A302" s="49">
        <f>'A) Base RI'!A301</f>
        <v>5924</v>
      </c>
      <c r="B302" s="293" t="str">
        <f>'A) Base RI'!B301</f>
        <v>Orges</v>
      </c>
      <c r="C302" s="10">
        <f>'A) Base RI'!V301</f>
        <v>332</v>
      </c>
      <c r="D302" s="10">
        <f t="shared" si="20"/>
        <v>332</v>
      </c>
      <c r="E302" s="422">
        <f t="shared" si="17"/>
        <v>0</v>
      </c>
      <c r="F302" s="10">
        <f t="shared" si="17"/>
        <v>0</v>
      </c>
      <c r="G302" s="422">
        <f t="shared" si="17"/>
        <v>0</v>
      </c>
      <c r="H302" s="41">
        <f t="shared" si="17"/>
        <v>0</v>
      </c>
      <c r="I302" s="10">
        <f t="shared" si="17"/>
        <v>0</v>
      </c>
      <c r="J302" s="10">
        <f t="shared" si="18"/>
        <v>0</v>
      </c>
      <c r="K302" s="113">
        <f t="shared" si="19"/>
        <v>41708.752515090542</v>
      </c>
    </row>
    <row r="303" spans="1:11" x14ac:dyDescent="0.25">
      <c r="A303" s="49">
        <f>'A) Base RI'!A302</f>
        <v>5925</v>
      </c>
      <c r="B303" s="293" t="str">
        <f>'A) Base RI'!B302</f>
        <v>Orzens</v>
      </c>
      <c r="C303" s="10">
        <f>'A) Base RI'!V302</f>
        <v>208</v>
      </c>
      <c r="D303" s="10">
        <f t="shared" si="20"/>
        <v>208</v>
      </c>
      <c r="E303" s="422">
        <f t="shared" si="17"/>
        <v>0</v>
      </c>
      <c r="F303" s="10">
        <f t="shared" si="17"/>
        <v>0</v>
      </c>
      <c r="G303" s="422">
        <f t="shared" si="17"/>
        <v>0</v>
      </c>
      <c r="H303" s="41">
        <f t="shared" si="17"/>
        <v>0</v>
      </c>
      <c r="I303" s="10">
        <f t="shared" si="17"/>
        <v>0</v>
      </c>
      <c r="J303" s="10">
        <f t="shared" si="18"/>
        <v>0</v>
      </c>
      <c r="K303" s="113">
        <f t="shared" si="19"/>
        <v>26130.784708249495</v>
      </c>
    </row>
    <row r="304" spans="1:11" x14ac:dyDescent="0.25">
      <c r="A304" s="49">
        <f>'A) Base RI'!A303</f>
        <v>5926</v>
      </c>
      <c r="B304" s="293" t="str">
        <f>'A) Base RI'!B303</f>
        <v>Pomy</v>
      </c>
      <c r="C304" s="10">
        <f>'A) Base RI'!V303</f>
        <v>793</v>
      </c>
      <c r="D304" s="10">
        <f t="shared" si="20"/>
        <v>793</v>
      </c>
      <c r="E304" s="422">
        <f t="shared" si="17"/>
        <v>0</v>
      </c>
      <c r="F304" s="10">
        <f t="shared" si="17"/>
        <v>0</v>
      </c>
      <c r="G304" s="422">
        <f t="shared" si="17"/>
        <v>0</v>
      </c>
      <c r="H304" s="41">
        <f t="shared" si="17"/>
        <v>0</v>
      </c>
      <c r="I304" s="10">
        <f t="shared" si="17"/>
        <v>0</v>
      </c>
      <c r="J304" s="10">
        <f t="shared" si="18"/>
        <v>0</v>
      </c>
      <c r="K304" s="113">
        <f t="shared" si="19"/>
        <v>99623.616700201208</v>
      </c>
    </row>
    <row r="305" spans="1:11" x14ac:dyDescent="0.25">
      <c r="A305" s="49">
        <f>'A) Base RI'!A304</f>
        <v>5928</v>
      </c>
      <c r="B305" s="293" t="str">
        <f>'A) Base RI'!B304</f>
        <v>Rovray</v>
      </c>
      <c r="C305" s="10">
        <f>'A) Base RI'!V304</f>
        <v>185</v>
      </c>
      <c r="D305" s="10">
        <f t="shared" si="20"/>
        <v>185</v>
      </c>
      <c r="E305" s="422">
        <f t="shared" si="17"/>
        <v>0</v>
      </c>
      <c r="F305" s="10">
        <f t="shared" si="17"/>
        <v>0</v>
      </c>
      <c r="G305" s="422">
        <f t="shared" si="17"/>
        <v>0</v>
      </c>
      <c r="H305" s="41">
        <f t="shared" si="17"/>
        <v>0</v>
      </c>
      <c r="I305" s="10">
        <f t="shared" si="17"/>
        <v>0</v>
      </c>
      <c r="J305" s="10">
        <f t="shared" si="18"/>
        <v>0</v>
      </c>
      <c r="K305" s="113">
        <f t="shared" si="19"/>
        <v>23241.322937625755</v>
      </c>
    </row>
    <row r="306" spans="1:11" x14ac:dyDescent="0.25">
      <c r="A306" s="49">
        <f>'A) Base RI'!A305</f>
        <v>5929</v>
      </c>
      <c r="B306" s="293" t="str">
        <f>'A) Base RI'!B305</f>
        <v>Suchy</v>
      </c>
      <c r="C306" s="10">
        <f>'A) Base RI'!V305</f>
        <v>645</v>
      </c>
      <c r="D306" s="10">
        <f t="shared" si="20"/>
        <v>645</v>
      </c>
      <c r="E306" s="422">
        <f t="shared" si="17"/>
        <v>0</v>
      </c>
      <c r="F306" s="10">
        <f t="shared" si="17"/>
        <v>0</v>
      </c>
      <c r="G306" s="422">
        <f t="shared" si="17"/>
        <v>0</v>
      </c>
      <c r="H306" s="41">
        <f t="shared" si="17"/>
        <v>0</v>
      </c>
      <c r="I306" s="10">
        <f t="shared" si="17"/>
        <v>0</v>
      </c>
      <c r="J306" s="10">
        <f t="shared" si="18"/>
        <v>0</v>
      </c>
      <c r="K306" s="113">
        <f t="shared" si="19"/>
        <v>81030.558350100604</v>
      </c>
    </row>
    <row r="307" spans="1:11" x14ac:dyDescent="0.25">
      <c r="A307" s="49">
        <f>'A) Base RI'!A306</f>
        <v>5930</v>
      </c>
      <c r="B307" s="293" t="str">
        <f>'A) Base RI'!B306</f>
        <v>Suscévaz</v>
      </c>
      <c r="C307" s="10">
        <f>'A) Base RI'!V306</f>
        <v>215</v>
      </c>
      <c r="D307" s="10">
        <f t="shared" si="20"/>
        <v>215</v>
      </c>
      <c r="E307" s="422">
        <f t="shared" si="17"/>
        <v>0</v>
      </c>
      <c r="F307" s="10">
        <f t="shared" si="17"/>
        <v>0</v>
      </c>
      <c r="G307" s="422">
        <f t="shared" si="17"/>
        <v>0</v>
      </c>
      <c r="H307" s="41">
        <f t="shared" si="17"/>
        <v>0</v>
      </c>
      <c r="I307" s="10">
        <f t="shared" si="17"/>
        <v>0</v>
      </c>
      <c r="J307" s="10">
        <f t="shared" si="18"/>
        <v>0</v>
      </c>
      <c r="K307" s="113">
        <f t="shared" si="19"/>
        <v>27010.186116700199</v>
      </c>
    </row>
    <row r="308" spans="1:11" x14ac:dyDescent="0.25">
      <c r="A308" s="49">
        <f>'A) Base RI'!A307</f>
        <v>5931</v>
      </c>
      <c r="B308" s="293" t="str">
        <f>'A) Base RI'!B307</f>
        <v>Treycovagnes</v>
      </c>
      <c r="C308" s="10">
        <f>'A) Base RI'!V307</f>
        <v>492</v>
      </c>
      <c r="D308" s="10">
        <f t="shared" si="20"/>
        <v>492</v>
      </c>
      <c r="E308" s="422">
        <f t="shared" si="17"/>
        <v>0</v>
      </c>
      <c r="F308" s="10">
        <f t="shared" si="17"/>
        <v>0</v>
      </c>
      <c r="G308" s="422">
        <f t="shared" si="17"/>
        <v>0</v>
      </c>
      <c r="H308" s="41">
        <f t="shared" si="17"/>
        <v>0</v>
      </c>
      <c r="I308" s="10">
        <f t="shared" si="17"/>
        <v>0</v>
      </c>
      <c r="J308" s="10">
        <f t="shared" si="18"/>
        <v>0</v>
      </c>
      <c r="K308" s="113">
        <f t="shared" si="19"/>
        <v>61809.356136820919</v>
      </c>
    </row>
    <row r="309" spans="1:11" x14ac:dyDescent="0.25">
      <c r="A309" s="49">
        <f>'A) Base RI'!A308</f>
        <v>5932</v>
      </c>
      <c r="B309" s="293" t="str">
        <f>'A) Base RI'!B308</f>
        <v>Ursins</v>
      </c>
      <c r="C309" s="10">
        <f>'A) Base RI'!V308</f>
        <v>225</v>
      </c>
      <c r="D309" s="10">
        <f t="shared" si="20"/>
        <v>225</v>
      </c>
      <c r="E309" s="422">
        <f t="shared" si="17"/>
        <v>0</v>
      </c>
      <c r="F309" s="10">
        <f t="shared" si="17"/>
        <v>0</v>
      </c>
      <c r="G309" s="422">
        <f t="shared" ref="E309:I315" si="21">IF($C309&gt;G$4,IF($C309&lt;G$5,$C309-G$4,G$5-G$4),0)</f>
        <v>0</v>
      </c>
      <c r="H309" s="41">
        <f t="shared" si="21"/>
        <v>0</v>
      </c>
      <c r="I309" s="10">
        <f t="shared" si="21"/>
        <v>0</v>
      </c>
      <c r="J309" s="10">
        <f t="shared" si="18"/>
        <v>0</v>
      </c>
      <c r="K309" s="113">
        <f t="shared" si="19"/>
        <v>28266.473843058349</v>
      </c>
    </row>
    <row r="310" spans="1:11" x14ac:dyDescent="0.25">
      <c r="A310" s="49">
        <f>'A) Base RI'!A309</f>
        <v>5933</v>
      </c>
      <c r="B310" s="293" t="str">
        <f>'A) Base RI'!B309</f>
        <v>Valeyres-sous-Montagny</v>
      </c>
      <c r="C310" s="10">
        <f>'A) Base RI'!V309</f>
        <v>709</v>
      </c>
      <c r="D310" s="10">
        <f t="shared" si="20"/>
        <v>709</v>
      </c>
      <c r="E310" s="422">
        <f t="shared" si="21"/>
        <v>0</v>
      </c>
      <c r="F310" s="10">
        <f t="shared" si="21"/>
        <v>0</v>
      </c>
      <c r="G310" s="422">
        <f t="shared" si="21"/>
        <v>0</v>
      </c>
      <c r="H310" s="41">
        <f t="shared" si="21"/>
        <v>0</v>
      </c>
      <c r="I310" s="10">
        <f t="shared" si="21"/>
        <v>0</v>
      </c>
      <c r="J310" s="10">
        <f t="shared" si="18"/>
        <v>0</v>
      </c>
      <c r="K310" s="113">
        <f t="shared" si="19"/>
        <v>89070.799798792752</v>
      </c>
    </row>
    <row r="311" spans="1:11" x14ac:dyDescent="0.25">
      <c r="A311" s="49">
        <f>'A) Base RI'!A310</f>
        <v>5934</v>
      </c>
      <c r="B311" s="293" t="str">
        <f>'A) Base RI'!B310</f>
        <v>Valeyres-sous-Ursins</v>
      </c>
      <c r="C311" s="10">
        <f>'A) Base RI'!V310</f>
        <v>227</v>
      </c>
      <c r="D311" s="10">
        <f t="shared" si="20"/>
        <v>227</v>
      </c>
      <c r="E311" s="422">
        <f t="shared" si="21"/>
        <v>0</v>
      </c>
      <c r="F311" s="10">
        <f t="shared" si="21"/>
        <v>0</v>
      </c>
      <c r="G311" s="422">
        <f t="shared" si="21"/>
        <v>0</v>
      </c>
      <c r="H311" s="41">
        <f t="shared" si="21"/>
        <v>0</v>
      </c>
      <c r="I311" s="10">
        <f t="shared" si="21"/>
        <v>0</v>
      </c>
      <c r="J311" s="10">
        <f t="shared" si="18"/>
        <v>0</v>
      </c>
      <c r="K311" s="113">
        <f t="shared" si="19"/>
        <v>28517.731388329979</v>
      </c>
    </row>
    <row r="312" spans="1:11" x14ac:dyDescent="0.25">
      <c r="A312" s="49">
        <f>'A) Base RI'!A311</f>
        <v>5935</v>
      </c>
      <c r="B312" s="293" t="str">
        <f>'A) Base RI'!B311</f>
        <v>Villars-Epeney</v>
      </c>
      <c r="C312" s="10">
        <f>'A) Base RI'!V311</f>
        <v>102</v>
      </c>
      <c r="D312" s="10">
        <f t="shared" si="20"/>
        <v>102</v>
      </c>
      <c r="E312" s="422">
        <f t="shared" si="21"/>
        <v>0</v>
      </c>
      <c r="F312" s="10">
        <f t="shared" si="21"/>
        <v>0</v>
      </c>
      <c r="G312" s="422">
        <f t="shared" si="21"/>
        <v>0</v>
      </c>
      <c r="H312" s="41">
        <f t="shared" si="21"/>
        <v>0</v>
      </c>
      <c r="I312" s="10">
        <f t="shared" si="21"/>
        <v>0</v>
      </c>
      <c r="J312" s="10">
        <f t="shared" si="18"/>
        <v>0</v>
      </c>
      <c r="K312" s="113">
        <f t="shared" si="19"/>
        <v>12814.134808853118</v>
      </c>
    </row>
    <row r="313" spans="1:11" x14ac:dyDescent="0.25">
      <c r="A313" s="49">
        <f>'A) Base RI'!A312</f>
        <v>5937</v>
      </c>
      <c r="B313" s="293" t="str">
        <f>'A) Base RI'!B312</f>
        <v>Vugelles-La Mothe</v>
      </c>
      <c r="C313" s="10">
        <f>'A) Base RI'!V312</f>
        <v>135</v>
      </c>
      <c r="D313" s="10">
        <f t="shared" si="20"/>
        <v>135</v>
      </c>
      <c r="E313" s="422">
        <f t="shared" si="21"/>
        <v>0</v>
      </c>
      <c r="F313" s="10">
        <f t="shared" si="21"/>
        <v>0</v>
      </c>
      <c r="G313" s="422">
        <f t="shared" si="21"/>
        <v>0</v>
      </c>
      <c r="H313" s="41">
        <f t="shared" si="21"/>
        <v>0</v>
      </c>
      <c r="I313" s="10">
        <f t="shared" si="21"/>
        <v>0</v>
      </c>
      <c r="J313" s="10">
        <f t="shared" si="18"/>
        <v>0</v>
      </c>
      <c r="K313" s="113">
        <f t="shared" si="19"/>
        <v>16959.88430583501</v>
      </c>
    </row>
    <row r="314" spans="1:11" x14ac:dyDescent="0.25">
      <c r="A314" s="49">
        <f>'A) Base RI'!A313</f>
        <v>5938</v>
      </c>
      <c r="B314" s="293" t="str">
        <f>'A) Base RI'!B313</f>
        <v>Yverdon-les-Bains</v>
      </c>
      <c r="C314" s="10">
        <f>'A) Base RI'!V313</f>
        <v>30189</v>
      </c>
      <c r="D314" s="10">
        <f t="shared" si="20"/>
        <v>1000</v>
      </c>
      <c r="E314" s="422">
        <f t="shared" si="21"/>
        <v>2000</v>
      </c>
      <c r="F314" s="10">
        <f t="shared" si="21"/>
        <v>2000</v>
      </c>
      <c r="G314" s="422">
        <f t="shared" si="21"/>
        <v>4000</v>
      </c>
      <c r="H314" s="41">
        <f t="shared" si="21"/>
        <v>3000</v>
      </c>
      <c r="I314" s="10">
        <f t="shared" si="21"/>
        <v>3000</v>
      </c>
      <c r="J314" s="10">
        <f t="shared" si="18"/>
        <v>15189</v>
      </c>
      <c r="K314" s="113">
        <f t="shared" si="19"/>
        <v>25852843.611670021</v>
      </c>
    </row>
    <row r="315" spans="1:11" x14ac:dyDescent="0.25">
      <c r="A315" s="49">
        <f>'A) Base RI'!A314</f>
        <v>5939</v>
      </c>
      <c r="B315" s="293" t="str">
        <f>'A) Base RI'!B314</f>
        <v>Yvonand</v>
      </c>
      <c r="C315" s="423">
        <f>'A) Base RI'!V314</f>
        <v>3434</v>
      </c>
      <c r="D315" s="10">
        <f t="shared" si="20"/>
        <v>1000</v>
      </c>
      <c r="E315" s="422">
        <f t="shared" si="21"/>
        <v>2000</v>
      </c>
      <c r="F315" s="10">
        <f t="shared" si="21"/>
        <v>434</v>
      </c>
      <c r="G315" s="422">
        <f t="shared" si="21"/>
        <v>0</v>
      </c>
      <c r="H315" s="41">
        <f t="shared" si="21"/>
        <v>0</v>
      </c>
      <c r="I315" s="10">
        <f t="shared" si="21"/>
        <v>0</v>
      </c>
      <c r="J315" s="10">
        <f t="shared" si="18"/>
        <v>0</v>
      </c>
      <c r="K315" s="113">
        <f t="shared" si="19"/>
        <v>1047241.4486921529</v>
      </c>
    </row>
    <row r="316" spans="1:11" x14ac:dyDescent="0.25">
      <c r="A316" s="372"/>
      <c r="B316" s="432">
        <f>COUNTA(B8:B315)</f>
        <v>308</v>
      </c>
      <c r="C316" s="11">
        <f>SUM(C8:C315)</f>
        <v>806088</v>
      </c>
      <c r="D316" s="11">
        <f t="shared" ref="D316:J316" si="22">SUM(D8:D315)</f>
        <v>217434</v>
      </c>
      <c r="E316" s="11">
        <f t="shared" si="22"/>
        <v>169855</v>
      </c>
      <c r="F316" s="11">
        <f t="shared" si="22"/>
        <v>86663</v>
      </c>
      <c r="G316" s="11">
        <f t="shared" si="22"/>
        <v>92625</v>
      </c>
      <c r="H316" s="11">
        <f t="shared" si="22"/>
        <v>40253</v>
      </c>
      <c r="I316" s="11">
        <f t="shared" si="22"/>
        <v>26706</v>
      </c>
      <c r="J316" s="11">
        <f t="shared" si="22"/>
        <v>172552</v>
      </c>
      <c r="K316" s="37">
        <f>SUM(K8:K315)</f>
        <v>429786734.75855124</v>
      </c>
    </row>
    <row r="317" spans="1:11" x14ac:dyDescent="0.25">
      <c r="C317" s="71"/>
    </row>
    <row r="327" spans="3:3" x14ac:dyDescent="0.25">
      <c r="C327" s="58"/>
    </row>
  </sheetData>
  <mergeCells count="6">
    <mergeCell ref="K6:K7"/>
    <mergeCell ref="C3:J3"/>
    <mergeCell ref="A6:A7"/>
    <mergeCell ref="B6:B7"/>
    <mergeCell ref="C6:C7"/>
    <mergeCell ref="D6:J6"/>
  </mergeCells>
  <phoneticPr fontId="24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0">
    <tabColor rgb="FF00B050"/>
  </sheetPr>
  <dimension ref="A1:M313"/>
  <sheetViews>
    <sheetView workbookViewId="0"/>
  </sheetViews>
  <sheetFormatPr baseColWidth="10" defaultColWidth="11" defaultRowHeight="15" x14ac:dyDescent="0.25"/>
  <cols>
    <col min="1" max="1" width="7.25" style="13" customWidth="1"/>
    <col min="2" max="2" width="25.375" style="13" customWidth="1"/>
    <col min="3" max="3" width="9.25" style="13" customWidth="1"/>
    <col min="4" max="4" width="13.625" style="13" customWidth="1"/>
    <col min="5" max="5" width="10.375" style="13" customWidth="1"/>
    <col min="6" max="6" width="13.25" style="14" customWidth="1"/>
    <col min="7" max="7" width="11" style="15"/>
    <col min="8" max="8" width="11" style="13"/>
    <col min="9" max="9" width="13.375" style="6" customWidth="1"/>
    <col min="10" max="12" width="11" style="13"/>
    <col min="13" max="13" width="11.625" style="15" bestFit="1" customWidth="1"/>
    <col min="14" max="16384" width="11" style="13"/>
  </cols>
  <sheetData>
    <row r="1" spans="1:12" ht="21" x14ac:dyDescent="0.25">
      <c r="A1" s="51" t="s">
        <v>451</v>
      </c>
      <c r="B1" s="42"/>
      <c r="C1" s="93"/>
      <c r="D1" s="93"/>
    </row>
    <row r="3" spans="1:12" ht="30" x14ac:dyDescent="0.25">
      <c r="A3" s="492" t="s">
        <v>46</v>
      </c>
      <c r="B3" s="492" t="s">
        <v>95</v>
      </c>
      <c r="C3" s="492" t="s">
        <v>303</v>
      </c>
      <c r="D3" s="492" t="s">
        <v>539</v>
      </c>
      <c r="E3" s="112" t="s">
        <v>353</v>
      </c>
      <c r="F3" s="489" t="s">
        <v>310</v>
      </c>
      <c r="G3" s="514" t="s">
        <v>78</v>
      </c>
      <c r="H3" s="492" t="s">
        <v>351</v>
      </c>
      <c r="I3" s="489" t="s">
        <v>352</v>
      </c>
    </row>
    <row r="4" spans="1:12" x14ac:dyDescent="0.25">
      <c r="A4" s="493"/>
      <c r="B4" s="493"/>
      <c r="C4" s="493"/>
      <c r="D4" s="494"/>
      <c r="E4" s="453">
        <f>+Paramètres!B32</f>
        <v>0.27</v>
      </c>
      <c r="F4" s="491"/>
      <c r="G4" s="515"/>
      <c r="H4" s="494"/>
      <c r="I4" s="490"/>
    </row>
    <row r="5" spans="1:12" x14ac:dyDescent="0.25">
      <c r="A5" s="46">
        <f>'A) Base RI'!A7</f>
        <v>5401</v>
      </c>
      <c r="B5" s="296" t="str">
        <f>'A) Base RI'!B7</f>
        <v>Aigle</v>
      </c>
      <c r="C5" s="94">
        <f>'A) Base RI'!V7</f>
        <v>10217</v>
      </c>
      <c r="D5" s="110">
        <f>'D) Ecrêtage'!E5</f>
        <v>26.794269636828155</v>
      </c>
      <c r="E5" s="34">
        <f t="shared" ref="E5:E36" si="0">IF($D$313-D5&lt;0,0,$D$313-D5)</f>
        <v>19.206316033512287</v>
      </c>
      <c r="F5" s="276">
        <f t="shared" ref="F5" si="1">(C5*E5*G5)*$E$4</f>
        <v>3576308.7159148501</v>
      </c>
      <c r="G5" s="33">
        <f>+'A) Base RI'!U7</f>
        <v>67.5</v>
      </c>
      <c r="H5" s="277">
        <f t="shared" ref="H5:H36" si="2">G5/$G$313</f>
        <v>0.98708152114685033</v>
      </c>
      <c r="I5" s="55">
        <f>F5*H5</f>
        <v>3530108.2473959695</v>
      </c>
      <c r="J5" s="48"/>
      <c r="K5" s="107"/>
      <c r="L5" s="15"/>
    </row>
    <row r="6" spans="1:12" x14ac:dyDescent="0.25">
      <c r="A6" s="49">
        <f>'A) Base RI'!A8</f>
        <v>5402</v>
      </c>
      <c r="B6" s="32" t="str">
        <f>'A) Base RI'!B8</f>
        <v>Bex</v>
      </c>
      <c r="C6" s="95">
        <f>'A) Base RI'!V8</f>
        <v>7869</v>
      </c>
      <c r="D6" s="110">
        <f>'D) Ecrêtage'!E6</f>
        <v>23.535573771378587</v>
      </c>
      <c r="E6" s="34">
        <f t="shared" si="0"/>
        <v>22.465011898961855</v>
      </c>
      <c r="F6" s="276">
        <f t="shared" ref="F6:F68" si="3">(C6*E6*G6)*$E$4</f>
        <v>3388818.514393284</v>
      </c>
      <c r="G6" s="33">
        <f>+'A) Base RI'!U8</f>
        <v>71</v>
      </c>
      <c r="H6" s="277">
        <f t="shared" si="2"/>
        <v>1.0382635259470574</v>
      </c>
      <c r="I6" s="55">
        <f t="shared" ref="I6:I68" si="4">F6*H6</f>
        <v>3518486.6595486398</v>
      </c>
      <c r="J6" s="48"/>
      <c r="L6" s="108"/>
    </row>
    <row r="7" spans="1:12" x14ac:dyDescent="0.25">
      <c r="A7" s="49">
        <f>'A) Base RI'!A9</f>
        <v>5403</v>
      </c>
      <c r="B7" s="32" t="str">
        <f>'A) Base RI'!B9</f>
        <v>Chessel</v>
      </c>
      <c r="C7" s="95">
        <f>'A) Base RI'!V9</f>
        <v>429</v>
      </c>
      <c r="D7" s="110">
        <f>'D) Ecrêtage'!E7</f>
        <v>24.917903650843112</v>
      </c>
      <c r="E7" s="34">
        <f t="shared" si="0"/>
        <v>21.08268201949733</v>
      </c>
      <c r="F7" s="276">
        <f t="shared" si="3"/>
        <v>180708.52231555982</v>
      </c>
      <c r="G7" s="33">
        <f>+'A) Base RI'!U9</f>
        <v>74</v>
      </c>
      <c r="H7" s="277">
        <f t="shared" si="2"/>
        <v>1.0821338157758063</v>
      </c>
      <c r="I7" s="55">
        <f t="shared" si="4"/>
        <v>195550.80279654419</v>
      </c>
      <c r="J7" s="48"/>
      <c r="L7" s="108"/>
    </row>
    <row r="8" spans="1:12" x14ac:dyDescent="0.25">
      <c r="A8" s="49">
        <f>'A) Base RI'!A10</f>
        <v>5404</v>
      </c>
      <c r="B8" s="32" t="str">
        <f>'A) Base RI'!B10</f>
        <v>Corbeyrier</v>
      </c>
      <c r="C8" s="95">
        <f>'A) Base RI'!V10</f>
        <v>437</v>
      </c>
      <c r="D8" s="110">
        <f>'D) Ecrêtage'!E8</f>
        <v>33.390711304713136</v>
      </c>
      <c r="E8" s="34">
        <f t="shared" si="0"/>
        <v>12.609874365627306</v>
      </c>
      <c r="F8" s="276">
        <f t="shared" si="3"/>
        <v>110100.09165362708</v>
      </c>
      <c r="G8" s="33">
        <f>+'A) Base RI'!U10</f>
        <v>74</v>
      </c>
      <c r="H8" s="277">
        <f t="shared" si="2"/>
        <v>1.0821338157758063</v>
      </c>
      <c r="I8" s="55">
        <f t="shared" si="4"/>
        <v>119143.03229840547</v>
      </c>
    </row>
    <row r="9" spans="1:12" x14ac:dyDescent="0.25">
      <c r="A9" s="49">
        <f>'A) Base RI'!A11</f>
        <v>5405</v>
      </c>
      <c r="B9" s="32" t="str">
        <f>'A) Base RI'!B11</f>
        <v>Gryon</v>
      </c>
      <c r="C9" s="95">
        <f>'A) Base RI'!V11</f>
        <v>1347</v>
      </c>
      <c r="D9" s="110">
        <f>'D) Ecrêtage'!E9</f>
        <v>48.722438954206119</v>
      </c>
      <c r="E9" s="34">
        <f t="shared" si="0"/>
        <v>0</v>
      </c>
      <c r="F9" s="276">
        <f t="shared" si="3"/>
        <v>0</v>
      </c>
      <c r="G9" s="33">
        <f>+'A) Base RI'!U11</f>
        <v>75</v>
      </c>
      <c r="H9" s="277">
        <f t="shared" si="2"/>
        <v>1.0967572457187227</v>
      </c>
      <c r="I9" s="55">
        <f t="shared" si="4"/>
        <v>0</v>
      </c>
    </row>
    <row r="10" spans="1:12" x14ac:dyDescent="0.25">
      <c r="A10" s="49">
        <f>'A) Base RI'!A12</f>
        <v>5406</v>
      </c>
      <c r="B10" s="32" t="str">
        <f>'A) Base RI'!B12</f>
        <v>Lavey-Morcles</v>
      </c>
      <c r="C10" s="95">
        <f>'A) Base RI'!V12</f>
        <v>931</v>
      </c>
      <c r="D10" s="110">
        <f>'D) Ecrêtage'!E10</f>
        <v>26.454378784461223</v>
      </c>
      <c r="E10" s="34">
        <f t="shared" si="0"/>
        <v>19.546206885879219</v>
      </c>
      <c r="F10" s="276">
        <f t="shared" si="3"/>
        <v>348846.43176814559</v>
      </c>
      <c r="G10" s="33">
        <f>+'A) Base RI'!U12</f>
        <v>71</v>
      </c>
      <c r="H10" s="277">
        <f t="shared" si="2"/>
        <v>1.0382635259470574</v>
      </c>
      <c r="I10" s="55">
        <f t="shared" si="4"/>
        <v>362194.52626164444</v>
      </c>
    </row>
    <row r="11" spans="1:12" x14ac:dyDescent="0.25">
      <c r="A11" s="49">
        <f>'A) Base RI'!A13</f>
        <v>5407</v>
      </c>
      <c r="B11" s="32" t="str">
        <f>'A) Base RI'!B13</f>
        <v>Leysin</v>
      </c>
      <c r="C11" s="95">
        <f>'A) Base RI'!V13</f>
        <v>3776</v>
      </c>
      <c r="D11" s="110">
        <f>'D) Ecrêtage'!E11</f>
        <v>23.567120923843682</v>
      </c>
      <c r="E11" s="34">
        <f t="shared" si="0"/>
        <v>22.43346474649676</v>
      </c>
      <c r="F11" s="276">
        <f t="shared" si="3"/>
        <v>1783966.5463111736</v>
      </c>
      <c r="G11" s="33">
        <f>+'A) Base RI'!U13</f>
        <v>78</v>
      </c>
      <c r="H11" s="277">
        <f t="shared" si="2"/>
        <v>1.1406275355474715</v>
      </c>
      <c r="I11" s="55">
        <f t="shared" si="4"/>
        <v>2034841.3652180482</v>
      </c>
    </row>
    <row r="12" spans="1:12" x14ac:dyDescent="0.25">
      <c r="A12" s="49">
        <f>'A) Base RI'!A14</f>
        <v>5408</v>
      </c>
      <c r="B12" s="32" t="str">
        <f>'A) Base RI'!B14</f>
        <v>Noville</v>
      </c>
      <c r="C12" s="95">
        <f>'A) Base RI'!V14</f>
        <v>1167</v>
      </c>
      <c r="D12" s="110">
        <f>'D) Ecrêtage'!E12</f>
        <v>24.224969826637338</v>
      </c>
      <c r="E12" s="34">
        <f t="shared" si="0"/>
        <v>21.775615843703104</v>
      </c>
      <c r="F12" s="276">
        <f t="shared" si="3"/>
        <v>538610.38550110429</v>
      </c>
      <c r="G12" s="33">
        <f>+'A) Base RI'!U14</f>
        <v>78.5</v>
      </c>
      <c r="H12" s="277">
        <f t="shared" si="2"/>
        <v>1.1479392505189296</v>
      </c>
      <c r="I12" s="55">
        <f t="shared" si="4"/>
        <v>618292.00225384941</v>
      </c>
    </row>
    <row r="13" spans="1:12" x14ac:dyDescent="0.25">
      <c r="A13" s="49">
        <f>'A) Base RI'!A15</f>
        <v>5409</v>
      </c>
      <c r="B13" s="32" t="str">
        <f>'A) Base RI'!B15</f>
        <v>Ollon</v>
      </c>
      <c r="C13" s="95">
        <f>'A) Base RI'!V15</f>
        <v>7560</v>
      </c>
      <c r="D13" s="110">
        <f>'D) Ecrêtage'!E13</f>
        <v>52.655940200420929</v>
      </c>
      <c r="E13" s="34">
        <f t="shared" si="0"/>
        <v>0</v>
      </c>
      <c r="F13" s="276">
        <f t="shared" si="3"/>
        <v>0</v>
      </c>
      <c r="G13" s="33">
        <f>+'A) Base RI'!U15</f>
        <v>68</v>
      </c>
      <c r="H13" s="277">
        <f t="shared" si="2"/>
        <v>0.99439323611830854</v>
      </c>
      <c r="I13" s="55">
        <f t="shared" si="4"/>
        <v>0</v>
      </c>
    </row>
    <row r="14" spans="1:12" x14ac:dyDescent="0.25">
      <c r="A14" s="49">
        <f>'A) Base RI'!A16</f>
        <v>5410</v>
      </c>
      <c r="B14" s="32" t="str">
        <f>'A) Base RI'!B16</f>
        <v>Ormont-Dessous</v>
      </c>
      <c r="C14" s="95">
        <f>'A) Base RI'!V16</f>
        <v>1141</v>
      </c>
      <c r="D14" s="110">
        <f>'D) Ecrêtage'!E14</f>
        <v>33.487483360035434</v>
      </c>
      <c r="E14" s="34">
        <f t="shared" si="0"/>
        <v>12.513102310305008</v>
      </c>
      <c r="F14" s="276">
        <f t="shared" si="3"/>
        <v>302610.54715574963</v>
      </c>
      <c r="G14" s="33">
        <f>+'A) Base RI'!U16</f>
        <v>78.5</v>
      </c>
      <c r="H14" s="277">
        <f t="shared" si="2"/>
        <v>1.1479392505189296</v>
      </c>
      <c r="I14" s="55">
        <f t="shared" si="4"/>
        <v>347378.52470109443</v>
      </c>
    </row>
    <row r="15" spans="1:12" x14ac:dyDescent="0.25">
      <c r="A15" s="49">
        <f>'A) Base RI'!A17</f>
        <v>5411</v>
      </c>
      <c r="B15" s="32" t="str">
        <f>'A) Base RI'!B17</f>
        <v>Ormont-Dessus</v>
      </c>
      <c r="C15" s="95">
        <f>'A) Base RI'!V17</f>
        <v>1434</v>
      </c>
      <c r="D15" s="110">
        <f>'D) Ecrêtage'!E15</f>
        <v>50.958334595425377</v>
      </c>
      <c r="E15" s="34">
        <f t="shared" si="0"/>
        <v>0</v>
      </c>
      <c r="F15" s="276">
        <f t="shared" si="3"/>
        <v>0</v>
      </c>
      <c r="G15" s="33">
        <f>+'A) Base RI'!U17</f>
        <v>76</v>
      </c>
      <c r="H15" s="277">
        <f t="shared" si="2"/>
        <v>1.1113806756616389</v>
      </c>
      <c r="I15" s="55">
        <f t="shared" si="4"/>
        <v>0</v>
      </c>
    </row>
    <row r="16" spans="1:12" x14ac:dyDescent="0.25">
      <c r="A16" s="49">
        <f>'A) Base RI'!A18</f>
        <v>5412</v>
      </c>
      <c r="B16" s="32" t="str">
        <f>'A) Base RI'!B18</f>
        <v>Rennaz</v>
      </c>
      <c r="C16" s="95">
        <f>'A) Base RI'!V18</f>
        <v>871</v>
      </c>
      <c r="D16" s="110">
        <f>'D) Ecrêtage'!E16</f>
        <v>27.340877337370017</v>
      </c>
      <c r="E16" s="34">
        <f t="shared" si="0"/>
        <v>18.659708332970425</v>
      </c>
      <c r="F16" s="276">
        <f t="shared" si="3"/>
        <v>296203.74358486425</v>
      </c>
      <c r="G16" s="33">
        <f>+'A) Base RI'!U18</f>
        <v>67.5</v>
      </c>
      <c r="H16" s="277">
        <f t="shared" si="2"/>
        <v>0.98708152114685033</v>
      </c>
      <c r="I16" s="55">
        <f t="shared" si="4"/>
        <v>292377.24178713938</v>
      </c>
    </row>
    <row r="17" spans="1:9" x14ac:dyDescent="0.25">
      <c r="A17" s="49">
        <f>'A) Base RI'!A19</f>
        <v>5413</v>
      </c>
      <c r="B17" s="32" t="str">
        <f>'A) Base RI'!B19</f>
        <v>Roche</v>
      </c>
      <c r="C17" s="95">
        <f>'A) Base RI'!V19</f>
        <v>1826</v>
      </c>
      <c r="D17" s="110">
        <f>'D) Ecrêtage'!E17</f>
        <v>24.446557243284637</v>
      </c>
      <c r="E17" s="34">
        <f t="shared" si="0"/>
        <v>21.554028427055805</v>
      </c>
      <c r="F17" s="276">
        <f t="shared" si="3"/>
        <v>722606.56246727961</v>
      </c>
      <c r="G17" s="33">
        <f>+'A) Base RI'!U19</f>
        <v>68</v>
      </c>
      <c r="H17" s="277">
        <f t="shared" si="2"/>
        <v>0.99439323611830854</v>
      </c>
      <c r="I17" s="55">
        <f t="shared" si="4"/>
        <v>718555.07809216483</v>
      </c>
    </row>
    <row r="18" spans="1:9" x14ac:dyDescent="0.25">
      <c r="A18" s="49">
        <f>'A) Base RI'!A20</f>
        <v>5414</v>
      </c>
      <c r="B18" s="32" t="str">
        <f>'A) Base RI'!B20</f>
        <v>Villeneuve</v>
      </c>
      <c r="C18" s="95">
        <f>'A) Base RI'!V20</f>
        <v>5772</v>
      </c>
      <c r="D18" s="110">
        <f>'D) Ecrêtage'!E18</f>
        <v>28.765348292292444</v>
      </c>
      <c r="E18" s="34">
        <f t="shared" si="0"/>
        <v>17.235237378047998</v>
      </c>
      <c r="F18" s="276">
        <f t="shared" si="3"/>
        <v>1853345.7504217136</v>
      </c>
      <c r="G18" s="33">
        <f>+'A) Base RI'!U20</f>
        <v>69</v>
      </c>
      <c r="H18" s="277">
        <f t="shared" si="2"/>
        <v>1.0090166660612248</v>
      </c>
      <c r="I18" s="55">
        <f t="shared" si="4"/>
        <v>1870056.7501492561</v>
      </c>
    </row>
    <row r="19" spans="1:9" x14ac:dyDescent="0.25">
      <c r="A19" s="49">
        <f>'A) Base RI'!A21</f>
        <v>5415</v>
      </c>
      <c r="B19" s="32" t="str">
        <f>'A) Base RI'!B21</f>
        <v>Yvorne</v>
      </c>
      <c r="C19" s="95">
        <f>'A) Base RI'!V21</f>
        <v>1071</v>
      </c>
      <c r="D19" s="110">
        <f>'D) Ecrêtage'!E19</f>
        <v>36.529571224087405</v>
      </c>
      <c r="E19" s="34">
        <f t="shared" si="0"/>
        <v>9.4710144462530366</v>
      </c>
      <c r="F19" s="276">
        <f t="shared" si="3"/>
        <v>195819.42719074385</v>
      </c>
      <c r="G19" s="33">
        <f>+'A) Base RI'!U21</f>
        <v>71.5</v>
      </c>
      <c r="H19" s="277">
        <f t="shared" si="2"/>
        <v>1.0455752409185155</v>
      </c>
      <c r="I19" s="55">
        <f t="shared" si="4"/>
        <v>204743.94476148771</v>
      </c>
    </row>
    <row r="20" spans="1:9" x14ac:dyDescent="0.25">
      <c r="A20" s="49">
        <f>'A) Base RI'!A22</f>
        <v>5421</v>
      </c>
      <c r="B20" s="32" t="str">
        <f>'A) Base RI'!B22</f>
        <v>Apples</v>
      </c>
      <c r="C20" s="95">
        <f>'A) Base RI'!V22</f>
        <v>1460</v>
      </c>
      <c r="D20" s="110">
        <f>'D) Ecrêtage'!E20</f>
        <v>48.282543323258999</v>
      </c>
      <c r="E20" s="34">
        <f t="shared" si="0"/>
        <v>0</v>
      </c>
      <c r="F20" s="276">
        <f t="shared" si="3"/>
        <v>0</v>
      </c>
      <c r="G20" s="33">
        <f>+'A) Base RI'!U22</f>
        <v>76</v>
      </c>
      <c r="H20" s="277">
        <f t="shared" si="2"/>
        <v>1.1113806756616389</v>
      </c>
      <c r="I20" s="55">
        <f t="shared" si="4"/>
        <v>0</v>
      </c>
    </row>
    <row r="21" spans="1:9" x14ac:dyDescent="0.25">
      <c r="A21" s="49">
        <f>'A) Base RI'!A23</f>
        <v>5422</v>
      </c>
      <c r="B21" s="32" t="str">
        <f>'A) Base RI'!B23</f>
        <v>Aubonne</v>
      </c>
      <c r="C21" s="95">
        <f>'A) Base RI'!V23</f>
        <v>3817</v>
      </c>
      <c r="D21" s="110">
        <f>'D) Ecrêtage'!E21</f>
        <v>64.30099117206457</v>
      </c>
      <c r="E21" s="34">
        <f t="shared" si="0"/>
        <v>0</v>
      </c>
      <c r="F21" s="276">
        <f t="shared" si="3"/>
        <v>0</v>
      </c>
      <c r="G21" s="33">
        <f>+'A) Base RI'!U23</f>
        <v>70.52</v>
      </c>
      <c r="H21" s="277">
        <f t="shared" si="2"/>
        <v>1.0312442795744574</v>
      </c>
      <c r="I21" s="55">
        <f t="shared" si="4"/>
        <v>0</v>
      </c>
    </row>
    <row r="22" spans="1:9" x14ac:dyDescent="0.25">
      <c r="A22" s="49">
        <f>'A) Base RI'!A24</f>
        <v>5423</v>
      </c>
      <c r="B22" s="32" t="str">
        <f>'A) Base RI'!B24</f>
        <v>Ballens</v>
      </c>
      <c r="C22" s="95">
        <f>'A) Base RI'!V24</f>
        <v>545</v>
      </c>
      <c r="D22" s="110">
        <f>'D) Ecrêtage'!E22</f>
        <v>29.94453468382579</v>
      </c>
      <c r="E22" s="34">
        <f t="shared" si="0"/>
        <v>16.056050986514652</v>
      </c>
      <c r="F22" s="276">
        <f t="shared" si="3"/>
        <v>172473.29689459107</v>
      </c>
      <c r="G22" s="33">
        <f>+'A) Base RI'!U24</f>
        <v>73</v>
      </c>
      <c r="H22" s="277">
        <f t="shared" si="2"/>
        <v>1.06751038583289</v>
      </c>
      <c r="I22" s="55">
        <f t="shared" si="4"/>
        <v>184117.03571381551</v>
      </c>
    </row>
    <row r="23" spans="1:9" x14ac:dyDescent="0.25">
      <c r="A23" s="49">
        <f>'A) Base RI'!A25</f>
        <v>5424</v>
      </c>
      <c r="B23" s="32" t="str">
        <f>'A) Base RI'!B25</f>
        <v>Berolle</v>
      </c>
      <c r="C23" s="95">
        <f>'A) Base RI'!V25</f>
        <v>300</v>
      </c>
      <c r="D23" s="110">
        <f>'D) Ecrêtage'!E23</f>
        <v>30.928572727272719</v>
      </c>
      <c r="E23" s="34">
        <f t="shared" si="0"/>
        <v>15.072012943067723</v>
      </c>
      <c r="F23" s="276">
        <f t="shared" si="3"/>
        <v>94004.1447259134</v>
      </c>
      <c r="G23" s="33">
        <f>+'A) Base RI'!U25</f>
        <v>77</v>
      </c>
      <c r="H23" s="277">
        <f t="shared" si="2"/>
        <v>1.1260041056045551</v>
      </c>
      <c r="I23" s="55">
        <f t="shared" si="4"/>
        <v>105849.05290522327</v>
      </c>
    </row>
    <row r="24" spans="1:9" x14ac:dyDescent="0.25">
      <c r="A24" s="49">
        <f>'A) Base RI'!A26</f>
        <v>5425</v>
      </c>
      <c r="B24" s="32" t="str">
        <f>'A) Base RI'!B26</f>
        <v>Bière</v>
      </c>
      <c r="C24" s="95">
        <f>'A) Base RI'!V26</f>
        <v>1596</v>
      </c>
      <c r="D24" s="110">
        <f>'D) Ecrêtage'!E24</f>
        <v>24.66167598396008</v>
      </c>
      <c r="E24" s="34">
        <f t="shared" si="0"/>
        <v>21.338909686380362</v>
      </c>
      <c r="F24" s="276">
        <f t="shared" si="3"/>
        <v>643675.40734385175</v>
      </c>
      <c r="G24" s="33">
        <f>+'A) Base RI'!U26</f>
        <v>70</v>
      </c>
      <c r="H24" s="277">
        <f t="shared" si="2"/>
        <v>1.0236400960041412</v>
      </c>
      <c r="I24" s="55">
        <f t="shared" si="4"/>
        <v>658891.95576896507</v>
      </c>
    </row>
    <row r="25" spans="1:9" x14ac:dyDescent="0.25">
      <c r="A25" s="49">
        <f>'A) Base RI'!A27</f>
        <v>5426</v>
      </c>
      <c r="B25" s="32" t="str">
        <f>'A) Base RI'!B27</f>
        <v>Bougy-Villars</v>
      </c>
      <c r="C25" s="95">
        <f>'A) Base RI'!V27</f>
        <v>475</v>
      </c>
      <c r="D25" s="110">
        <f>'D) Ecrêtage'!E25</f>
        <v>109.4192076221495</v>
      </c>
      <c r="E25" s="34">
        <f t="shared" si="0"/>
        <v>0</v>
      </c>
      <c r="F25" s="276">
        <f t="shared" si="3"/>
        <v>0</v>
      </c>
      <c r="G25" s="33">
        <f>+'A) Base RI'!U27</f>
        <v>66</v>
      </c>
      <c r="H25" s="277">
        <f t="shared" si="2"/>
        <v>0.9651463762324759</v>
      </c>
      <c r="I25" s="55">
        <f t="shared" si="4"/>
        <v>0</v>
      </c>
    </row>
    <row r="26" spans="1:9" x14ac:dyDescent="0.25">
      <c r="A26" s="49">
        <f>'A) Base RI'!A28</f>
        <v>5427</v>
      </c>
      <c r="B26" s="32" t="str">
        <f>'A) Base RI'!B28</f>
        <v>Féchy</v>
      </c>
      <c r="C26" s="95">
        <f>'A) Base RI'!V28</f>
        <v>861</v>
      </c>
      <c r="D26" s="110">
        <f>'D) Ecrêtage'!E26</f>
        <v>100.69000272333695</v>
      </c>
      <c r="E26" s="34">
        <f t="shared" si="0"/>
        <v>0</v>
      </c>
      <c r="F26" s="276">
        <f t="shared" si="3"/>
        <v>0</v>
      </c>
      <c r="G26" s="33">
        <f>+'A) Base RI'!U28</f>
        <v>64</v>
      </c>
      <c r="H26" s="277">
        <f t="shared" si="2"/>
        <v>0.93589951634664326</v>
      </c>
      <c r="I26" s="55">
        <f t="shared" si="4"/>
        <v>0</v>
      </c>
    </row>
    <row r="27" spans="1:9" x14ac:dyDescent="0.25">
      <c r="A27" s="49">
        <f>'A) Base RI'!A29</f>
        <v>5428</v>
      </c>
      <c r="B27" s="32" t="str">
        <f>'A) Base RI'!B29</f>
        <v>Gimel</v>
      </c>
      <c r="C27" s="95">
        <f>'A) Base RI'!V29</f>
        <v>2238</v>
      </c>
      <c r="D27" s="110">
        <f>'D) Ecrêtage'!E27</f>
        <v>29.601620094807519</v>
      </c>
      <c r="E27" s="34">
        <f t="shared" si="0"/>
        <v>16.398965575532923</v>
      </c>
      <c r="F27" s="276">
        <f t="shared" si="3"/>
        <v>738238.30093102856</v>
      </c>
      <c r="G27" s="33">
        <f>+'A) Base RI'!U29</f>
        <v>74.5</v>
      </c>
      <c r="H27" s="277">
        <f t="shared" si="2"/>
        <v>1.0894455307472644</v>
      </c>
      <c r="I27" s="55">
        <f t="shared" si="4"/>
        <v>804270.41757576307</v>
      </c>
    </row>
    <row r="28" spans="1:9" x14ac:dyDescent="0.25">
      <c r="A28" s="49">
        <f>'A) Base RI'!A30</f>
        <v>5429</v>
      </c>
      <c r="B28" s="32" t="str">
        <f>'A) Base RI'!B30</f>
        <v>Longirod</v>
      </c>
      <c r="C28" s="95">
        <f>'A) Base RI'!V30</f>
        <v>482</v>
      </c>
      <c r="D28" s="110">
        <f>'D) Ecrêtage'!E28</f>
        <v>31.74230173875026</v>
      </c>
      <c r="E28" s="34">
        <f t="shared" si="0"/>
        <v>14.258283931590181</v>
      </c>
      <c r="F28" s="276">
        <f t="shared" si="3"/>
        <v>150301.41873942886</v>
      </c>
      <c r="G28" s="33">
        <f>+'A) Base RI'!U30</f>
        <v>81</v>
      </c>
      <c r="H28" s="277">
        <f t="shared" si="2"/>
        <v>1.1844978253762204</v>
      </c>
      <c r="I28" s="55">
        <f t="shared" si="4"/>
        <v>178031.7036478142</v>
      </c>
    </row>
    <row r="29" spans="1:9" x14ac:dyDescent="0.25">
      <c r="A29" s="49">
        <f>'A) Base RI'!A31</f>
        <v>5430</v>
      </c>
      <c r="B29" s="32" t="str">
        <f>'A) Base RI'!B31</f>
        <v>Marchissy</v>
      </c>
      <c r="C29" s="95">
        <f>'A) Base RI'!V31</f>
        <v>472</v>
      </c>
      <c r="D29" s="110">
        <f>'D) Ecrêtage'!E29</f>
        <v>31.551084927098838</v>
      </c>
      <c r="E29" s="34">
        <f t="shared" si="0"/>
        <v>14.449500743241604</v>
      </c>
      <c r="F29" s="276">
        <f t="shared" si="3"/>
        <v>145474.10560277809</v>
      </c>
      <c r="G29" s="33">
        <f>+'A) Base RI'!U31</f>
        <v>79</v>
      </c>
      <c r="H29" s="277">
        <f t="shared" si="2"/>
        <v>1.1552509654903877</v>
      </c>
      <c r="I29" s="55">
        <f t="shared" si="4"/>
        <v>168059.10095146002</v>
      </c>
    </row>
    <row r="30" spans="1:9" x14ac:dyDescent="0.25">
      <c r="A30" s="49">
        <f>'A) Base RI'!A32</f>
        <v>5431</v>
      </c>
      <c r="B30" s="32" t="str">
        <f>'A) Base RI'!B32</f>
        <v>Mollens</v>
      </c>
      <c r="C30" s="95">
        <f>'A) Base RI'!V32</f>
        <v>308</v>
      </c>
      <c r="D30" s="110">
        <f>'D) Ecrêtage'!E30</f>
        <v>34.501832845838933</v>
      </c>
      <c r="E30" s="34">
        <f t="shared" si="0"/>
        <v>11.498752824501508</v>
      </c>
      <c r="F30" s="276">
        <f t="shared" si="3"/>
        <v>70761.485081530365</v>
      </c>
      <c r="G30" s="33">
        <f>+'A) Base RI'!U32</f>
        <v>74</v>
      </c>
      <c r="H30" s="277">
        <f t="shared" si="2"/>
        <v>1.0821338157758063</v>
      </c>
      <c r="I30" s="55">
        <f t="shared" si="4"/>
        <v>76573.395861239245</v>
      </c>
    </row>
    <row r="31" spans="1:9" x14ac:dyDescent="0.25">
      <c r="A31" s="49">
        <f>'A) Base RI'!A33</f>
        <v>5434</v>
      </c>
      <c r="B31" s="32" t="str">
        <f>'A) Base RI'!B33</f>
        <v>Saint-George</v>
      </c>
      <c r="C31" s="95">
        <f>'A) Base RI'!V33</f>
        <v>1063</v>
      </c>
      <c r="D31" s="110">
        <f>'D) Ecrêtage'!E31</f>
        <v>37.48735239728024</v>
      </c>
      <c r="E31" s="34">
        <f t="shared" si="0"/>
        <v>8.5132332730602016</v>
      </c>
      <c r="F31" s="276">
        <f t="shared" si="3"/>
        <v>173480.19880077164</v>
      </c>
      <c r="G31" s="33">
        <f>+'A) Base RI'!U33</f>
        <v>71</v>
      </c>
      <c r="H31" s="277">
        <f t="shared" si="2"/>
        <v>1.0382635259470574</v>
      </c>
      <c r="I31" s="55">
        <f t="shared" si="4"/>
        <v>180118.16288888565</v>
      </c>
    </row>
    <row r="32" spans="1:9" x14ac:dyDescent="0.25">
      <c r="A32" s="49">
        <f>'A) Base RI'!A34</f>
        <v>5435</v>
      </c>
      <c r="B32" s="32" t="str">
        <f>'A) Base RI'!B34</f>
        <v>Saint-Livres</v>
      </c>
      <c r="C32" s="95">
        <f>'A) Base RI'!V34</f>
        <v>691</v>
      </c>
      <c r="D32" s="110">
        <f>'D) Ecrêtage'!E32</f>
        <v>35.154762474045178</v>
      </c>
      <c r="E32" s="34">
        <f t="shared" si="0"/>
        <v>10.845823196295264</v>
      </c>
      <c r="F32" s="276">
        <f t="shared" si="3"/>
        <v>139621.86112756372</v>
      </c>
      <c r="G32" s="33">
        <f>+'A) Base RI'!U34</f>
        <v>69</v>
      </c>
      <c r="H32" s="277">
        <f t="shared" si="2"/>
        <v>1.0090166660612248</v>
      </c>
      <c r="I32" s="55">
        <f t="shared" si="4"/>
        <v>140880.78482419768</v>
      </c>
    </row>
    <row r="33" spans="1:9" x14ac:dyDescent="0.25">
      <c r="A33" s="49">
        <f>'A) Base RI'!A35</f>
        <v>5436</v>
      </c>
      <c r="B33" s="32" t="str">
        <f>'A) Base RI'!B35</f>
        <v>Saint-Oyens</v>
      </c>
      <c r="C33" s="95">
        <f>'A) Base RI'!V35</f>
        <v>447</v>
      </c>
      <c r="D33" s="110">
        <f>'D) Ecrêtage'!E33</f>
        <v>37.260786972530816</v>
      </c>
      <c r="E33" s="34">
        <f t="shared" si="0"/>
        <v>8.7397986978096256</v>
      </c>
      <c r="F33" s="276">
        <f t="shared" si="3"/>
        <v>85439.31069193015</v>
      </c>
      <c r="G33" s="33">
        <f>+'A) Base RI'!U35</f>
        <v>81</v>
      </c>
      <c r="H33" s="277">
        <f t="shared" si="2"/>
        <v>1.1844978253762204</v>
      </c>
      <c r="I33" s="55">
        <f t="shared" si="4"/>
        <v>101202.67771623452</v>
      </c>
    </row>
    <row r="34" spans="1:9" x14ac:dyDescent="0.25">
      <c r="A34" s="49">
        <f>'A) Base RI'!A36</f>
        <v>5437</v>
      </c>
      <c r="B34" s="32" t="str">
        <f>'A) Base RI'!B36</f>
        <v>Saubraz</v>
      </c>
      <c r="C34" s="95">
        <f>'A) Base RI'!V36</f>
        <v>423</v>
      </c>
      <c r="D34" s="110">
        <f>'D) Ecrêtage'!E34</f>
        <v>31.100372178227047</v>
      </c>
      <c r="E34" s="34">
        <f t="shared" si="0"/>
        <v>14.900213492113394</v>
      </c>
      <c r="F34" s="276">
        <f t="shared" si="3"/>
        <v>136140.27063474167</v>
      </c>
      <c r="G34" s="33">
        <f>+'A) Base RI'!U36</f>
        <v>80</v>
      </c>
      <c r="H34" s="277">
        <f t="shared" si="2"/>
        <v>1.1698743954333042</v>
      </c>
      <c r="I34" s="55">
        <f t="shared" si="4"/>
        <v>159267.01680294483</v>
      </c>
    </row>
    <row r="35" spans="1:9" x14ac:dyDescent="0.25">
      <c r="A35" s="49">
        <f>'A) Base RI'!A37</f>
        <v>5451</v>
      </c>
      <c r="B35" s="32" t="str">
        <f>'A) Base RI'!B37</f>
        <v>Avenches</v>
      </c>
      <c r="C35" s="95">
        <f>'A) Base RI'!V37</f>
        <v>4305</v>
      </c>
      <c r="D35" s="110">
        <f>'D) Ecrêtage'!E35</f>
        <v>30.443411105176409</v>
      </c>
      <c r="E35" s="34">
        <f t="shared" si="0"/>
        <v>15.557174565164033</v>
      </c>
      <c r="F35" s="276">
        <f t="shared" si="3"/>
        <v>1229635.9661956523</v>
      </c>
      <c r="G35" s="33">
        <f>+'A) Base RI'!U37</f>
        <v>68</v>
      </c>
      <c r="H35" s="277">
        <f t="shared" si="2"/>
        <v>0.99439323611830854</v>
      </c>
      <c r="I35" s="55">
        <f t="shared" si="4"/>
        <v>1222741.6876727578</v>
      </c>
    </row>
    <row r="36" spans="1:9" x14ac:dyDescent="0.25">
      <c r="A36" s="49">
        <f>'A) Base RI'!A38</f>
        <v>5456</v>
      </c>
      <c r="B36" s="32" t="str">
        <f>'A) Base RI'!B38</f>
        <v>Cudrefin</v>
      </c>
      <c r="C36" s="95">
        <f>'A) Base RI'!V38</f>
        <v>1735</v>
      </c>
      <c r="D36" s="110">
        <f>'D) Ecrêtage'!E36</f>
        <v>33.131942213401672</v>
      </c>
      <c r="E36" s="34">
        <f t="shared" si="0"/>
        <v>12.86864345693877</v>
      </c>
      <c r="F36" s="276">
        <f t="shared" si="3"/>
        <v>355670.64561677503</v>
      </c>
      <c r="G36" s="33">
        <f>+'A) Base RI'!U38</f>
        <v>59</v>
      </c>
      <c r="H36" s="277">
        <f t="shared" si="2"/>
        <v>0.86278236663206176</v>
      </c>
      <c r="I36" s="55">
        <f t="shared" si="4"/>
        <v>306866.3613667945</v>
      </c>
    </row>
    <row r="37" spans="1:9" x14ac:dyDescent="0.25">
      <c r="A37" s="49">
        <f>'A) Base RI'!A39</f>
        <v>5458</v>
      </c>
      <c r="B37" s="32" t="str">
        <f>'A) Base RI'!B39</f>
        <v>Faoug</v>
      </c>
      <c r="C37" s="95">
        <f>'A) Base RI'!V39</f>
        <v>884</v>
      </c>
      <c r="D37" s="110">
        <f>'D) Ecrêtage'!E37</f>
        <v>37.447032631473661</v>
      </c>
      <c r="E37" s="34">
        <f t="shared" ref="E37:E68" si="5">IF($D$313-D37&lt;0,0,$D$313-D37)</f>
        <v>8.5535530388667809</v>
      </c>
      <c r="F37" s="276">
        <f t="shared" si="3"/>
        <v>134743.09459490376</v>
      </c>
      <c r="G37" s="33">
        <f>+'A) Base RI'!U39</f>
        <v>66</v>
      </c>
      <c r="H37" s="277">
        <f t="shared" ref="H37:H68" si="6">G37/$G$313</f>
        <v>0.9651463762324759</v>
      </c>
      <c r="I37" s="55">
        <f t="shared" si="4"/>
        <v>130046.80947062107</v>
      </c>
    </row>
    <row r="38" spans="1:9" x14ac:dyDescent="0.25">
      <c r="A38" s="49">
        <f>'A) Base RI'!A40</f>
        <v>5464</v>
      </c>
      <c r="B38" s="32" t="str">
        <f>'A) Base RI'!B40</f>
        <v>Vully-les-Lacs</v>
      </c>
      <c r="C38" s="95">
        <f>'A) Base RI'!V40</f>
        <v>3278</v>
      </c>
      <c r="D38" s="110">
        <f>'D) Ecrêtage'!E38</f>
        <v>34.382703094302478</v>
      </c>
      <c r="E38" s="34">
        <f t="shared" si="5"/>
        <v>11.617882576037964</v>
      </c>
      <c r="F38" s="276">
        <f t="shared" si="3"/>
        <v>688929.05123412691</v>
      </c>
      <c r="G38" s="33">
        <f>+'A) Base RI'!U40</f>
        <v>67</v>
      </c>
      <c r="H38" s="277">
        <f t="shared" si="6"/>
        <v>0.97976980617539222</v>
      </c>
      <c r="I38" s="55">
        <f t="shared" si="4"/>
        <v>674991.88299625739</v>
      </c>
    </row>
    <row r="39" spans="1:9" x14ac:dyDescent="0.25">
      <c r="A39" s="49">
        <f>'A) Base RI'!A41</f>
        <v>5471</v>
      </c>
      <c r="B39" s="32" t="str">
        <f>'A) Base RI'!B41</f>
        <v>Bettens</v>
      </c>
      <c r="C39" s="95">
        <f>'A) Base RI'!V41</f>
        <v>650</v>
      </c>
      <c r="D39" s="110">
        <f>'D) Ecrêtage'!E39</f>
        <v>33.338288994090917</v>
      </c>
      <c r="E39" s="34">
        <f t="shared" si="5"/>
        <v>12.662296676249525</v>
      </c>
      <c r="F39" s="276">
        <f t="shared" si="3"/>
        <v>155556.31466772541</v>
      </c>
      <c r="G39" s="33">
        <f>+'A) Base RI'!U41</f>
        <v>70</v>
      </c>
      <c r="H39" s="277">
        <f t="shared" si="6"/>
        <v>1.0236400960041412</v>
      </c>
      <c r="I39" s="55">
        <f t="shared" si="4"/>
        <v>159233.68088052084</v>
      </c>
    </row>
    <row r="40" spans="1:9" x14ac:dyDescent="0.25">
      <c r="A40" s="49">
        <f>'A) Base RI'!A42</f>
        <v>5472</v>
      </c>
      <c r="B40" s="32" t="str">
        <f>'A) Base RI'!B42</f>
        <v>Bournens</v>
      </c>
      <c r="C40" s="95">
        <f>'A) Base RI'!V42</f>
        <v>422</v>
      </c>
      <c r="D40" s="110">
        <f>'D) Ecrêtage'!E40</f>
        <v>35.592276931359521</v>
      </c>
      <c r="E40" s="34">
        <f t="shared" si="5"/>
        <v>10.408308738980921</v>
      </c>
      <c r="F40" s="276">
        <f t="shared" si="3"/>
        <v>90130.125026680951</v>
      </c>
      <c r="G40" s="33">
        <f>+'A) Base RI'!U42</f>
        <v>76</v>
      </c>
      <c r="H40" s="277">
        <f t="shared" si="6"/>
        <v>1.1113806756616389</v>
      </c>
      <c r="I40" s="55">
        <f t="shared" si="4"/>
        <v>100168.87924962066</v>
      </c>
    </row>
    <row r="41" spans="1:9" x14ac:dyDescent="0.25">
      <c r="A41" s="49">
        <f>'A) Base RI'!A43</f>
        <v>5473</v>
      </c>
      <c r="B41" s="32" t="str">
        <f>'A) Base RI'!B43</f>
        <v>Boussens</v>
      </c>
      <c r="C41" s="95">
        <f>'A) Base RI'!V43</f>
        <v>993</v>
      </c>
      <c r="D41" s="110">
        <f>'D) Ecrêtage'!E41</f>
        <v>34.523881880147101</v>
      </c>
      <c r="E41" s="34">
        <f t="shared" si="5"/>
        <v>11.476703790193341</v>
      </c>
      <c r="F41" s="276">
        <f t="shared" si="3"/>
        <v>212314.31467002284</v>
      </c>
      <c r="G41" s="33">
        <f>+'A) Base RI'!U43</f>
        <v>69</v>
      </c>
      <c r="H41" s="277">
        <f t="shared" si="6"/>
        <v>1.0090166660612248</v>
      </c>
      <c r="I41" s="55">
        <f t="shared" si="4"/>
        <v>214228.68194542022</v>
      </c>
    </row>
    <row r="42" spans="1:9" x14ac:dyDescent="0.25">
      <c r="A42" s="49">
        <f>'A) Base RI'!A44</f>
        <v>5474</v>
      </c>
      <c r="B42" s="32" t="str">
        <f>'A) Base RI'!B44</f>
        <v>La Chaux (Cossonay)</v>
      </c>
      <c r="C42" s="95">
        <f>'A) Base RI'!V44</f>
        <v>395</v>
      </c>
      <c r="D42" s="110">
        <f>'D) Ecrêtage'!E42</f>
        <v>38.766703161817084</v>
      </c>
      <c r="E42" s="34">
        <f t="shared" si="5"/>
        <v>7.233882508523358</v>
      </c>
      <c r="F42" s="276">
        <f t="shared" si="3"/>
        <v>59405.004854119252</v>
      </c>
      <c r="G42" s="33">
        <f>+'A) Base RI'!U44</f>
        <v>77</v>
      </c>
      <c r="H42" s="277">
        <f t="shared" si="6"/>
        <v>1.1260041056045551</v>
      </c>
      <c r="I42" s="55">
        <f t="shared" si="4"/>
        <v>66890.279359196807</v>
      </c>
    </row>
    <row r="43" spans="1:9" x14ac:dyDescent="0.25">
      <c r="A43" s="49">
        <f>'A) Base RI'!A45</f>
        <v>5475</v>
      </c>
      <c r="B43" s="32" t="str">
        <f>'A) Base RI'!B45</f>
        <v>Chavannes-le-Veyron</v>
      </c>
      <c r="C43" s="95">
        <f>'A) Base RI'!V45</f>
        <v>152</v>
      </c>
      <c r="D43" s="110">
        <f>'D) Ecrêtage'!E43</f>
        <v>20.021178229665072</v>
      </c>
      <c r="E43" s="34">
        <f t="shared" si="5"/>
        <v>25.97940744067537</v>
      </c>
      <c r="F43" s="276">
        <f t="shared" si="3"/>
        <v>82097.005865129424</v>
      </c>
      <c r="G43" s="33">
        <f>+'A) Base RI'!U45</f>
        <v>77</v>
      </c>
      <c r="H43" s="277">
        <f t="shared" si="6"/>
        <v>1.1260041056045551</v>
      </c>
      <c r="I43" s="55">
        <f t="shared" si="4"/>
        <v>92441.565661976972</v>
      </c>
    </row>
    <row r="44" spans="1:9" x14ac:dyDescent="0.25">
      <c r="A44" s="49">
        <f>'A) Base RI'!A46</f>
        <v>5476</v>
      </c>
      <c r="B44" s="32" t="str">
        <f>'A) Base RI'!B46</f>
        <v>Chevilly</v>
      </c>
      <c r="C44" s="95">
        <f>'A) Base RI'!V46</f>
        <v>317</v>
      </c>
      <c r="D44" s="110">
        <f>'D) Ecrêtage'!E44</f>
        <v>39.863332987108983</v>
      </c>
      <c r="E44" s="34">
        <f t="shared" si="5"/>
        <v>6.1372526832314591</v>
      </c>
      <c r="F44" s="276">
        <f t="shared" si="3"/>
        <v>38871.271829675767</v>
      </c>
      <c r="G44" s="33">
        <f>+'A) Base RI'!U46</f>
        <v>74</v>
      </c>
      <c r="H44" s="277">
        <f t="shared" si="6"/>
        <v>1.0821338157758063</v>
      </c>
      <c r="I44" s="55">
        <f t="shared" si="4"/>
        <v>42063.917709105641</v>
      </c>
    </row>
    <row r="45" spans="1:9" x14ac:dyDescent="0.25">
      <c r="A45" s="49">
        <f>'A) Base RI'!A47</f>
        <v>5477</v>
      </c>
      <c r="B45" s="32" t="str">
        <f>'A) Base RI'!B47</f>
        <v>Cossonay</v>
      </c>
      <c r="C45" s="95">
        <f>'A) Base RI'!V47</f>
        <v>4045</v>
      </c>
      <c r="D45" s="110">
        <f>'D) Ecrêtage'!E45</f>
        <v>35.672771513171099</v>
      </c>
      <c r="E45" s="34">
        <f t="shared" si="5"/>
        <v>10.327814157169342</v>
      </c>
      <c r="F45" s="276">
        <f t="shared" si="3"/>
        <v>800846.07845442742</v>
      </c>
      <c r="G45" s="33">
        <f>+'A) Base RI'!U47</f>
        <v>71</v>
      </c>
      <c r="H45" s="277">
        <f t="shared" si="6"/>
        <v>1.0382635259470574</v>
      </c>
      <c r="I45" s="55">
        <f t="shared" si="4"/>
        <v>831489.2731569676</v>
      </c>
    </row>
    <row r="46" spans="1:9" x14ac:dyDescent="0.25">
      <c r="A46" s="49">
        <f>'A) Base RI'!A48</f>
        <v>5478</v>
      </c>
      <c r="B46" s="32" t="str">
        <f>'A) Base RI'!B48</f>
        <v>Cottens</v>
      </c>
      <c r="C46" s="95">
        <f>'A) Base RI'!V48</f>
        <v>487</v>
      </c>
      <c r="D46" s="110">
        <f>'D) Ecrêtage'!E46</f>
        <v>35.97605358042302</v>
      </c>
      <c r="E46" s="34">
        <f t="shared" si="5"/>
        <v>10.024532089917422</v>
      </c>
      <c r="F46" s="276">
        <f t="shared" si="3"/>
        <v>97541.303613239899</v>
      </c>
      <c r="G46" s="33">
        <f>+'A) Base RI'!U48</f>
        <v>74</v>
      </c>
      <c r="H46" s="277">
        <f t="shared" si="6"/>
        <v>1.0821338157758063</v>
      </c>
      <c r="I46" s="55">
        <f t="shared" si="4"/>
        <v>105552.74307474172</v>
      </c>
    </row>
    <row r="47" spans="1:9" x14ac:dyDescent="0.25">
      <c r="A47" s="49">
        <f>'A) Base RI'!A49</f>
        <v>5479</v>
      </c>
      <c r="B47" s="32" t="str">
        <f>'A) Base RI'!B49</f>
        <v>Cuarnens</v>
      </c>
      <c r="C47" s="95">
        <f>'A) Base RI'!V49</f>
        <v>486</v>
      </c>
      <c r="D47" s="110">
        <f>'D) Ecrêtage'!E47</f>
        <v>35.542144423944706</v>
      </c>
      <c r="E47" s="34">
        <f t="shared" si="5"/>
        <v>10.458441246395736</v>
      </c>
      <c r="F47" s="276">
        <f t="shared" si="3"/>
        <v>105671.46284710774</v>
      </c>
      <c r="G47" s="33">
        <f>+'A) Base RI'!U49</f>
        <v>77</v>
      </c>
      <c r="H47" s="277">
        <f t="shared" si="6"/>
        <v>1.1260041056045551</v>
      </c>
      <c r="I47" s="55">
        <f t="shared" si="4"/>
        <v>118986.50101108252</v>
      </c>
    </row>
    <row r="48" spans="1:9" x14ac:dyDescent="0.25">
      <c r="A48" s="49">
        <f>'A) Base RI'!A50</f>
        <v>5480</v>
      </c>
      <c r="B48" s="32" t="str">
        <f>'A) Base RI'!B50</f>
        <v>Daillens</v>
      </c>
      <c r="C48" s="95">
        <f>'A) Base RI'!V50</f>
        <v>1034</v>
      </c>
      <c r="D48" s="110">
        <f>'D) Ecrêtage'!E48</f>
        <v>38.89842897055663</v>
      </c>
      <c r="E48" s="34">
        <f t="shared" si="5"/>
        <v>7.1021566997838121</v>
      </c>
      <c r="F48" s="276">
        <f t="shared" si="3"/>
        <v>130863.48709141255</v>
      </c>
      <c r="G48" s="33">
        <f>+'A) Base RI'!U50</f>
        <v>66</v>
      </c>
      <c r="H48" s="277">
        <f t="shared" si="6"/>
        <v>0.9651463762324759</v>
      </c>
      <c r="I48" s="55">
        <f t="shared" si="4"/>
        <v>126302.42034742222</v>
      </c>
    </row>
    <row r="49" spans="1:12" x14ac:dyDescent="0.25">
      <c r="A49" s="49">
        <f>'A) Base RI'!A51</f>
        <v>5481</v>
      </c>
      <c r="B49" s="32" t="str">
        <f>'A) Base RI'!B51</f>
        <v>Dizy</v>
      </c>
      <c r="C49" s="95">
        <f>'A) Base RI'!V51</f>
        <v>234</v>
      </c>
      <c r="D49" s="110">
        <f>'D) Ecrêtage'!E49</f>
        <v>41.461736992312545</v>
      </c>
      <c r="E49" s="34">
        <f t="shared" si="5"/>
        <v>4.5388486780278967</v>
      </c>
      <c r="F49" s="276">
        <f t="shared" si="3"/>
        <v>22654.392298746399</v>
      </c>
      <c r="G49" s="33">
        <f>+'A) Base RI'!U51</f>
        <v>79</v>
      </c>
      <c r="H49" s="277">
        <f t="shared" si="6"/>
        <v>1.1552509654903877</v>
      </c>
      <c r="I49" s="55">
        <f t="shared" si="4"/>
        <v>26171.508575724783</v>
      </c>
    </row>
    <row r="50" spans="1:12" x14ac:dyDescent="0.25">
      <c r="A50" s="49">
        <f>'A) Base RI'!A52</f>
        <v>5482</v>
      </c>
      <c r="B50" s="32" t="str">
        <f>'A) Base RI'!B52</f>
        <v>Eclépens</v>
      </c>
      <c r="C50" s="95">
        <f>'A) Base RI'!V52</f>
        <v>1222</v>
      </c>
      <c r="D50" s="110">
        <f>'D) Ecrêtage'!E50</f>
        <v>49.416864948655657</v>
      </c>
      <c r="E50" s="34">
        <f t="shared" si="5"/>
        <v>0</v>
      </c>
      <c r="F50" s="276">
        <f t="shared" si="3"/>
        <v>0</v>
      </c>
      <c r="G50" s="33">
        <f>+'A) Base RI'!U52</f>
        <v>46</v>
      </c>
      <c r="H50" s="277">
        <f t="shared" si="6"/>
        <v>0.67267777737414991</v>
      </c>
      <c r="I50" s="55">
        <f t="shared" si="4"/>
        <v>0</v>
      </c>
    </row>
    <row r="51" spans="1:12" x14ac:dyDescent="0.25">
      <c r="A51" s="49">
        <f>'A) Base RI'!A53</f>
        <v>5483</v>
      </c>
      <c r="B51" s="32" t="str">
        <f>'A) Base RI'!B53</f>
        <v>Ferreyres</v>
      </c>
      <c r="C51" s="95">
        <f>'A) Base RI'!V53</f>
        <v>320</v>
      </c>
      <c r="D51" s="110">
        <f>'D) Ecrêtage'!E51</f>
        <v>34.861577128826497</v>
      </c>
      <c r="E51" s="34">
        <f t="shared" si="5"/>
        <v>11.139008541513945</v>
      </c>
      <c r="F51" s="276">
        <f t="shared" si="3"/>
        <v>73143.185686997182</v>
      </c>
      <c r="G51" s="33">
        <f>+'A) Base RI'!U53</f>
        <v>76</v>
      </c>
      <c r="H51" s="277">
        <f t="shared" si="6"/>
        <v>1.1113806756616389</v>
      </c>
      <c r="I51" s="55">
        <f t="shared" si="4"/>
        <v>81289.923128859649</v>
      </c>
    </row>
    <row r="52" spans="1:12" x14ac:dyDescent="0.25">
      <c r="A52" s="49">
        <f>'A) Base RI'!A54</f>
        <v>5484</v>
      </c>
      <c r="B52" s="32" t="str">
        <f>'A) Base RI'!B54</f>
        <v>Gollion</v>
      </c>
      <c r="C52" s="95">
        <f>'A) Base RI'!V54</f>
        <v>939</v>
      </c>
      <c r="D52" s="110">
        <f>'D) Ecrêtage'!E52</f>
        <v>35.956189399237118</v>
      </c>
      <c r="E52" s="34">
        <f t="shared" si="5"/>
        <v>10.044396271103324</v>
      </c>
      <c r="F52" s="276">
        <f t="shared" si="3"/>
        <v>188445.12820934912</v>
      </c>
      <c r="G52" s="33">
        <f>+'A) Base RI'!U54</f>
        <v>74</v>
      </c>
      <c r="H52" s="277">
        <f t="shared" si="6"/>
        <v>1.0821338157758063</v>
      </c>
      <c r="I52" s="55">
        <f t="shared" si="4"/>
        <v>203922.84565354398</v>
      </c>
    </row>
    <row r="53" spans="1:12" x14ac:dyDescent="0.25">
      <c r="A53" s="49">
        <f>'A) Base RI'!A55</f>
        <v>5485</v>
      </c>
      <c r="B53" s="32" t="str">
        <f>'A) Base RI'!B55</f>
        <v>Grancy</v>
      </c>
      <c r="C53" s="95">
        <f>'A) Base RI'!V55</f>
        <v>397</v>
      </c>
      <c r="D53" s="110">
        <f>'D) Ecrêtage'!E53</f>
        <v>42.604771713336959</v>
      </c>
      <c r="E53" s="34">
        <f t="shared" si="5"/>
        <v>3.3958139570034831</v>
      </c>
      <c r="F53" s="276">
        <f t="shared" si="3"/>
        <v>25479.810863584236</v>
      </c>
      <c r="G53" s="33">
        <f>+'A) Base RI'!U55</f>
        <v>70</v>
      </c>
      <c r="H53" s="277">
        <f t="shared" si="6"/>
        <v>1.0236400960041412</v>
      </c>
      <c r="I53" s="55">
        <f t="shared" si="4"/>
        <v>26082.156038566729</v>
      </c>
    </row>
    <row r="54" spans="1:12" x14ac:dyDescent="0.25">
      <c r="A54" s="49">
        <f>'A) Base RI'!A56</f>
        <v>5486</v>
      </c>
      <c r="B54" s="32" t="str">
        <f>'A) Base RI'!B56</f>
        <v>L'Isle</v>
      </c>
      <c r="C54" s="95">
        <f>'A) Base RI'!V56</f>
        <v>1011</v>
      </c>
      <c r="D54" s="110">
        <f>'D) Ecrêtage'!E54</f>
        <v>35.370459750266299</v>
      </c>
      <c r="E54" s="34">
        <f t="shared" si="5"/>
        <v>10.630125920074143</v>
      </c>
      <c r="F54" s="276">
        <f t="shared" si="3"/>
        <v>220529.61590260055</v>
      </c>
      <c r="G54" s="33">
        <f>+'A) Base RI'!U56</f>
        <v>76</v>
      </c>
      <c r="H54" s="277">
        <f t="shared" si="6"/>
        <v>1.1113806756616389</v>
      </c>
      <c r="I54" s="55">
        <f t="shared" si="4"/>
        <v>245092.35352523389</v>
      </c>
    </row>
    <row r="55" spans="1:12" x14ac:dyDescent="0.25">
      <c r="A55" s="49">
        <f>'A) Base RI'!A57</f>
        <v>5487</v>
      </c>
      <c r="B55" s="32" t="str">
        <f>'A) Base RI'!B57</f>
        <v>Lussery-Villars</v>
      </c>
      <c r="C55" s="95">
        <f>'A) Base RI'!V57</f>
        <v>459</v>
      </c>
      <c r="D55" s="110">
        <f>'D) Ecrêtage'!E55</f>
        <v>33.757840572866407</v>
      </c>
      <c r="E55" s="34">
        <f t="shared" si="5"/>
        <v>12.242745097474035</v>
      </c>
      <c r="F55" s="276">
        <f t="shared" si="3"/>
        <v>113793.25499474681</v>
      </c>
      <c r="G55" s="33">
        <f>+'A) Base RI'!U57</f>
        <v>75</v>
      </c>
      <c r="H55" s="277">
        <f t="shared" si="6"/>
        <v>1.0967572457187227</v>
      </c>
      <c r="I55" s="55">
        <f t="shared" si="4"/>
        <v>124803.57692940679</v>
      </c>
    </row>
    <row r="56" spans="1:12" x14ac:dyDescent="0.25">
      <c r="A56" s="49">
        <f>'A) Base RI'!A58</f>
        <v>5488</v>
      </c>
      <c r="B56" s="32" t="str">
        <f>'A) Base RI'!B58</f>
        <v>Mauraz</v>
      </c>
      <c r="C56" s="95">
        <f>'A) Base RI'!V58</f>
        <v>57</v>
      </c>
      <c r="D56" s="110">
        <f>'D) Ecrêtage'!E56</f>
        <v>30.712483130904186</v>
      </c>
      <c r="E56" s="34">
        <f t="shared" si="5"/>
        <v>15.288102539436256</v>
      </c>
      <c r="F56" s="276">
        <f t="shared" si="3"/>
        <v>18352.14405039007</v>
      </c>
      <c r="G56" s="33">
        <f>+'A) Base RI'!U58</f>
        <v>78</v>
      </c>
      <c r="H56" s="277">
        <f t="shared" si="6"/>
        <v>1.1406275355474715</v>
      </c>
      <c r="I56" s="55">
        <f t="shared" si="4"/>
        <v>20932.96084020862</v>
      </c>
    </row>
    <row r="57" spans="1:12" x14ac:dyDescent="0.25">
      <c r="A57" s="49">
        <f>'A) Base RI'!A59</f>
        <v>5489</v>
      </c>
      <c r="B57" s="32" t="str">
        <f>'A) Base RI'!B59</f>
        <v>Mex</v>
      </c>
      <c r="C57" s="95">
        <f>'A) Base RI'!V59</f>
        <v>718</v>
      </c>
      <c r="D57" s="110">
        <f>'D) Ecrêtage'!E57</f>
        <v>88.403777252838054</v>
      </c>
      <c r="E57" s="34">
        <f t="shared" si="5"/>
        <v>0</v>
      </c>
      <c r="F57" s="276">
        <f t="shared" si="3"/>
        <v>0</v>
      </c>
      <c r="G57" s="33">
        <f>+'A) Base RI'!U59</f>
        <v>61</v>
      </c>
      <c r="H57" s="277">
        <f t="shared" si="6"/>
        <v>0.8920292265178944</v>
      </c>
      <c r="I57" s="55">
        <f t="shared" si="4"/>
        <v>0</v>
      </c>
    </row>
    <row r="58" spans="1:12" x14ac:dyDescent="0.25">
      <c r="A58" s="49">
        <f>'A) Base RI'!A60</f>
        <v>5490</v>
      </c>
      <c r="B58" s="32" t="str">
        <f>'A) Base RI'!B60</f>
        <v>Moiry</v>
      </c>
      <c r="C58" s="95">
        <f>'A) Base RI'!V60</f>
        <v>310</v>
      </c>
      <c r="D58" s="110">
        <f>'D) Ecrêtage'!E58</f>
        <v>26.897793207848085</v>
      </c>
      <c r="E58" s="34">
        <f t="shared" si="5"/>
        <v>19.102792462492356</v>
      </c>
      <c r="F58" s="276">
        <f t="shared" si="3"/>
        <v>125513.94273518291</v>
      </c>
      <c r="G58" s="33">
        <f>+'A) Base RI'!U60</f>
        <v>78.5</v>
      </c>
      <c r="H58" s="277">
        <f t="shared" si="6"/>
        <v>1.1479392505189296</v>
      </c>
      <c r="I58" s="55">
        <f t="shared" si="4"/>
        <v>144082.38135310172</v>
      </c>
    </row>
    <row r="59" spans="1:12" x14ac:dyDescent="0.25">
      <c r="A59" s="49">
        <f>'A) Base RI'!A61</f>
        <v>5491</v>
      </c>
      <c r="B59" s="32" t="str">
        <f>'A) Base RI'!B61</f>
        <v>Mont-la-Ville</v>
      </c>
      <c r="C59" s="95">
        <f>'A) Base RI'!V61</f>
        <v>478</v>
      </c>
      <c r="D59" s="110">
        <f>'D) Ecrêtage'!E59</f>
        <v>29.585113245679452</v>
      </c>
      <c r="E59" s="34">
        <f t="shared" si="5"/>
        <v>16.41547242466099</v>
      </c>
      <c r="F59" s="276">
        <f t="shared" si="3"/>
        <v>161012.1462056328</v>
      </c>
      <c r="G59" s="33">
        <f>+'A) Base RI'!U61</f>
        <v>76</v>
      </c>
      <c r="H59" s="277">
        <f t="shared" si="6"/>
        <v>1.1113806756616389</v>
      </c>
      <c r="I59" s="55">
        <f t="shared" si="4"/>
        <v>178945.78783974677</v>
      </c>
    </row>
    <row r="60" spans="1:12" x14ac:dyDescent="0.25">
      <c r="A60" s="49">
        <f>'A) Base RI'!A62</f>
        <v>5492</v>
      </c>
      <c r="B60" s="32" t="str">
        <f>'A) Base RI'!B62</f>
        <v>Montricher</v>
      </c>
      <c r="C60" s="95">
        <f>'A) Base RI'!V62</f>
        <v>964</v>
      </c>
      <c r="D60" s="110">
        <f>'D) Ecrêtage'!E60</f>
        <v>196.81576963390387</v>
      </c>
      <c r="E60" s="34">
        <f t="shared" si="5"/>
        <v>0</v>
      </c>
      <c r="F60" s="276">
        <f t="shared" si="3"/>
        <v>0</v>
      </c>
      <c r="G60" s="33">
        <f>+'A) Base RI'!U62</f>
        <v>64</v>
      </c>
      <c r="H60" s="277">
        <f t="shared" si="6"/>
        <v>0.93589951634664326</v>
      </c>
      <c r="I60" s="55">
        <f t="shared" si="4"/>
        <v>0</v>
      </c>
    </row>
    <row r="61" spans="1:12" x14ac:dyDescent="0.25">
      <c r="A61" s="49">
        <f>'A) Base RI'!A63</f>
        <v>5493</v>
      </c>
      <c r="B61" s="32" t="str">
        <f>'A) Base RI'!B63</f>
        <v>Orny</v>
      </c>
      <c r="C61" s="95">
        <f>'A) Base RI'!V63</f>
        <v>416</v>
      </c>
      <c r="D61" s="110">
        <f>'D) Ecrêtage'!E61</f>
        <v>25.65145965362456</v>
      </c>
      <c r="E61" s="34">
        <f t="shared" si="5"/>
        <v>20.349126016715882</v>
      </c>
      <c r="F61" s="276">
        <f t="shared" si="3"/>
        <v>166849.80989641955</v>
      </c>
      <c r="G61" s="33">
        <f>+'A) Base RI'!U63</f>
        <v>73</v>
      </c>
      <c r="H61" s="277">
        <f t="shared" si="6"/>
        <v>1.06751038583289</v>
      </c>
      <c r="I61" s="55">
        <f t="shared" si="4"/>
        <v>178113.90493867118</v>
      </c>
    </row>
    <row r="62" spans="1:12" x14ac:dyDescent="0.25">
      <c r="A62" s="49">
        <f>'A) Base RI'!A64</f>
        <v>5494</v>
      </c>
      <c r="B62" s="32" t="str">
        <f>'A) Base RI'!B64</f>
        <v>Pampigny</v>
      </c>
      <c r="C62" s="95">
        <f>'A) Base RI'!V64</f>
        <v>1103</v>
      </c>
      <c r="D62" s="110">
        <f>'D) Ecrêtage'!E62</f>
        <v>33.515617262132906</v>
      </c>
      <c r="E62" s="34">
        <f t="shared" si="5"/>
        <v>12.484968408207536</v>
      </c>
      <c r="F62" s="276">
        <f t="shared" si="3"/>
        <v>278861.13312362152</v>
      </c>
      <c r="G62" s="33">
        <f>+'A) Base RI'!U64</f>
        <v>75</v>
      </c>
      <c r="H62" s="277">
        <f t="shared" si="6"/>
        <v>1.0967572457187227</v>
      </c>
      <c r="I62" s="55">
        <f t="shared" si="4"/>
        <v>305842.96830266522</v>
      </c>
    </row>
    <row r="63" spans="1:12" x14ac:dyDescent="0.25">
      <c r="A63" s="49">
        <f>'A) Base RI'!A65</f>
        <v>5495</v>
      </c>
      <c r="B63" s="32" t="str">
        <f>'A) Base RI'!B65</f>
        <v>Penthalaz</v>
      </c>
      <c r="C63" s="95">
        <f>'A) Base RI'!V65</f>
        <v>3257</v>
      </c>
      <c r="D63" s="110">
        <f>'D) Ecrêtage'!E63</f>
        <v>29.194662514439333</v>
      </c>
      <c r="E63" s="34">
        <f t="shared" si="5"/>
        <v>16.805923155901109</v>
      </c>
      <c r="F63" s="276">
        <f t="shared" si="3"/>
        <v>1093643.0965410229</v>
      </c>
      <c r="G63" s="33">
        <f>+'A) Base RI'!U65</f>
        <v>74</v>
      </c>
      <c r="H63" s="277">
        <f t="shared" si="6"/>
        <v>1.0821338157758063</v>
      </c>
      <c r="I63" s="55">
        <f t="shared" si="4"/>
        <v>1183468.1771568055</v>
      </c>
      <c r="L63" s="28"/>
    </row>
    <row r="64" spans="1:12" x14ac:dyDescent="0.25">
      <c r="A64" s="49">
        <f>'A) Base RI'!A66</f>
        <v>5496</v>
      </c>
      <c r="B64" s="32" t="str">
        <f>'A) Base RI'!B66</f>
        <v>Penthaz</v>
      </c>
      <c r="C64" s="95">
        <f>'A) Base RI'!V66</f>
        <v>1760</v>
      </c>
      <c r="D64" s="110">
        <f>'D) Ecrêtage'!E64</f>
        <v>33.71446418548674</v>
      </c>
      <c r="E64" s="34">
        <f t="shared" si="5"/>
        <v>12.286121484853702</v>
      </c>
      <c r="F64" s="276">
        <f t="shared" si="3"/>
        <v>414523.91000177606</v>
      </c>
      <c r="G64" s="33">
        <f>+'A) Base RI'!U66</f>
        <v>71</v>
      </c>
      <c r="H64" s="277">
        <f t="shared" si="6"/>
        <v>1.0382635259470574</v>
      </c>
      <c r="I64" s="55">
        <f t="shared" si="4"/>
        <v>430385.05638780468</v>
      </c>
    </row>
    <row r="65" spans="1:9" x14ac:dyDescent="0.25">
      <c r="A65" s="49">
        <f>'A) Base RI'!A67</f>
        <v>5497</v>
      </c>
      <c r="B65" s="32" t="str">
        <f>'A) Base RI'!B67</f>
        <v>Pompaples</v>
      </c>
      <c r="C65" s="95">
        <f>'A) Base RI'!V67</f>
        <v>851</v>
      </c>
      <c r="D65" s="110">
        <f>'D) Ecrêtage'!E65</f>
        <v>26.642296463316171</v>
      </c>
      <c r="E65" s="34">
        <f t="shared" si="5"/>
        <v>19.358289207024271</v>
      </c>
      <c r="F65" s="276">
        <f t="shared" si="3"/>
        <v>293564.97133246582</v>
      </c>
      <c r="G65" s="33">
        <f>+'A) Base RI'!U67</f>
        <v>66</v>
      </c>
      <c r="H65" s="277">
        <f t="shared" si="6"/>
        <v>0.9651463762324759</v>
      </c>
      <c r="I65" s="55">
        <f t="shared" si="4"/>
        <v>283333.16827032005</v>
      </c>
    </row>
    <row r="66" spans="1:9" x14ac:dyDescent="0.25">
      <c r="A66" s="49">
        <f>'A) Base RI'!A68</f>
        <v>5498</v>
      </c>
      <c r="B66" s="32" t="str">
        <f>'A) Base RI'!B68</f>
        <v>La Sarraz</v>
      </c>
      <c r="C66" s="95">
        <f>'A) Base RI'!V68</f>
        <v>2651</v>
      </c>
      <c r="D66" s="110">
        <f>'D) Ecrêtage'!E66</f>
        <v>29.201747964061028</v>
      </c>
      <c r="E66" s="34">
        <f t="shared" si="5"/>
        <v>16.798837706279414</v>
      </c>
      <c r="F66" s="276">
        <f t="shared" si="3"/>
        <v>793590.8682915587</v>
      </c>
      <c r="G66" s="33">
        <f>+'A) Base RI'!U68</f>
        <v>66</v>
      </c>
      <c r="H66" s="277">
        <f t="shared" si="6"/>
        <v>0.9651463762324759</v>
      </c>
      <c r="I66" s="55">
        <f t="shared" si="4"/>
        <v>765931.35074278188</v>
      </c>
    </row>
    <row r="67" spans="1:9" x14ac:dyDescent="0.25">
      <c r="A67" s="49">
        <f>'A) Base RI'!A69</f>
        <v>5499</v>
      </c>
      <c r="B67" s="32" t="str">
        <f>'A) Base RI'!B69</f>
        <v>Senarclens</v>
      </c>
      <c r="C67" s="95">
        <f>'A) Base RI'!V69</f>
        <v>477</v>
      </c>
      <c r="D67" s="110">
        <f>'D) Ecrêtage'!E67</f>
        <v>40.904590139147672</v>
      </c>
      <c r="E67" s="34">
        <f t="shared" si="5"/>
        <v>5.09599553119277</v>
      </c>
      <c r="F67" s="276">
        <f t="shared" si="3"/>
        <v>44957.458615668707</v>
      </c>
      <c r="G67" s="33">
        <f>+'A) Base RI'!U69</f>
        <v>68.5</v>
      </c>
      <c r="H67" s="277">
        <f t="shared" si="6"/>
        <v>1.0017049510897666</v>
      </c>
      <c r="I67" s="55">
        <f t="shared" si="4"/>
        <v>45034.10888372863</v>
      </c>
    </row>
    <row r="68" spans="1:9" x14ac:dyDescent="0.25">
      <c r="A68" s="49">
        <f>'A) Base RI'!A70</f>
        <v>5500</v>
      </c>
      <c r="B68" s="32" t="str">
        <f>'A) Base RI'!B70</f>
        <v>Sévery</v>
      </c>
      <c r="C68" s="95">
        <f>'A) Base RI'!V70</f>
        <v>227</v>
      </c>
      <c r="D68" s="110">
        <f>'D) Ecrêtage'!E68</f>
        <v>30.790338717572201</v>
      </c>
      <c r="E68" s="34">
        <f t="shared" si="5"/>
        <v>15.210246952768241</v>
      </c>
      <c r="F68" s="276">
        <f t="shared" si="3"/>
        <v>69917.702680137416</v>
      </c>
      <c r="G68" s="33">
        <f>+'A) Base RI'!U70</f>
        <v>75</v>
      </c>
      <c r="H68" s="277">
        <f t="shared" si="6"/>
        <v>1.0967572457187227</v>
      </c>
      <c r="I68" s="55">
        <f t="shared" si="4"/>
        <v>76682.747018448063</v>
      </c>
    </row>
    <row r="69" spans="1:9" x14ac:dyDescent="0.25">
      <c r="A69" s="49">
        <f>'A) Base RI'!A71</f>
        <v>5501</v>
      </c>
      <c r="B69" s="32" t="str">
        <f>'A) Base RI'!B71</f>
        <v>Sullens</v>
      </c>
      <c r="C69" s="95">
        <f>'A) Base RI'!V71</f>
        <v>1035</v>
      </c>
      <c r="D69" s="110">
        <f>'D) Ecrêtage'!E69</f>
        <v>39.053248684926842</v>
      </c>
      <c r="E69" s="34">
        <f t="shared" ref="E69:E132" si="7">IF($D$313-D69&lt;0,0,$D$313-D69)</f>
        <v>6.9473369854135996</v>
      </c>
      <c r="F69" s="276">
        <f t="shared" ref="F69:F132" si="8">(C69*E69*G69)*$E$4</f>
        <v>135900.33244016813</v>
      </c>
      <c r="G69" s="33">
        <f>+'A) Base RI'!U71</f>
        <v>70</v>
      </c>
      <c r="H69" s="277">
        <f t="shared" ref="H69:H132" si="9">G69/$G$313</f>
        <v>1.0236400960041412</v>
      </c>
      <c r="I69" s="55">
        <f t="shared" ref="I69:I132" si="10">F69*H69</f>
        <v>139113.0293460484</v>
      </c>
    </row>
    <row r="70" spans="1:9" x14ac:dyDescent="0.25">
      <c r="A70" s="49">
        <f>'A) Base RI'!A72</f>
        <v>5503</v>
      </c>
      <c r="B70" s="32" t="str">
        <f>'A) Base RI'!B72</f>
        <v>Vufflens-la-Ville</v>
      </c>
      <c r="C70" s="95">
        <f>'A) Base RI'!V72</f>
        <v>1295</v>
      </c>
      <c r="D70" s="110">
        <f>'D) Ecrêtage'!E70</f>
        <v>69.156059042988119</v>
      </c>
      <c r="E70" s="34">
        <f t="shared" si="7"/>
        <v>0</v>
      </c>
      <c r="F70" s="276">
        <f t="shared" si="8"/>
        <v>0</v>
      </c>
      <c r="G70" s="33">
        <f>+'A) Base RI'!U72</f>
        <v>67</v>
      </c>
      <c r="H70" s="277">
        <f t="shared" si="9"/>
        <v>0.97976980617539222</v>
      </c>
      <c r="I70" s="55">
        <f t="shared" si="10"/>
        <v>0</v>
      </c>
    </row>
    <row r="71" spans="1:9" x14ac:dyDescent="0.25">
      <c r="A71" s="49">
        <f>'A) Base RI'!A73</f>
        <v>5511</v>
      </c>
      <c r="B71" s="32" t="str">
        <f>'A) Base RI'!B73</f>
        <v>Assens</v>
      </c>
      <c r="C71" s="95">
        <f>'A) Base RI'!V73</f>
        <v>1074</v>
      </c>
      <c r="D71" s="110">
        <f>'D) Ecrêtage'!E71</f>
        <v>46.607966209858546</v>
      </c>
      <c r="E71" s="34">
        <f t="shared" si="7"/>
        <v>0</v>
      </c>
      <c r="F71" s="276">
        <f t="shared" si="8"/>
        <v>0</v>
      </c>
      <c r="G71" s="33">
        <f>+'A) Base RI'!U73</f>
        <v>70</v>
      </c>
      <c r="H71" s="277">
        <f t="shared" si="9"/>
        <v>1.0236400960041412</v>
      </c>
      <c r="I71" s="55">
        <f t="shared" si="10"/>
        <v>0</v>
      </c>
    </row>
    <row r="72" spans="1:9" x14ac:dyDescent="0.25">
      <c r="A72" s="49">
        <f>'A) Base RI'!A74</f>
        <v>5512</v>
      </c>
      <c r="B72" s="32" t="str">
        <f>'A) Base RI'!B74</f>
        <v>Bercher</v>
      </c>
      <c r="C72" s="95">
        <f>'A) Base RI'!V74</f>
        <v>1280</v>
      </c>
      <c r="D72" s="110">
        <f>'D) Ecrêtage'!E72</f>
        <v>31.261073200486834</v>
      </c>
      <c r="E72" s="34">
        <f t="shared" si="7"/>
        <v>14.739512469853608</v>
      </c>
      <c r="F72" s="276">
        <f t="shared" si="8"/>
        <v>402424.06525693118</v>
      </c>
      <c r="G72" s="33">
        <f>+'A) Base RI'!U74</f>
        <v>79</v>
      </c>
      <c r="H72" s="277">
        <f t="shared" si="9"/>
        <v>1.1552509654903877</v>
      </c>
      <c r="I72" s="55">
        <f t="shared" si="10"/>
        <v>464900.78992463654</v>
      </c>
    </row>
    <row r="73" spans="1:9" x14ac:dyDescent="0.25">
      <c r="A73" s="49">
        <f>'A) Base RI'!A75</f>
        <v>5513</v>
      </c>
      <c r="B73" s="32" t="str">
        <f>'A) Base RI'!B75</f>
        <v>Bioley-Orjulaz</v>
      </c>
      <c r="C73" s="95">
        <f>'A) Base RI'!V75</f>
        <v>521</v>
      </c>
      <c r="D73" s="110">
        <f>'D) Ecrêtage'!E73</f>
        <v>40.468629862471076</v>
      </c>
      <c r="E73" s="34">
        <f t="shared" si="7"/>
        <v>5.531955807869366</v>
      </c>
      <c r="F73" s="276">
        <f t="shared" si="8"/>
        <v>52916.255197522893</v>
      </c>
      <c r="G73" s="33">
        <f>+'A) Base RI'!U75</f>
        <v>68</v>
      </c>
      <c r="H73" s="277">
        <f t="shared" si="9"/>
        <v>0.99439323611830854</v>
      </c>
      <c r="I73" s="55">
        <f t="shared" si="10"/>
        <v>52619.566249127056</v>
      </c>
    </row>
    <row r="74" spans="1:9" x14ac:dyDescent="0.25">
      <c r="A74" s="49">
        <f>'A) Base RI'!A76</f>
        <v>5514</v>
      </c>
      <c r="B74" s="32" t="str">
        <f>'A) Base RI'!B76</f>
        <v>Bottens</v>
      </c>
      <c r="C74" s="95">
        <f>'A) Base RI'!V76</f>
        <v>1299</v>
      </c>
      <c r="D74" s="110">
        <f>'D) Ecrêtage'!E74</f>
        <v>31.415300867808408</v>
      </c>
      <c r="E74" s="34">
        <f t="shared" si="7"/>
        <v>14.585284802532033</v>
      </c>
      <c r="F74" s="276">
        <f t="shared" si="8"/>
        <v>378546.77347061253</v>
      </c>
      <c r="G74" s="33">
        <f>+'A) Base RI'!U76</f>
        <v>74</v>
      </c>
      <c r="H74" s="277">
        <f t="shared" si="9"/>
        <v>1.0821338157758063</v>
      </c>
      <c r="I74" s="55">
        <f t="shared" si="10"/>
        <v>409638.26442537369</v>
      </c>
    </row>
    <row r="75" spans="1:9" x14ac:dyDescent="0.25">
      <c r="A75" s="49">
        <f>'A) Base RI'!A77</f>
        <v>5515</v>
      </c>
      <c r="B75" s="32" t="str">
        <f>'A) Base RI'!B77</f>
        <v>Bretigny-sur-Morrens</v>
      </c>
      <c r="C75" s="95">
        <f>'A) Base RI'!V77</f>
        <v>861</v>
      </c>
      <c r="D75" s="110">
        <f>'D) Ecrêtage'!E75</f>
        <v>33.469599872483471</v>
      </c>
      <c r="E75" s="34">
        <f t="shared" si="7"/>
        <v>12.530985797856971</v>
      </c>
      <c r="F75" s="276">
        <f t="shared" si="8"/>
        <v>235959.33974265264</v>
      </c>
      <c r="G75" s="33">
        <f>+'A) Base RI'!U77</f>
        <v>81</v>
      </c>
      <c r="H75" s="277">
        <f t="shared" si="9"/>
        <v>1.1844978253762204</v>
      </c>
      <c r="I75" s="55">
        <f t="shared" si="10"/>
        <v>279493.32480238081</v>
      </c>
    </row>
    <row r="76" spans="1:9" x14ac:dyDescent="0.25">
      <c r="A76" s="49">
        <f>'A) Base RI'!A78</f>
        <v>5516</v>
      </c>
      <c r="B76" s="32" t="str">
        <f>'A) Base RI'!B78</f>
        <v>Cugy</v>
      </c>
      <c r="C76" s="95">
        <f>'A) Base RI'!V78</f>
        <v>2768</v>
      </c>
      <c r="D76" s="110">
        <f>'D) Ecrêtage'!E76</f>
        <v>40.070389958041055</v>
      </c>
      <c r="E76" s="34">
        <f t="shared" si="7"/>
        <v>5.9301957122993869</v>
      </c>
      <c r="F76" s="276">
        <f t="shared" si="8"/>
        <v>345695.30326843751</v>
      </c>
      <c r="G76" s="33">
        <f>+'A) Base RI'!U78</f>
        <v>78</v>
      </c>
      <c r="H76" s="277">
        <f t="shared" si="9"/>
        <v>1.1406275355474715</v>
      </c>
      <c r="I76" s="55">
        <f t="shared" si="10"/>
        <v>394309.58181741368</v>
      </c>
    </row>
    <row r="77" spans="1:9" x14ac:dyDescent="0.25">
      <c r="A77" s="49">
        <f>'A) Base RI'!A79</f>
        <v>5518</v>
      </c>
      <c r="B77" s="32" t="str">
        <f>'A) Base RI'!B79</f>
        <v>Echallens</v>
      </c>
      <c r="C77" s="95">
        <f>'A) Base RI'!V79</f>
        <v>5725</v>
      </c>
      <c r="D77" s="110">
        <f>'D) Ecrêtage'!E77</f>
        <v>32.443822568347414</v>
      </c>
      <c r="E77" s="34">
        <f t="shared" si="7"/>
        <v>13.556763101993027</v>
      </c>
      <c r="F77" s="276">
        <f t="shared" si="8"/>
        <v>1550697.1258030233</v>
      </c>
      <c r="G77" s="33">
        <f>+'A) Base RI'!U79</f>
        <v>74</v>
      </c>
      <c r="H77" s="277">
        <f t="shared" si="9"/>
        <v>1.0821338157758063</v>
      </c>
      <c r="I77" s="55">
        <f t="shared" si="10"/>
        <v>1678061.7978578012</v>
      </c>
    </row>
    <row r="78" spans="1:9" x14ac:dyDescent="0.25">
      <c r="A78" s="49">
        <f>'A) Base RI'!A80</f>
        <v>5520</v>
      </c>
      <c r="B78" s="32" t="str">
        <f>'A) Base RI'!B80</f>
        <v>Essertines-sur-Yverdon</v>
      </c>
      <c r="C78" s="95">
        <f>'A) Base RI'!V80</f>
        <v>1030</v>
      </c>
      <c r="D78" s="110">
        <f>'D) Ecrêtage'!E78</f>
        <v>28.963741029086616</v>
      </c>
      <c r="E78" s="34">
        <f t="shared" si="7"/>
        <v>17.036844641253825</v>
      </c>
      <c r="F78" s="276">
        <f t="shared" si="8"/>
        <v>345870.09411548631</v>
      </c>
      <c r="G78" s="33">
        <f>+'A) Base RI'!U80</f>
        <v>73</v>
      </c>
      <c r="H78" s="277">
        <f t="shared" si="9"/>
        <v>1.06751038583289</v>
      </c>
      <c r="I78" s="55">
        <f t="shared" si="10"/>
        <v>369219.91761728079</v>
      </c>
    </row>
    <row r="79" spans="1:9" x14ac:dyDescent="0.25">
      <c r="A79" s="49">
        <f>'A) Base RI'!A81</f>
        <v>5521</v>
      </c>
      <c r="B79" s="32" t="str">
        <f>'A) Base RI'!B81</f>
        <v>Etagnières</v>
      </c>
      <c r="C79" s="95">
        <f>'A) Base RI'!V81</f>
        <v>1143</v>
      </c>
      <c r="D79" s="110">
        <f>'D) Ecrêtage'!E79</f>
        <v>42.075637148991277</v>
      </c>
      <c r="E79" s="34">
        <f t="shared" si="7"/>
        <v>3.9249485213491653</v>
      </c>
      <c r="F79" s="276">
        <f t="shared" si="8"/>
        <v>88423.320511670303</v>
      </c>
      <c r="G79" s="33">
        <f>+'A) Base RI'!U81</f>
        <v>73</v>
      </c>
      <c r="H79" s="277">
        <f t="shared" si="9"/>
        <v>1.06751038583289</v>
      </c>
      <c r="I79" s="55">
        <f t="shared" si="10"/>
        <v>94392.812996038469</v>
      </c>
    </row>
    <row r="80" spans="1:9" x14ac:dyDescent="0.25">
      <c r="A80" s="49">
        <f>'A) Base RI'!A82</f>
        <v>5522</v>
      </c>
      <c r="B80" s="32" t="str">
        <f>'A) Base RI'!B82</f>
        <v>Fey</v>
      </c>
      <c r="C80" s="95">
        <f>'A) Base RI'!V82</f>
        <v>751</v>
      </c>
      <c r="D80" s="110">
        <f>'D) Ecrêtage'!E80</f>
        <v>30.179910874389702</v>
      </c>
      <c r="E80" s="34">
        <f t="shared" si="7"/>
        <v>15.82067479595074</v>
      </c>
      <c r="F80" s="276">
        <f t="shared" si="8"/>
        <v>240596.86712811989</v>
      </c>
      <c r="G80" s="33">
        <f>+'A) Base RI'!U82</f>
        <v>75</v>
      </c>
      <c r="H80" s="277">
        <f t="shared" si="9"/>
        <v>1.0967572457187227</v>
      </c>
      <c r="I80" s="55">
        <f t="shared" si="10"/>
        <v>263876.35731999023</v>
      </c>
    </row>
    <row r="81" spans="1:9" x14ac:dyDescent="0.25">
      <c r="A81" s="49">
        <f>'A) Base RI'!A83</f>
        <v>5523</v>
      </c>
      <c r="B81" s="32" t="str">
        <f>'A) Base RI'!B83</f>
        <v>Froideville</v>
      </c>
      <c r="C81" s="95">
        <f>'A) Base RI'!V83</f>
        <v>2638</v>
      </c>
      <c r="D81" s="110">
        <f>'D) Ecrêtage'!E81</f>
        <v>33.788895620411921</v>
      </c>
      <c r="E81" s="34">
        <f t="shared" si="7"/>
        <v>12.211690049928521</v>
      </c>
      <c r="F81" s="276">
        <f t="shared" si="8"/>
        <v>661040.27497711871</v>
      </c>
      <c r="G81" s="33">
        <f>+'A) Base RI'!U83</f>
        <v>76</v>
      </c>
      <c r="H81" s="277">
        <f t="shared" si="9"/>
        <v>1.1113806756616389</v>
      </c>
      <c r="I81" s="55">
        <f t="shared" si="10"/>
        <v>734667.38744362572</v>
      </c>
    </row>
    <row r="82" spans="1:9" x14ac:dyDescent="0.25">
      <c r="A82" s="49">
        <f>'A) Base RI'!A84</f>
        <v>5527</v>
      </c>
      <c r="B82" s="32" t="str">
        <f>'A) Base RI'!B84</f>
        <v>Morrens</v>
      </c>
      <c r="C82" s="95">
        <f>'A) Base RI'!V84</f>
        <v>1126</v>
      </c>
      <c r="D82" s="110">
        <f>'D) Ecrêtage'!E82</f>
        <v>35.666021302692137</v>
      </c>
      <c r="E82" s="34">
        <f t="shared" si="7"/>
        <v>10.334564367648305</v>
      </c>
      <c r="F82" s="276">
        <f t="shared" si="8"/>
        <v>232501.65516988043</v>
      </c>
      <c r="G82" s="33">
        <f>+'A) Base RI'!U84</f>
        <v>74</v>
      </c>
      <c r="H82" s="277">
        <f t="shared" si="9"/>
        <v>1.0821338157758063</v>
      </c>
      <c r="I82" s="55">
        <f t="shared" si="10"/>
        <v>251597.90328317342</v>
      </c>
    </row>
    <row r="83" spans="1:9" x14ac:dyDescent="0.25">
      <c r="A83" s="49">
        <f>'A) Base RI'!A85</f>
        <v>5529</v>
      </c>
      <c r="B83" s="32" t="str">
        <f>'A) Base RI'!B85</f>
        <v>Oulens-sous-Echallens</v>
      </c>
      <c r="C83" s="95">
        <f>'A) Base RI'!V85</f>
        <v>615</v>
      </c>
      <c r="D83" s="110">
        <f>'D) Ecrêtage'!E83</f>
        <v>35.119967133647208</v>
      </c>
      <c r="E83" s="34">
        <f t="shared" si="7"/>
        <v>10.880618536693234</v>
      </c>
      <c r="F83" s="276">
        <f t="shared" si="8"/>
        <v>128277.59626927174</v>
      </c>
      <c r="G83" s="33">
        <f>+'A) Base RI'!U85</f>
        <v>71</v>
      </c>
      <c r="H83" s="277">
        <f t="shared" si="9"/>
        <v>1.0382635259470574</v>
      </c>
      <c r="I83" s="55">
        <f t="shared" si="10"/>
        <v>133185.94940254718</v>
      </c>
    </row>
    <row r="84" spans="1:9" x14ac:dyDescent="0.25">
      <c r="A84" s="49">
        <f>'A) Base RI'!A86</f>
        <v>5530</v>
      </c>
      <c r="B84" s="32" t="str">
        <f>'A) Base RI'!B86</f>
        <v>Pailly</v>
      </c>
      <c r="C84" s="95">
        <f>'A) Base RI'!V86</f>
        <v>563</v>
      </c>
      <c r="D84" s="110">
        <f>'D) Ecrêtage'!E84</f>
        <v>31.272202278389003</v>
      </c>
      <c r="E84" s="34">
        <f t="shared" si="7"/>
        <v>14.728383391951439</v>
      </c>
      <c r="F84" s="276">
        <f t="shared" si="8"/>
        <v>173511.77085431671</v>
      </c>
      <c r="G84" s="33">
        <f>+'A) Base RI'!U86</f>
        <v>77.5</v>
      </c>
      <c r="H84" s="277">
        <f t="shared" si="9"/>
        <v>1.1333158205760134</v>
      </c>
      <c r="I84" s="55">
        <f t="shared" si="10"/>
        <v>196643.63496535717</v>
      </c>
    </row>
    <row r="85" spans="1:9" x14ac:dyDescent="0.25">
      <c r="A85" s="49">
        <f>'A) Base RI'!A87</f>
        <v>5531</v>
      </c>
      <c r="B85" s="32" t="str">
        <f>'A) Base RI'!B87</f>
        <v>Penthéréaz</v>
      </c>
      <c r="C85" s="95">
        <f>'A) Base RI'!V87</f>
        <v>421</v>
      </c>
      <c r="D85" s="110">
        <f>'D) Ecrêtage'!E85</f>
        <v>34.789465033436805</v>
      </c>
      <c r="E85" s="34">
        <f t="shared" si="7"/>
        <v>11.211120636903637</v>
      </c>
      <c r="F85" s="276">
        <f t="shared" si="8"/>
        <v>99400.710458153233</v>
      </c>
      <c r="G85" s="33">
        <f>+'A) Base RI'!U87</f>
        <v>78</v>
      </c>
      <c r="H85" s="277">
        <f t="shared" si="9"/>
        <v>1.1406275355474715</v>
      </c>
      <c r="I85" s="55">
        <f t="shared" si="10"/>
        <v>113379.1874015511</v>
      </c>
    </row>
    <row r="86" spans="1:9" x14ac:dyDescent="0.25">
      <c r="A86" s="49">
        <f>'A) Base RI'!A88</f>
        <v>5533</v>
      </c>
      <c r="B86" s="32" t="str">
        <f>'A) Base RI'!B88</f>
        <v>Poliez-Pittet</v>
      </c>
      <c r="C86" s="95">
        <f>'A) Base RI'!V88</f>
        <v>829</v>
      </c>
      <c r="D86" s="110">
        <f>'D) Ecrêtage'!E86</f>
        <v>27.164908207611084</v>
      </c>
      <c r="E86" s="34">
        <f t="shared" si="7"/>
        <v>18.835677462729358</v>
      </c>
      <c r="F86" s="276">
        <f t="shared" si="8"/>
        <v>307767.24711323803</v>
      </c>
      <c r="G86" s="33">
        <f>+'A) Base RI'!U88</f>
        <v>73</v>
      </c>
      <c r="H86" s="277">
        <f t="shared" si="9"/>
        <v>1.06751038583289</v>
      </c>
      <c r="I86" s="55">
        <f t="shared" si="10"/>
        <v>328544.73271257913</v>
      </c>
    </row>
    <row r="87" spans="1:9" x14ac:dyDescent="0.25">
      <c r="A87" s="49">
        <f>'A) Base RI'!A89</f>
        <v>5534</v>
      </c>
      <c r="B87" s="32" t="str">
        <f>'A) Base RI'!B89</f>
        <v>Rueyres</v>
      </c>
      <c r="C87" s="95">
        <f>'A) Base RI'!V89</f>
        <v>265</v>
      </c>
      <c r="D87" s="110">
        <f>'D) Ecrêtage'!E87</f>
        <v>39.080702516167655</v>
      </c>
      <c r="E87" s="34">
        <f t="shared" si="7"/>
        <v>6.919883154172787</v>
      </c>
      <c r="F87" s="276">
        <f t="shared" si="8"/>
        <v>36143.587696717594</v>
      </c>
      <c r="G87" s="33">
        <f>+'A) Base RI'!U89</f>
        <v>73</v>
      </c>
      <c r="H87" s="277">
        <f t="shared" si="9"/>
        <v>1.06751038583289</v>
      </c>
      <c r="I87" s="55">
        <f t="shared" si="10"/>
        <v>38583.655247507893</v>
      </c>
    </row>
    <row r="88" spans="1:9" x14ac:dyDescent="0.25">
      <c r="A88" s="49">
        <f>'A) Base RI'!A90</f>
        <v>5535</v>
      </c>
      <c r="B88" s="32" t="str">
        <f>'A) Base RI'!B90</f>
        <v>Saint-Barthélemy</v>
      </c>
      <c r="C88" s="95">
        <f>'A) Base RI'!V90</f>
        <v>791</v>
      </c>
      <c r="D88" s="110">
        <f>'D) Ecrêtage'!E88</f>
        <v>28.375367921017933</v>
      </c>
      <c r="E88" s="34">
        <f t="shared" si="7"/>
        <v>17.625217749322509</v>
      </c>
      <c r="F88" s="276">
        <f t="shared" si="8"/>
        <v>289844.76711365621</v>
      </c>
      <c r="G88" s="33">
        <f>+'A) Base RI'!U90</f>
        <v>77</v>
      </c>
      <c r="H88" s="277">
        <f t="shared" si="9"/>
        <v>1.1260041056045551</v>
      </c>
      <c r="I88" s="55">
        <f t="shared" si="10"/>
        <v>326366.39775797306</v>
      </c>
    </row>
    <row r="89" spans="1:9" x14ac:dyDescent="0.25">
      <c r="A89" s="49">
        <f>'A) Base RI'!A91</f>
        <v>5537</v>
      </c>
      <c r="B89" s="32" t="str">
        <f>'A) Base RI'!B91</f>
        <v>Villars-le-Terroir</v>
      </c>
      <c r="C89" s="95">
        <f>'A) Base RI'!V91</f>
        <v>1228</v>
      </c>
      <c r="D89" s="110">
        <f>'D) Ecrêtage'!E89</f>
        <v>29.543438551036942</v>
      </c>
      <c r="E89" s="34">
        <f t="shared" si="7"/>
        <v>16.457147119303499</v>
      </c>
      <c r="F89" s="276">
        <f t="shared" si="8"/>
        <v>398326.81401796767</v>
      </c>
      <c r="G89" s="33">
        <f>+'A) Base RI'!U91</f>
        <v>73</v>
      </c>
      <c r="H89" s="277">
        <f t="shared" si="9"/>
        <v>1.06751038583289</v>
      </c>
      <c r="I89" s="55">
        <f t="shared" si="10"/>
        <v>425218.01091990649</v>
      </c>
    </row>
    <row r="90" spans="1:9" x14ac:dyDescent="0.25">
      <c r="A90" s="49">
        <f>'A) Base RI'!A92</f>
        <v>5539</v>
      </c>
      <c r="B90" s="32" t="str">
        <f>'A) Base RI'!B92</f>
        <v>Vuarrens</v>
      </c>
      <c r="C90" s="95">
        <f>'A) Base RI'!V92</f>
        <v>1054</v>
      </c>
      <c r="D90" s="110">
        <f>'D) Ecrêtage'!E90</f>
        <v>28.464669741271258</v>
      </c>
      <c r="E90" s="34">
        <f t="shared" si="7"/>
        <v>17.535915929069184</v>
      </c>
      <c r="F90" s="276">
        <f t="shared" si="8"/>
        <v>374277.82163208822</v>
      </c>
      <c r="G90" s="33">
        <f>+'A) Base RI'!U92</f>
        <v>75</v>
      </c>
      <c r="H90" s="277">
        <f t="shared" si="9"/>
        <v>1.0967572457187227</v>
      </c>
      <c r="I90" s="55">
        <f t="shared" si="10"/>
        <v>410491.91278681246</v>
      </c>
    </row>
    <row r="91" spans="1:9" x14ac:dyDescent="0.25">
      <c r="A91" s="49">
        <f>'A) Base RI'!A93</f>
        <v>5540</v>
      </c>
      <c r="B91" s="32" t="str">
        <f>'A) Base RI'!B93</f>
        <v>Montilliez</v>
      </c>
      <c r="C91" s="95">
        <f>'A) Base RI'!V93</f>
        <v>1819</v>
      </c>
      <c r="D91" s="110">
        <f>'D) Ecrêtage'!E91</f>
        <v>35.534714809590952</v>
      </c>
      <c r="E91" s="34">
        <f t="shared" si="7"/>
        <v>10.46587086074949</v>
      </c>
      <c r="F91" s="276">
        <f t="shared" si="8"/>
        <v>380367.63353215245</v>
      </c>
      <c r="G91" s="33">
        <f>+'A) Base RI'!U93</f>
        <v>74</v>
      </c>
      <c r="H91" s="277">
        <f t="shared" si="9"/>
        <v>1.0821338157758063</v>
      </c>
      <c r="I91" s="55">
        <f t="shared" si="10"/>
        <v>411608.67867176165</v>
      </c>
    </row>
    <row r="92" spans="1:9" x14ac:dyDescent="0.25">
      <c r="A92" s="49">
        <f>'A) Base RI'!A94</f>
        <v>5541</v>
      </c>
      <c r="B92" s="32" t="str">
        <f>'A) Base RI'!B94</f>
        <v>Goumoëns</v>
      </c>
      <c r="C92" s="95">
        <f>'A) Base RI'!V94</f>
        <v>1140</v>
      </c>
      <c r="D92" s="110">
        <f>'D) Ecrêtage'!E92</f>
        <v>32.709113482046781</v>
      </c>
      <c r="E92" s="34">
        <f t="shared" si="7"/>
        <v>13.29147218829366</v>
      </c>
      <c r="F92" s="276">
        <f t="shared" si="8"/>
        <v>315015.86574587272</v>
      </c>
      <c r="G92" s="33">
        <f>+'A) Base RI'!U94</f>
        <v>77</v>
      </c>
      <c r="H92" s="277">
        <f t="shared" si="9"/>
        <v>1.1260041056045551</v>
      </c>
      <c r="I92" s="55">
        <f t="shared" si="10"/>
        <v>354709.15816042601</v>
      </c>
    </row>
    <row r="93" spans="1:9" x14ac:dyDescent="0.25">
      <c r="A93" s="49">
        <f>'A) Base RI'!A95</f>
        <v>5551</v>
      </c>
      <c r="B93" s="32" t="str">
        <f>'A) Base RI'!B95</f>
        <v>Bonvillars</v>
      </c>
      <c r="C93" s="95">
        <f>'A) Base RI'!V95</f>
        <v>490</v>
      </c>
      <c r="D93" s="110">
        <f>'D) Ecrêtage'!E93</f>
        <v>37.280831211707806</v>
      </c>
      <c r="E93" s="34">
        <f t="shared" si="7"/>
        <v>8.7197544586326359</v>
      </c>
      <c r="F93" s="276">
        <f t="shared" si="8"/>
        <v>63449.293318240387</v>
      </c>
      <c r="G93" s="33">
        <f>+'A) Base RI'!U95</f>
        <v>55</v>
      </c>
      <c r="H93" s="277">
        <f t="shared" si="9"/>
        <v>0.80428864686039658</v>
      </c>
      <c r="I93" s="55">
        <f t="shared" si="10"/>
        <v>51031.54626717596</v>
      </c>
    </row>
    <row r="94" spans="1:9" x14ac:dyDescent="0.25">
      <c r="A94" s="49">
        <f>'A) Base RI'!A96</f>
        <v>5552</v>
      </c>
      <c r="B94" s="32" t="str">
        <f>'A) Base RI'!B96</f>
        <v>Bullet</v>
      </c>
      <c r="C94" s="95">
        <f>'A) Base RI'!V96</f>
        <v>657</v>
      </c>
      <c r="D94" s="110">
        <f>'D) Ecrêtage'!E94</f>
        <v>27.960830643651835</v>
      </c>
      <c r="E94" s="34">
        <f t="shared" si="7"/>
        <v>18.039755026688606</v>
      </c>
      <c r="F94" s="276">
        <f t="shared" si="8"/>
        <v>233605.26652545331</v>
      </c>
      <c r="G94" s="33">
        <f>+'A) Base RI'!U96</f>
        <v>73</v>
      </c>
      <c r="H94" s="277">
        <f t="shared" si="9"/>
        <v>1.06751038583289</v>
      </c>
      <c r="I94" s="55">
        <f t="shared" si="10"/>
        <v>249376.04820118178</v>
      </c>
    </row>
    <row r="95" spans="1:9" x14ac:dyDescent="0.25">
      <c r="A95" s="49">
        <f>'A) Base RI'!A97</f>
        <v>5553</v>
      </c>
      <c r="B95" s="32" t="str">
        <f>'A) Base RI'!B97</f>
        <v>Champagne</v>
      </c>
      <c r="C95" s="95">
        <f>'A) Base RI'!V97</f>
        <v>1059</v>
      </c>
      <c r="D95" s="110">
        <f>'D) Ecrêtage'!E95</f>
        <v>35.625960814798574</v>
      </c>
      <c r="E95" s="34">
        <f t="shared" si="7"/>
        <v>10.374624855541867</v>
      </c>
      <c r="F95" s="276">
        <f t="shared" si="8"/>
        <v>192817.0715214306</v>
      </c>
      <c r="G95" s="33">
        <f>+'A) Base RI'!U97</f>
        <v>65</v>
      </c>
      <c r="H95" s="277">
        <f t="shared" si="9"/>
        <v>0.95052294628955958</v>
      </c>
      <c r="I95" s="55">
        <f t="shared" si="10"/>
        <v>183277.05091747493</v>
      </c>
    </row>
    <row r="96" spans="1:9" x14ac:dyDescent="0.25">
      <c r="A96" s="49">
        <f>'A) Base RI'!A98</f>
        <v>5554</v>
      </c>
      <c r="B96" s="32" t="str">
        <f>'A) Base RI'!B98</f>
        <v>Concise</v>
      </c>
      <c r="C96" s="95">
        <f>'A) Base RI'!V98</f>
        <v>1025</v>
      </c>
      <c r="D96" s="110">
        <f>'D) Ecrêtage'!E96</f>
        <v>32.461963052396371</v>
      </c>
      <c r="E96" s="34">
        <f t="shared" si="7"/>
        <v>13.538622617944071</v>
      </c>
      <c r="F96" s="276">
        <f t="shared" si="8"/>
        <v>281011.03571370163</v>
      </c>
      <c r="G96" s="33">
        <f>+'A) Base RI'!U98</f>
        <v>75</v>
      </c>
      <c r="H96" s="277">
        <f t="shared" si="9"/>
        <v>1.0967572457187227</v>
      </c>
      <c r="I96" s="55">
        <f t="shared" si="10"/>
        <v>308200.88954592502</v>
      </c>
    </row>
    <row r="97" spans="1:9" x14ac:dyDescent="0.25">
      <c r="A97" s="49">
        <f>'A) Base RI'!A99</f>
        <v>5555</v>
      </c>
      <c r="B97" s="32" t="str">
        <f>'A) Base RI'!B99</f>
        <v>Corcelles-près-Concise</v>
      </c>
      <c r="C97" s="95">
        <f>'A) Base RI'!V99</f>
        <v>401</v>
      </c>
      <c r="D97" s="110">
        <f>'D) Ecrêtage'!E97</f>
        <v>33.747784301884352</v>
      </c>
      <c r="E97" s="34">
        <f t="shared" si="7"/>
        <v>12.25280136845609</v>
      </c>
      <c r="F97" s="276">
        <f t="shared" si="8"/>
        <v>94189.367095554611</v>
      </c>
      <c r="G97" s="33">
        <f>+'A) Base RI'!U99</f>
        <v>71</v>
      </c>
      <c r="H97" s="277">
        <f t="shared" si="9"/>
        <v>1.0382635259470574</v>
      </c>
      <c r="I97" s="55">
        <f t="shared" si="10"/>
        <v>97793.384387352286</v>
      </c>
    </row>
    <row r="98" spans="1:9" x14ac:dyDescent="0.25">
      <c r="A98" s="49">
        <f>'A) Base RI'!A100</f>
        <v>5556</v>
      </c>
      <c r="B98" s="32" t="str">
        <f>'A) Base RI'!B100</f>
        <v>Fiez</v>
      </c>
      <c r="C98" s="95">
        <f>'A) Base RI'!V100</f>
        <v>445</v>
      </c>
      <c r="D98" s="110">
        <f>'D) Ecrêtage'!E98</f>
        <v>29.360284451731307</v>
      </c>
      <c r="E98" s="34">
        <f t="shared" si="7"/>
        <v>16.640301218609135</v>
      </c>
      <c r="F98" s="276">
        <f t="shared" si="8"/>
        <v>137953.92120769626</v>
      </c>
      <c r="G98" s="33">
        <f>+'A) Base RI'!U100</f>
        <v>69</v>
      </c>
      <c r="H98" s="277">
        <f t="shared" si="9"/>
        <v>1.0090166660612248</v>
      </c>
      <c r="I98" s="55">
        <f t="shared" si="10"/>
        <v>139197.80564706257</v>
      </c>
    </row>
    <row r="99" spans="1:9" x14ac:dyDescent="0.25">
      <c r="A99" s="49">
        <f>'A) Base RI'!A101</f>
        <v>5557</v>
      </c>
      <c r="B99" s="32" t="str">
        <f>'A) Base RI'!B101</f>
        <v>Fontaines-sur-Grandson</v>
      </c>
      <c r="C99" s="95">
        <f>'A) Base RI'!V101</f>
        <v>215</v>
      </c>
      <c r="D99" s="110">
        <f>'D) Ecrêtage'!E99</f>
        <v>30.363826863764235</v>
      </c>
      <c r="E99" s="34">
        <f t="shared" si="7"/>
        <v>15.636758806576207</v>
      </c>
      <c r="F99" s="276">
        <f t="shared" si="8"/>
        <v>62632.255561800674</v>
      </c>
      <c r="G99" s="33">
        <f>+'A) Base RI'!U101</f>
        <v>69</v>
      </c>
      <c r="H99" s="277">
        <f t="shared" si="9"/>
        <v>1.0090166660612248</v>
      </c>
      <c r="I99" s="55">
        <f t="shared" si="10"/>
        <v>63196.989694862714</v>
      </c>
    </row>
    <row r="100" spans="1:9" x14ac:dyDescent="0.25">
      <c r="A100" s="49">
        <f>'A) Base RI'!A102</f>
        <v>5559</v>
      </c>
      <c r="B100" s="32" t="str">
        <f>'A) Base RI'!B102</f>
        <v>Giez</v>
      </c>
      <c r="C100" s="95">
        <f>'A) Base RI'!V102</f>
        <v>414</v>
      </c>
      <c r="D100" s="110">
        <f>'D) Ecrêtage'!E100</f>
        <v>50.554125200641842</v>
      </c>
      <c r="E100" s="34">
        <f t="shared" si="7"/>
        <v>0</v>
      </c>
      <c r="F100" s="276">
        <f t="shared" si="8"/>
        <v>0</v>
      </c>
      <c r="G100" s="33">
        <f>+'A) Base RI'!U102</f>
        <v>66</v>
      </c>
      <c r="H100" s="277">
        <f t="shared" si="9"/>
        <v>0.9651463762324759</v>
      </c>
      <c r="I100" s="55">
        <f t="shared" si="10"/>
        <v>0</v>
      </c>
    </row>
    <row r="101" spans="1:9" x14ac:dyDescent="0.25">
      <c r="A101" s="49">
        <f>'A) Base RI'!A103</f>
        <v>5560</v>
      </c>
      <c r="B101" s="32" t="str">
        <f>'A) Base RI'!B103</f>
        <v>Grandevent</v>
      </c>
      <c r="C101" s="95">
        <f>'A) Base RI'!V103</f>
        <v>222</v>
      </c>
      <c r="D101" s="110">
        <f>'D) Ecrêtage'!E101</f>
        <v>33.409131808920918</v>
      </c>
      <c r="E101" s="34">
        <f t="shared" si="7"/>
        <v>12.591453861419524</v>
      </c>
      <c r="F101" s="276">
        <f t="shared" si="8"/>
        <v>51321.758622837071</v>
      </c>
      <c r="G101" s="33">
        <f>+'A) Base RI'!U103</f>
        <v>68</v>
      </c>
      <c r="H101" s="277">
        <f t="shared" si="9"/>
        <v>0.99439323611830854</v>
      </c>
      <c r="I101" s="55">
        <f t="shared" si="10"/>
        <v>51034.009640245662</v>
      </c>
    </row>
    <row r="102" spans="1:9" x14ac:dyDescent="0.25">
      <c r="A102" s="49">
        <f>'A) Base RI'!A104</f>
        <v>5561</v>
      </c>
      <c r="B102" s="32" t="str">
        <f>'A) Base RI'!B104</f>
        <v>Grandson</v>
      </c>
      <c r="C102" s="95">
        <f>'A) Base RI'!V104</f>
        <v>3340</v>
      </c>
      <c r="D102" s="110">
        <f>'D) Ecrêtage'!E102</f>
        <v>33.914125550296973</v>
      </c>
      <c r="E102" s="34">
        <f t="shared" si="7"/>
        <v>12.086460120043469</v>
      </c>
      <c r="F102" s="276">
        <f t="shared" si="8"/>
        <v>752070.311801609</v>
      </c>
      <c r="G102" s="33">
        <f>+'A) Base RI'!U104</f>
        <v>69</v>
      </c>
      <c r="H102" s="277">
        <f t="shared" si="9"/>
        <v>1.0090166660612248</v>
      </c>
      <c r="I102" s="55">
        <f t="shared" si="10"/>
        <v>758851.47865768534</v>
      </c>
    </row>
    <row r="103" spans="1:9" x14ac:dyDescent="0.25">
      <c r="A103" s="49">
        <f>'A) Base RI'!A105</f>
        <v>5562</v>
      </c>
      <c r="B103" s="32" t="str">
        <f>'A) Base RI'!B105</f>
        <v>Mauborget</v>
      </c>
      <c r="C103" s="95">
        <f>'A) Base RI'!V105</f>
        <v>120</v>
      </c>
      <c r="D103" s="110">
        <f>'D) Ecrêtage'!E103</f>
        <v>45.68212916666667</v>
      </c>
      <c r="E103" s="34">
        <f t="shared" si="7"/>
        <v>0.31845650367377232</v>
      </c>
      <c r="F103" s="276">
        <f t="shared" si="8"/>
        <v>722.25935033211556</v>
      </c>
      <c r="G103" s="33">
        <f>+'A) Base RI'!U105</f>
        <v>70</v>
      </c>
      <c r="H103" s="277">
        <f t="shared" si="9"/>
        <v>1.0236400960041412</v>
      </c>
      <c r="I103" s="55">
        <f t="shared" si="10"/>
        <v>739.33363071385543</v>
      </c>
    </row>
    <row r="104" spans="1:9" x14ac:dyDescent="0.25">
      <c r="A104" s="49">
        <f>'A) Base RI'!A106</f>
        <v>5563</v>
      </c>
      <c r="B104" s="32" t="str">
        <f>'A) Base RI'!B106</f>
        <v>Mutrux</v>
      </c>
      <c r="C104" s="95">
        <f>'A) Base RI'!V106</f>
        <v>153</v>
      </c>
      <c r="D104" s="110">
        <f>'D) Ecrêtage'!E104</f>
        <v>26.301558010374332</v>
      </c>
      <c r="E104" s="34">
        <f t="shared" si="7"/>
        <v>19.699027659966109</v>
      </c>
      <c r="F104" s="276">
        <f t="shared" si="8"/>
        <v>65101.346610655994</v>
      </c>
      <c r="G104" s="33">
        <f>+'A) Base RI'!U106</f>
        <v>80</v>
      </c>
      <c r="H104" s="277">
        <f t="shared" si="9"/>
        <v>1.1698743954333042</v>
      </c>
      <c r="I104" s="55">
        <f t="shared" si="10"/>
        <v>76160.39850803517</v>
      </c>
    </row>
    <row r="105" spans="1:9" x14ac:dyDescent="0.25">
      <c r="A105" s="49">
        <f>'A) Base RI'!A107</f>
        <v>5564</v>
      </c>
      <c r="B105" s="32" t="str">
        <f>'A) Base RI'!B107</f>
        <v>Novalles</v>
      </c>
      <c r="C105" s="95">
        <f>'A) Base RI'!V107</f>
        <v>100</v>
      </c>
      <c r="D105" s="110">
        <f>'D) Ecrêtage'!E105</f>
        <v>22.629000968180797</v>
      </c>
      <c r="E105" s="34">
        <f t="shared" si="7"/>
        <v>23.371584702159645</v>
      </c>
      <c r="F105" s="276">
        <f t="shared" si="8"/>
        <v>47958.49180883159</v>
      </c>
      <c r="G105" s="33">
        <f>+'A) Base RI'!U107</f>
        <v>76</v>
      </c>
      <c r="H105" s="277">
        <f t="shared" si="9"/>
        <v>1.1113806756616389</v>
      </c>
      <c r="I105" s="55">
        <f t="shared" si="10"/>
        <v>53300.141030212428</v>
      </c>
    </row>
    <row r="106" spans="1:9" x14ac:dyDescent="0.25">
      <c r="A106" s="49">
        <f>'A) Base RI'!A108</f>
        <v>5565</v>
      </c>
      <c r="B106" s="32" t="str">
        <f>'A) Base RI'!B108</f>
        <v>Onnens</v>
      </c>
      <c r="C106" s="95">
        <f>'A) Base RI'!V108</f>
        <v>497</v>
      </c>
      <c r="D106" s="110">
        <f>'D) Ecrêtage'!E106</f>
        <v>37.550294974550035</v>
      </c>
      <c r="E106" s="34">
        <f t="shared" si="7"/>
        <v>8.4502906957904074</v>
      </c>
      <c r="F106" s="276">
        <f t="shared" si="8"/>
        <v>73706.393050427461</v>
      </c>
      <c r="G106" s="33">
        <f>+'A) Base RI'!U108</f>
        <v>65</v>
      </c>
      <c r="H106" s="277">
        <f t="shared" si="9"/>
        <v>0.95052294628955958</v>
      </c>
      <c r="I106" s="55">
        <f t="shared" si="10"/>
        <v>70059.617882668623</v>
      </c>
    </row>
    <row r="107" spans="1:9" x14ac:dyDescent="0.25">
      <c r="A107" s="49">
        <f>'A) Base RI'!A109</f>
        <v>5566</v>
      </c>
      <c r="B107" s="32" t="str">
        <f>'A) Base RI'!B109</f>
        <v>Provence</v>
      </c>
      <c r="C107" s="95">
        <f>'A) Base RI'!V109</f>
        <v>379</v>
      </c>
      <c r="D107" s="110">
        <f>'D) Ecrêtage'!E107</f>
        <v>22.447291299919069</v>
      </c>
      <c r="E107" s="34">
        <f t="shared" si="7"/>
        <v>23.553294370421373</v>
      </c>
      <c r="F107" s="276">
        <f t="shared" si="8"/>
        <v>195226.89764694276</v>
      </c>
      <c r="G107" s="33">
        <f>+'A) Base RI'!U109</f>
        <v>81</v>
      </c>
      <c r="H107" s="277">
        <f t="shared" si="9"/>
        <v>1.1844978253762204</v>
      </c>
      <c r="I107" s="55">
        <f t="shared" si="10"/>
        <v>231245.83571774967</v>
      </c>
    </row>
    <row r="108" spans="1:9" x14ac:dyDescent="0.25">
      <c r="A108" s="49">
        <f>'A) Base RI'!A110</f>
        <v>5568</v>
      </c>
      <c r="B108" s="32" t="str">
        <f>'A) Base RI'!B110</f>
        <v>Sainte-Croix</v>
      </c>
      <c r="C108" s="95">
        <f>'A) Base RI'!V110</f>
        <v>4888</v>
      </c>
      <c r="D108" s="110">
        <f>'D) Ecrêtage'!E108</f>
        <v>22.390036942667628</v>
      </c>
      <c r="E108" s="34">
        <f t="shared" si="7"/>
        <v>23.610548727672814</v>
      </c>
      <c r="F108" s="276">
        <f t="shared" si="8"/>
        <v>2181218.0452183434</v>
      </c>
      <c r="G108" s="33">
        <f>+'A) Base RI'!U110</f>
        <v>70</v>
      </c>
      <c r="H108" s="277">
        <f t="shared" si="9"/>
        <v>1.0236400960041412</v>
      </c>
      <c r="I108" s="55">
        <f t="shared" si="10"/>
        <v>2232782.2492132704</v>
      </c>
    </row>
    <row r="109" spans="1:9" x14ac:dyDescent="0.25">
      <c r="A109" s="49">
        <f>'A) Base RI'!A111</f>
        <v>5571</v>
      </c>
      <c r="B109" s="32" t="str">
        <f>'A) Base RI'!B111</f>
        <v>Tévenon</v>
      </c>
      <c r="C109" s="95">
        <f>'A) Base RI'!V111</f>
        <v>896</v>
      </c>
      <c r="D109" s="110">
        <f>'D) Ecrêtage'!E109</f>
        <v>27.695021928919427</v>
      </c>
      <c r="E109" s="34">
        <f t="shared" si="7"/>
        <v>18.305563741421015</v>
      </c>
      <c r="F109" s="276">
        <f t="shared" si="8"/>
        <v>323279.18456369377</v>
      </c>
      <c r="G109" s="33">
        <f>+'A) Base RI'!U111</f>
        <v>73</v>
      </c>
      <c r="H109" s="277">
        <f t="shared" si="9"/>
        <v>1.06751038583289</v>
      </c>
      <c r="I109" s="55">
        <f t="shared" si="10"/>
        <v>345103.88704533078</v>
      </c>
    </row>
    <row r="110" spans="1:9" x14ac:dyDescent="0.25">
      <c r="A110" s="49">
        <f>'A) Base RI'!A112</f>
        <v>5581</v>
      </c>
      <c r="B110" s="32" t="str">
        <f>'A) Base RI'!B112</f>
        <v>Belmont-sur-Lausanne</v>
      </c>
      <c r="C110" s="95">
        <f>'A) Base RI'!V112</f>
        <v>3773</v>
      </c>
      <c r="D110" s="110">
        <f>'D) Ecrêtage'!E110</f>
        <v>49.666126964494303</v>
      </c>
      <c r="E110" s="34">
        <f t="shared" si="7"/>
        <v>0</v>
      </c>
      <c r="F110" s="276">
        <f t="shared" si="8"/>
        <v>0</v>
      </c>
      <c r="G110" s="33">
        <f>+'A) Base RI'!U112</f>
        <v>72</v>
      </c>
      <c r="H110" s="277">
        <f t="shared" si="9"/>
        <v>1.0528869558899736</v>
      </c>
      <c r="I110" s="55">
        <f t="shared" si="10"/>
        <v>0</v>
      </c>
    </row>
    <row r="111" spans="1:9" x14ac:dyDescent="0.25">
      <c r="A111" s="49">
        <f>'A) Base RI'!A113</f>
        <v>5582</v>
      </c>
      <c r="B111" s="32" t="str">
        <f>'A) Base RI'!B113</f>
        <v>Cheseaux-sur-Lausanne</v>
      </c>
      <c r="C111" s="95">
        <f>'A) Base RI'!V113</f>
        <v>4339</v>
      </c>
      <c r="D111" s="110">
        <f>'D) Ecrêtage'!E111</f>
        <v>38.164601081181097</v>
      </c>
      <c r="E111" s="34">
        <f t="shared" si="7"/>
        <v>7.8359845891593451</v>
      </c>
      <c r="F111" s="276">
        <f t="shared" si="8"/>
        <v>683916.78141746973</v>
      </c>
      <c r="G111" s="33">
        <f>+'A) Base RI'!U113</f>
        <v>74.5</v>
      </c>
      <c r="H111" s="277">
        <f t="shared" si="9"/>
        <v>1.0894455307472644</v>
      </c>
      <c r="I111" s="55">
        <f t="shared" si="10"/>
        <v>745090.08091831615</v>
      </c>
    </row>
    <row r="112" spans="1:9" x14ac:dyDescent="0.25">
      <c r="A112" s="49">
        <f>'A) Base RI'!A114</f>
        <v>5583</v>
      </c>
      <c r="B112" s="32" t="str">
        <f>'A) Base RI'!B114</f>
        <v>Crissier</v>
      </c>
      <c r="C112" s="95">
        <f>'A) Base RI'!V114</f>
        <v>7944</v>
      </c>
      <c r="D112" s="110">
        <f>'D) Ecrêtage'!E112</f>
        <v>38.694124001735148</v>
      </c>
      <c r="E112" s="34">
        <f t="shared" si="7"/>
        <v>7.3064616686052943</v>
      </c>
      <c r="F112" s="276">
        <f t="shared" si="8"/>
        <v>1018646.427744278</v>
      </c>
      <c r="G112" s="33">
        <f>+'A) Base RI'!U114</f>
        <v>65</v>
      </c>
      <c r="H112" s="277">
        <f t="shared" si="9"/>
        <v>0.95052294628955958</v>
      </c>
      <c r="I112" s="55">
        <f t="shared" si="10"/>
        <v>968246.8037268261</v>
      </c>
    </row>
    <row r="113" spans="1:9" x14ac:dyDescent="0.25">
      <c r="A113" s="49">
        <f>'A) Base RI'!A115</f>
        <v>5584</v>
      </c>
      <c r="B113" s="32" t="str">
        <f>'A) Base RI'!B115</f>
        <v>Epalinges</v>
      </c>
      <c r="C113" s="95">
        <f>'A) Base RI'!V115</f>
        <v>9701</v>
      </c>
      <c r="D113" s="110">
        <f>'D) Ecrêtage'!E113</f>
        <v>48.88258292335663</v>
      </c>
      <c r="E113" s="34">
        <f t="shared" si="7"/>
        <v>0</v>
      </c>
      <c r="F113" s="276">
        <f t="shared" si="8"/>
        <v>0</v>
      </c>
      <c r="G113" s="33">
        <f>+'A) Base RI'!U115</f>
        <v>66</v>
      </c>
      <c r="H113" s="277">
        <f t="shared" si="9"/>
        <v>0.9651463762324759</v>
      </c>
      <c r="I113" s="55">
        <f t="shared" si="10"/>
        <v>0</v>
      </c>
    </row>
    <row r="114" spans="1:9" x14ac:dyDescent="0.25">
      <c r="A114" s="49">
        <f>'A) Base RI'!A116</f>
        <v>5585</v>
      </c>
      <c r="B114" s="32" t="str">
        <f>'A) Base RI'!B116</f>
        <v>Jouxtens-Mézery</v>
      </c>
      <c r="C114" s="95">
        <f>'A) Base RI'!V116</f>
        <v>1423</v>
      </c>
      <c r="D114" s="110">
        <f>'D) Ecrêtage'!E114</f>
        <v>161.39653170532213</v>
      </c>
      <c r="E114" s="34">
        <f t="shared" si="7"/>
        <v>0</v>
      </c>
      <c r="F114" s="276">
        <f t="shared" si="8"/>
        <v>0</v>
      </c>
      <c r="G114" s="33">
        <f>+'A) Base RI'!U116</f>
        <v>59</v>
      </c>
      <c r="H114" s="277">
        <f t="shared" si="9"/>
        <v>0.86278236663206176</v>
      </c>
      <c r="I114" s="55">
        <f t="shared" si="10"/>
        <v>0</v>
      </c>
    </row>
    <row r="115" spans="1:9" x14ac:dyDescent="0.25">
      <c r="A115" s="49">
        <f>'A) Base RI'!A117</f>
        <v>5586</v>
      </c>
      <c r="B115" s="32" t="str">
        <f>'A) Base RI'!B117</f>
        <v>Lausanne</v>
      </c>
      <c r="C115" s="95">
        <f>'A) Base RI'!V117</f>
        <v>139726</v>
      </c>
      <c r="D115" s="110">
        <f>'D) Ecrêtage'!E115</f>
        <v>42.376861127071948</v>
      </c>
      <c r="E115" s="34">
        <f t="shared" si="7"/>
        <v>3.6237245432684944</v>
      </c>
      <c r="F115" s="276">
        <f t="shared" si="8"/>
        <v>10799987.662913211</v>
      </c>
      <c r="G115" s="33">
        <f>+'A) Base RI'!U117</f>
        <v>79</v>
      </c>
      <c r="H115" s="277">
        <f t="shared" si="9"/>
        <v>1.1552509654903877</v>
      </c>
      <c r="I115" s="55">
        <f t="shared" si="10"/>
        <v>12476696.174864763</v>
      </c>
    </row>
    <row r="116" spans="1:9" x14ac:dyDescent="0.25">
      <c r="A116" s="49">
        <f>'A) Base RI'!A118</f>
        <v>5587</v>
      </c>
      <c r="B116" s="32" t="str">
        <f>'A) Base RI'!B118</f>
        <v>Le Mont-sur-Lausanne</v>
      </c>
      <c r="C116" s="95">
        <f>'A) Base RI'!V118</f>
        <v>8991</v>
      </c>
      <c r="D116" s="110">
        <f>'D) Ecrêtage'!E116</f>
        <v>48.417929129219324</v>
      </c>
      <c r="E116" s="34">
        <f t="shared" si="7"/>
        <v>0</v>
      </c>
      <c r="F116" s="276">
        <f t="shared" si="8"/>
        <v>0</v>
      </c>
      <c r="G116" s="33">
        <f>+'A) Base RI'!U118</f>
        <v>75</v>
      </c>
      <c r="H116" s="277">
        <f t="shared" si="9"/>
        <v>1.0967572457187227</v>
      </c>
      <c r="I116" s="55">
        <f t="shared" si="10"/>
        <v>0</v>
      </c>
    </row>
    <row r="117" spans="1:9" x14ac:dyDescent="0.25">
      <c r="A117" s="49">
        <f>'A) Base RI'!A119</f>
        <v>5588</v>
      </c>
      <c r="B117" s="32" t="str">
        <f>'A) Base RI'!B119</f>
        <v>Paudex</v>
      </c>
      <c r="C117" s="95">
        <f>'A) Base RI'!V119</f>
        <v>1532</v>
      </c>
      <c r="D117" s="110">
        <f>'D) Ecrêtage'!E117</f>
        <v>86.939094683591392</v>
      </c>
      <c r="E117" s="34">
        <f t="shared" si="7"/>
        <v>0</v>
      </c>
      <c r="F117" s="276">
        <f t="shared" si="8"/>
        <v>0</v>
      </c>
      <c r="G117" s="33">
        <f>+'A) Base RI'!U119</f>
        <v>68</v>
      </c>
      <c r="H117" s="277">
        <f t="shared" si="9"/>
        <v>0.99439323611830854</v>
      </c>
      <c r="I117" s="55">
        <f t="shared" si="10"/>
        <v>0</v>
      </c>
    </row>
    <row r="118" spans="1:9" x14ac:dyDescent="0.25">
      <c r="A118" s="49">
        <f>'A) Base RI'!A120</f>
        <v>5589</v>
      </c>
      <c r="B118" s="32" t="str">
        <f>'A) Base RI'!B120</f>
        <v>Prilly</v>
      </c>
      <c r="C118" s="95">
        <f>'A) Base RI'!V120</f>
        <v>12423</v>
      </c>
      <c r="D118" s="110">
        <f>'D) Ecrêtage'!E118</f>
        <v>32.721988874389922</v>
      </c>
      <c r="E118" s="34">
        <f t="shared" si="7"/>
        <v>13.27859679595052</v>
      </c>
      <c r="F118" s="276">
        <f t="shared" si="8"/>
        <v>3273631.3586824718</v>
      </c>
      <c r="G118" s="33">
        <f>+'A) Base RI'!U120</f>
        <v>73.5</v>
      </c>
      <c r="H118" s="277">
        <f t="shared" si="9"/>
        <v>1.0748221008043481</v>
      </c>
      <c r="I118" s="55">
        <f t="shared" si="10"/>
        <v>3518571.334198087</v>
      </c>
    </row>
    <row r="119" spans="1:9" x14ac:dyDescent="0.25">
      <c r="A119" s="49">
        <f>'A) Base RI'!A121</f>
        <v>5590</v>
      </c>
      <c r="B119" s="32" t="str">
        <f>'A) Base RI'!B121</f>
        <v>Pully</v>
      </c>
      <c r="C119" s="95">
        <f>'A) Base RI'!V121</f>
        <v>18495</v>
      </c>
      <c r="D119" s="110">
        <f>'D) Ecrêtage'!E119</f>
        <v>82.462133101969272</v>
      </c>
      <c r="E119" s="34">
        <f t="shared" si="7"/>
        <v>0</v>
      </c>
      <c r="F119" s="276">
        <f t="shared" si="8"/>
        <v>0</v>
      </c>
      <c r="G119" s="33">
        <f>+'A) Base RI'!U121</f>
        <v>61</v>
      </c>
      <c r="H119" s="277">
        <f t="shared" si="9"/>
        <v>0.8920292265178944</v>
      </c>
      <c r="I119" s="55">
        <f t="shared" si="10"/>
        <v>0</v>
      </c>
    </row>
    <row r="120" spans="1:9" x14ac:dyDescent="0.25">
      <c r="A120" s="49">
        <f>'A) Base RI'!A122</f>
        <v>5591</v>
      </c>
      <c r="B120" s="32" t="str">
        <f>'A) Base RI'!B122</f>
        <v>Renens</v>
      </c>
      <c r="C120" s="95">
        <f>'A) Base RI'!V122</f>
        <v>20928</v>
      </c>
      <c r="D120" s="110">
        <f>'D) Ecrêtage'!E120</f>
        <v>26.801174909378595</v>
      </c>
      <c r="E120" s="34">
        <f t="shared" si="7"/>
        <v>19.199410760961847</v>
      </c>
      <c r="F120" s="276">
        <f t="shared" si="8"/>
        <v>8516262.6638526544</v>
      </c>
      <c r="G120" s="33">
        <f>+'A) Base RI'!U122</f>
        <v>78.5</v>
      </c>
      <c r="H120" s="277">
        <f t="shared" si="9"/>
        <v>1.1479392505189296</v>
      </c>
      <c r="I120" s="55">
        <f t="shared" si="10"/>
        <v>9776152.1795653589</v>
      </c>
    </row>
    <row r="121" spans="1:9" x14ac:dyDescent="0.25">
      <c r="A121" s="49">
        <f>'A) Base RI'!A123</f>
        <v>5592</v>
      </c>
      <c r="B121" s="32" t="str">
        <f>'A) Base RI'!B123</f>
        <v>Romanel-sur-Lausanne</v>
      </c>
      <c r="C121" s="95">
        <f>'A) Base RI'!V123</f>
        <v>3294</v>
      </c>
      <c r="D121" s="110">
        <f>'D) Ecrêtage'!E121</f>
        <v>34.180544260388153</v>
      </c>
      <c r="E121" s="34">
        <f t="shared" si="7"/>
        <v>11.820041409952289</v>
      </c>
      <c r="F121" s="276">
        <f t="shared" si="8"/>
        <v>756900.60690120247</v>
      </c>
      <c r="G121" s="33">
        <f>+'A) Base RI'!U123</f>
        <v>72</v>
      </c>
      <c r="H121" s="277">
        <f t="shared" si="9"/>
        <v>1.0528869558899736</v>
      </c>
      <c r="I121" s="55">
        <f t="shared" si="10"/>
        <v>796930.77591148065</v>
      </c>
    </row>
    <row r="122" spans="1:9" x14ac:dyDescent="0.25">
      <c r="A122" s="49">
        <f>'A) Base RI'!A124</f>
        <v>5601</v>
      </c>
      <c r="B122" s="32" t="str">
        <f>'A) Base RI'!B124</f>
        <v>Chexbres</v>
      </c>
      <c r="C122" s="95">
        <f>'A) Base RI'!V124</f>
        <v>2235</v>
      </c>
      <c r="D122" s="110">
        <f>'D) Ecrêtage'!E122</f>
        <v>46.212043003593159</v>
      </c>
      <c r="E122" s="34">
        <f t="shared" si="7"/>
        <v>0</v>
      </c>
      <c r="F122" s="276">
        <f t="shared" si="8"/>
        <v>0</v>
      </c>
      <c r="G122" s="33">
        <f>+'A) Base RI'!U124</f>
        <v>69</v>
      </c>
      <c r="H122" s="277">
        <f t="shared" si="9"/>
        <v>1.0090166660612248</v>
      </c>
      <c r="I122" s="55">
        <f t="shared" si="10"/>
        <v>0</v>
      </c>
    </row>
    <row r="123" spans="1:9" x14ac:dyDescent="0.25">
      <c r="A123" s="49">
        <f>'A) Base RI'!A125</f>
        <v>5604</v>
      </c>
      <c r="B123" s="32" t="str">
        <f>'A) Base RI'!B125</f>
        <v>Forel (Lavaux)</v>
      </c>
      <c r="C123" s="95">
        <f>'A) Base RI'!V125</f>
        <v>2064</v>
      </c>
      <c r="D123" s="110">
        <f>'D) Ecrêtage'!E123</f>
        <v>35.68923593098495</v>
      </c>
      <c r="E123" s="34">
        <f t="shared" si="7"/>
        <v>10.311349739355492</v>
      </c>
      <c r="F123" s="276">
        <f t="shared" si="8"/>
        <v>402241.62879236205</v>
      </c>
      <c r="G123" s="33">
        <f>+'A) Base RI'!U125</f>
        <v>70</v>
      </c>
      <c r="H123" s="277">
        <f t="shared" si="9"/>
        <v>1.0236400960041412</v>
      </c>
      <c r="I123" s="55">
        <f t="shared" si="10"/>
        <v>411750.65951387561</v>
      </c>
    </row>
    <row r="124" spans="1:9" x14ac:dyDescent="0.25">
      <c r="A124" s="49">
        <f>'A) Base RI'!A126</f>
        <v>5606</v>
      </c>
      <c r="B124" s="32" t="str">
        <f>'A) Base RI'!B126</f>
        <v>Lutry</v>
      </c>
      <c r="C124" s="95">
        <f>'A) Base RI'!V126</f>
        <v>10357</v>
      </c>
      <c r="D124" s="110">
        <f>'D) Ecrêtage'!E124</f>
        <v>78.008489090890592</v>
      </c>
      <c r="E124" s="34">
        <f t="shared" si="7"/>
        <v>0</v>
      </c>
      <c r="F124" s="276">
        <f t="shared" si="8"/>
        <v>0</v>
      </c>
      <c r="G124" s="33">
        <f>+'A) Base RI'!U126</f>
        <v>55.5</v>
      </c>
      <c r="H124" s="277">
        <f t="shared" si="9"/>
        <v>0.81160036183185469</v>
      </c>
      <c r="I124" s="55">
        <f t="shared" si="10"/>
        <v>0</v>
      </c>
    </row>
    <row r="125" spans="1:9" x14ac:dyDescent="0.25">
      <c r="A125" s="49">
        <f>'A) Base RI'!A127</f>
        <v>5607</v>
      </c>
      <c r="B125" s="32" t="str">
        <f>'A) Base RI'!B127</f>
        <v>Puidoux</v>
      </c>
      <c r="C125" s="95">
        <f>'A) Base RI'!V127</f>
        <v>2881</v>
      </c>
      <c r="D125" s="110">
        <f>'D) Ecrêtage'!E125</f>
        <v>34.685959512393673</v>
      </c>
      <c r="E125" s="34">
        <f t="shared" si="7"/>
        <v>11.314626157946769</v>
      </c>
      <c r="F125" s="276">
        <f t="shared" si="8"/>
        <v>616091.57746374374</v>
      </c>
      <c r="G125" s="33">
        <f>+'A) Base RI'!U127</f>
        <v>70</v>
      </c>
      <c r="H125" s="277">
        <f t="shared" si="9"/>
        <v>1.0236400960041412</v>
      </c>
      <c r="I125" s="55">
        <f t="shared" si="10"/>
        <v>630656.0415023294</v>
      </c>
    </row>
    <row r="126" spans="1:9" x14ac:dyDescent="0.25">
      <c r="A126" s="49">
        <f>'A) Base RI'!A128</f>
        <v>5609</v>
      </c>
      <c r="B126" s="32" t="str">
        <f>'A) Base RI'!B128</f>
        <v>Rivaz</v>
      </c>
      <c r="C126" s="95">
        <f>'A) Base RI'!V128</f>
        <v>342</v>
      </c>
      <c r="D126" s="110">
        <f>'D) Ecrêtage'!E126</f>
        <v>39.974103220085013</v>
      </c>
      <c r="E126" s="34">
        <f t="shared" si="7"/>
        <v>6.0264824502554291</v>
      </c>
      <c r="F126" s="276">
        <f t="shared" si="8"/>
        <v>35336.822230493235</v>
      </c>
      <c r="G126" s="33">
        <f>+'A) Base RI'!U128</f>
        <v>63.5</v>
      </c>
      <c r="H126" s="277">
        <f t="shared" si="9"/>
        <v>0.92858780137518515</v>
      </c>
      <c r="I126" s="55">
        <f t="shared" si="10"/>
        <v>32813.342062599477</v>
      </c>
    </row>
    <row r="127" spans="1:9" x14ac:dyDescent="0.25">
      <c r="A127" s="49">
        <f>'A) Base RI'!A129</f>
        <v>5610</v>
      </c>
      <c r="B127" s="32" t="str">
        <f>'A) Base RI'!B129</f>
        <v>St-Saphorin (Lavaux)</v>
      </c>
      <c r="C127" s="95">
        <f>'A) Base RI'!V129</f>
        <v>384</v>
      </c>
      <c r="D127" s="110">
        <f>'D) Ecrêtage'!E127</f>
        <v>58.002878433359626</v>
      </c>
      <c r="E127" s="34">
        <f t="shared" si="7"/>
        <v>0</v>
      </c>
      <c r="F127" s="276">
        <f t="shared" si="8"/>
        <v>0</v>
      </c>
      <c r="G127" s="33">
        <f>+'A) Base RI'!U129</f>
        <v>70</v>
      </c>
      <c r="H127" s="277">
        <f t="shared" si="9"/>
        <v>1.0236400960041412</v>
      </c>
      <c r="I127" s="55">
        <f t="shared" si="10"/>
        <v>0</v>
      </c>
    </row>
    <row r="128" spans="1:9" x14ac:dyDescent="0.25">
      <c r="A128" s="49">
        <f>'A) Base RI'!A130</f>
        <v>5611</v>
      </c>
      <c r="B128" s="32" t="str">
        <f>'A) Base RI'!B130</f>
        <v>Savigny</v>
      </c>
      <c r="C128" s="95">
        <f>'A) Base RI'!V130</f>
        <v>3359</v>
      </c>
      <c r="D128" s="110">
        <f>'D) Ecrêtage'!E128</f>
        <v>40.045216862966193</v>
      </c>
      <c r="E128" s="34">
        <f t="shared" si="7"/>
        <v>5.9553688073742492</v>
      </c>
      <c r="F128" s="276">
        <f t="shared" si="8"/>
        <v>372676.08164056309</v>
      </c>
      <c r="G128" s="33">
        <f>+'A) Base RI'!U130</f>
        <v>69</v>
      </c>
      <c r="H128" s="277">
        <f t="shared" si="9"/>
        <v>1.0090166660612248</v>
      </c>
      <c r="I128" s="55">
        <f t="shared" si="10"/>
        <v>376036.37741772179</v>
      </c>
    </row>
    <row r="129" spans="1:9" x14ac:dyDescent="0.25">
      <c r="A129" s="49">
        <f>'A) Base RI'!A131</f>
        <v>5613</v>
      </c>
      <c r="B129" s="32" t="str">
        <f>'A) Base RI'!B131</f>
        <v>Bourg-en-Lavaux</v>
      </c>
      <c r="C129" s="95">
        <f>'A) Base RI'!V131</f>
        <v>5345</v>
      </c>
      <c r="D129" s="110">
        <f>'D) Ecrêtage'!E129</f>
        <v>62.28856417783954</v>
      </c>
      <c r="E129" s="34">
        <f t="shared" si="7"/>
        <v>0</v>
      </c>
      <c r="F129" s="276">
        <f t="shared" si="8"/>
        <v>0</v>
      </c>
      <c r="G129" s="33">
        <f>+'A) Base RI'!U131</f>
        <v>64</v>
      </c>
      <c r="H129" s="277">
        <f t="shared" si="9"/>
        <v>0.93589951634664326</v>
      </c>
      <c r="I129" s="55">
        <f t="shared" si="10"/>
        <v>0</v>
      </c>
    </row>
    <row r="130" spans="1:9" x14ac:dyDescent="0.25">
      <c r="A130" s="49">
        <f>'A) Base RI'!A132</f>
        <v>5621</v>
      </c>
      <c r="B130" s="32" t="str">
        <f>'A) Base RI'!B132</f>
        <v>Aclens</v>
      </c>
      <c r="C130" s="95">
        <f>'A) Base RI'!V132</f>
        <v>539</v>
      </c>
      <c r="D130" s="110">
        <f>'D) Ecrêtage'!E130</f>
        <v>50.113935024759868</v>
      </c>
      <c r="E130" s="34">
        <f t="shared" si="7"/>
        <v>0</v>
      </c>
      <c r="F130" s="276">
        <f t="shared" si="8"/>
        <v>0</v>
      </c>
      <c r="G130" s="33">
        <f>+'A) Base RI'!U132</f>
        <v>62</v>
      </c>
      <c r="H130" s="277">
        <f t="shared" si="9"/>
        <v>0.90665265646081072</v>
      </c>
      <c r="I130" s="55">
        <f t="shared" si="10"/>
        <v>0</v>
      </c>
    </row>
    <row r="131" spans="1:9" x14ac:dyDescent="0.25">
      <c r="A131" s="49">
        <f>'A) Base RI'!A133</f>
        <v>5622</v>
      </c>
      <c r="B131" s="32" t="str">
        <f>'A) Base RI'!B133</f>
        <v>Bremblens</v>
      </c>
      <c r="C131" s="95">
        <f>'A) Base RI'!V133</f>
        <v>577</v>
      </c>
      <c r="D131" s="110">
        <f>'D) Ecrêtage'!E131</f>
        <v>46.68517436059031</v>
      </c>
      <c r="E131" s="34">
        <f t="shared" si="7"/>
        <v>0</v>
      </c>
      <c r="F131" s="276">
        <f t="shared" si="8"/>
        <v>0</v>
      </c>
      <c r="G131" s="33">
        <f>+'A) Base RI'!U133</f>
        <v>66</v>
      </c>
      <c r="H131" s="277">
        <f t="shared" si="9"/>
        <v>0.9651463762324759</v>
      </c>
      <c r="I131" s="55">
        <f t="shared" si="10"/>
        <v>0</v>
      </c>
    </row>
    <row r="132" spans="1:9" x14ac:dyDescent="0.25">
      <c r="A132" s="49">
        <f>'A) Base RI'!A134</f>
        <v>5623</v>
      </c>
      <c r="B132" s="32" t="str">
        <f>'A) Base RI'!B134</f>
        <v>Buchillon</v>
      </c>
      <c r="C132" s="95">
        <f>'A) Base RI'!V134</f>
        <v>686</v>
      </c>
      <c r="D132" s="110">
        <f>'D) Ecrêtage'!E132</f>
        <v>130.41090002636375</v>
      </c>
      <c r="E132" s="34">
        <f t="shared" si="7"/>
        <v>0</v>
      </c>
      <c r="F132" s="276">
        <f t="shared" si="8"/>
        <v>0</v>
      </c>
      <c r="G132" s="33">
        <f>+'A) Base RI'!U134</f>
        <v>53</v>
      </c>
      <c r="H132" s="277">
        <f t="shared" si="9"/>
        <v>0.77504178697456394</v>
      </c>
      <c r="I132" s="55">
        <f t="shared" si="10"/>
        <v>0</v>
      </c>
    </row>
    <row r="133" spans="1:9" x14ac:dyDescent="0.25">
      <c r="A133" s="49">
        <f>'A) Base RI'!A135</f>
        <v>5624</v>
      </c>
      <c r="B133" s="32" t="str">
        <f>'A) Base RI'!B135</f>
        <v>Bussigny</v>
      </c>
      <c r="C133" s="95">
        <f>'A) Base RI'!V135</f>
        <v>8962</v>
      </c>
      <c r="D133" s="110">
        <f>'D) Ecrêtage'!E133</f>
        <v>44.676423527865275</v>
      </c>
      <c r="E133" s="34">
        <f t="shared" ref="E133:E196" si="11">IF($D$313-D133&lt;0,0,$D$313-D133)</f>
        <v>1.3241621424751671</v>
      </c>
      <c r="F133" s="276">
        <f t="shared" ref="F133:F196" si="12">(C133*E133*G133)*$E$4</f>
        <v>205064.19856850308</v>
      </c>
      <c r="G133" s="33">
        <f>+'A) Base RI'!U135</f>
        <v>64</v>
      </c>
      <c r="H133" s="277">
        <f t="shared" ref="H133:H196" si="13">G133/$G$313</f>
        <v>0.93589951634664326</v>
      </c>
      <c r="I133" s="55">
        <f t="shared" ref="I133:I196" si="14">F133*H133</f>
        <v>191919.48426027404</v>
      </c>
    </row>
    <row r="134" spans="1:9" x14ac:dyDescent="0.25">
      <c r="A134" s="49">
        <f>'A) Base RI'!A136</f>
        <v>5625</v>
      </c>
      <c r="B134" s="32" t="str">
        <f>'A) Base RI'!B136</f>
        <v>Bussy-Chardonney</v>
      </c>
      <c r="C134" s="95">
        <f>'A) Base RI'!V136</f>
        <v>384</v>
      </c>
      <c r="D134" s="110">
        <f>'D) Ecrêtage'!E134</f>
        <v>43.789395831874458</v>
      </c>
      <c r="E134" s="34">
        <f t="shared" si="11"/>
        <v>2.2111898384659838</v>
      </c>
      <c r="F134" s="276">
        <f t="shared" si="12"/>
        <v>17652.724508815798</v>
      </c>
      <c r="G134" s="33">
        <f>+'A) Base RI'!U136</f>
        <v>77</v>
      </c>
      <c r="H134" s="277">
        <f t="shared" si="13"/>
        <v>1.1260041056045551</v>
      </c>
      <c r="I134" s="55">
        <f t="shared" si="14"/>
        <v>19877.04027203274</v>
      </c>
    </row>
    <row r="135" spans="1:9" x14ac:dyDescent="0.25">
      <c r="A135" s="49">
        <f>'A) Base RI'!A137</f>
        <v>5627</v>
      </c>
      <c r="B135" s="32" t="str">
        <f>'A) Base RI'!B137</f>
        <v>Chavannes-près-Renens</v>
      </c>
      <c r="C135" s="95">
        <f>'A) Base RI'!V137</f>
        <v>7887</v>
      </c>
      <c r="D135" s="110">
        <f>'D) Ecrêtage'!E135</f>
        <v>27.176210696127445</v>
      </c>
      <c r="E135" s="34">
        <f t="shared" si="11"/>
        <v>18.824374974212997</v>
      </c>
      <c r="F135" s="276">
        <f t="shared" si="12"/>
        <v>3166819.14284311</v>
      </c>
      <c r="G135" s="33">
        <f>+'A) Base RI'!U137</f>
        <v>79</v>
      </c>
      <c r="H135" s="277">
        <f t="shared" si="13"/>
        <v>1.1552509654903877</v>
      </c>
      <c r="I135" s="55">
        <f t="shared" si="14"/>
        <v>3658470.8723029452</v>
      </c>
    </row>
    <row r="136" spans="1:9" x14ac:dyDescent="0.25">
      <c r="A136" s="49">
        <f>'A) Base RI'!A138</f>
        <v>5628</v>
      </c>
      <c r="B136" s="32" t="str">
        <f>'A) Base RI'!B138</f>
        <v>Chigny</v>
      </c>
      <c r="C136" s="95">
        <f>'A) Base RI'!V138</f>
        <v>382</v>
      </c>
      <c r="D136" s="110">
        <f>'D) Ecrêtage'!E136</f>
        <v>58.565500760006756</v>
      </c>
      <c r="E136" s="34">
        <f t="shared" si="11"/>
        <v>0</v>
      </c>
      <c r="F136" s="276">
        <f t="shared" si="12"/>
        <v>0</v>
      </c>
      <c r="G136" s="33">
        <f>+'A) Base RI'!U138</f>
        <v>62</v>
      </c>
      <c r="H136" s="277">
        <f t="shared" si="13"/>
        <v>0.90665265646081072</v>
      </c>
      <c r="I136" s="55">
        <f t="shared" si="14"/>
        <v>0</v>
      </c>
    </row>
    <row r="137" spans="1:9" x14ac:dyDescent="0.25">
      <c r="A137" s="49">
        <f>'A) Base RI'!A139</f>
        <v>5629</v>
      </c>
      <c r="B137" s="32" t="str">
        <f>'A) Base RI'!B139</f>
        <v>Clarmont</v>
      </c>
      <c r="C137" s="95">
        <f>'A) Base RI'!V139</f>
        <v>191</v>
      </c>
      <c r="D137" s="110">
        <f>'D) Ecrêtage'!E137</f>
        <v>35.339879930191962</v>
      </c>
      <c r="E137" s="34">
        <f t="shared" si="11"/>
        <v>10.660705740148479</v>
      </c>
      <c r="F137" s="276">
        <f t="shared" si="12"/>
        <v>41232.944626459292</v>
      </c>
      <c r="G137" s="33">
        <f>+'A) Base RI'!U139</f>
        <v>75</v>
      </c>
      <c r="H137" s="277">
        <f t="shared" si="13"/>
        <v>1.0967572457187227</v>
      </c>
      <c r="I137" s="55">
        <f t="shared" si="14"/>
        <v>45222.530781388101</v>
      </c>
    </row>
    <row r="138" spans="1:9" x14ac:dyDescent="0.25">
      <c r="A138" s="49">
        <f>'A) Base RI'!A140</f>
        <v>5631</v>
      </c>
      <c r="B138" s="32" t="str">
        <f>'A) Base RI'!B140</f>
        <v>Denens</v>
      </c>
      <c r="C138" s="95">
        <f>'A) Base RI'!V140</f>
        <v>742</v>
      </c>
      <c r="D138" s="110">
        <f>'D) Ecrêtage'!E138</f>
        <v>69.23732556796304</v>
      </c>
      <c r="E138" s="34">
        <f t="shared" si="11"/>
        <v>0</v>
      </c>
      <c r="F138" s="276">
        <f t="shared" si="12"/>
        <v>0</v>
      </c>
      <c r="G138" s="33">
        <f>+'A) Base RI'!U140</f>
        <v>70</v>
      </c>
      <c r="H138" s="277">
        <f t="shared" si="13"/>
        <v>1.0236400960041412</v>
      </c>
      <c r="I138" s="55">
        <f t="shared" si="14"/>
        <v>0</v>
      </c>
    </row>
    <row r="139" spans="1:9" x14ac:dyDescent="0.25">
      <c r="A139" s="49">
        <f>'A) Base RI'!A141</f>
        <v>5632</v>
      </c>
      <c r="B139" s="32" t="str">
        <f>'A) Base RI'!B141</f>
        <v>Denges</v>
      </c>
      <c r="C139" s="95">
        <f>'A) Base RI'!V141</f>
        <v>1609</v>
      </c>
      <c r="D139" s="110">
        <f>'D) Ecrêtage'!E139</f>
        <v>45.469362378427611</v>
      </c>
      <c r="E139" s="34">
        <f t="shared" si="11"/>
        <v>0.53122329191283058</v>
      </c>
      <c r="F139" s="276">
        <f t="shared" si="12"/>
        <v>14308.31875175284</v>
      </c>
      <c r="G139" s="33">
        <f>+'A) Base RI'!U141</f>
        <v>62</v>
      </c>
      <c r="H139" s="277">
        <f t="shared" si="13"/>
        <v>0.90665265646081072</v>
      </c>
      <c r="I139" s="55">
        <f t="shared" si="14"/>
        <v>12972.675205764745</v>
      </c>
    </row>
    <row r="140" spans="1:9" x14ac:dyDescent="0.25">
      <c r="A140" s="49">
        <f>'A) Base RI'!A142</f>
        <v>5633</v>
      </c>
      <c r="B140" s="32" t="str">
        <f>'A) Base RI'!B142</f>
        <v>Echandens</v>
      </c>
      <c r="C140" s="95">
        <f>'A) Base RI'!V142</f>
        <v>2739</v>
      </c>
      <c r="D140" s="110">
        <f>'D) Ecrêtage'!E140</f>
        <v>58.457404824776539</v>
      </c>
      <c r="E140" s="34">
        <f t="shared" si="11"/>
        <v>0</v>
      </c>
      <c r="F140" s="276">
        <f t="shared" si="12"/>
        <v>0</v>
      </c>
      <c r="G140" s="33">
        <f>+'A) Base RI'!U142</f>
        <v>62</v>
      </c>
      <c r="H140" s="277">
        <f t="shared" si="13"/>
        <v>0.90665265646081072</v>
      </c>
      <c r="I140" s="55">
        <f t="shared" si="14"/>
        <v>0</v>
      </c>
    </row>
    <row r="141" spans="1:9" x14ac:dyDescent="0.25">
      <c r="A141" s="49">
        <f>'A) Base RI'!A143</f>
        <v>5634</v>
      </c>
      <c r="B141" s="32" t="str">
        <f>'A) Base RI'!B143</f>
        <v>Echichens</v>
      </c>
      <c r="C141" s="95">
        <f>'A) Base RI'!V143</f>
        <v>3077</v>
      </c>
      <c r="D141" s="110">
        <f>'D) Ecrêtage'!E141</f>
        <v>56.512500466153732</v>
      </c>
      <c r="E141" s="34">
        <f t="shared" si="11"/>
        <v>0</v>
      </c>
      <c r="F141" s="276">
        <f t="shared" si="12"/>
        <v>0</v>
      </c>
      <c r="G141" s="33">
        <f>+'A) Base RI'!U143</f>
        <v>68</v>
      </c>
      <c r="H141" s="277">
        <f t="shared" si="13"/>
        <v>0.99439323611830854</v>
      </c>
      <c r="I141" s="55">
        <f t="shared" si="14"/>
        <v>0</v>
      </c>
    </row>
    <row r="142" spans="1:9" x14ac:dyDescent="0.25">
      <c r="A142" s="49">
        <f>'A) Base RI'!A144</f>
        <v>5635</v>
      </c>
      <c r="B142" s="32" t="str">
        <f>'A) Base RI'!B144</f>
        <v>Ecublens</v>
      </c>
      <c r="C142" s="95">
        <f>'A) Base RI'!V144</f>
        <v>13089</v>
      </c>
      <c r="D142" s="110">
        <f>'D) Ecrêtage'!E142</f>
        <v>37.322005258702362</v>
      </c>
      <c r="E142" s="34">
        <f t="shared" si="11"/>
        <v>8.6785804116380802</v>
      </c>
      <c r="F142" s="276">
        <f t="shared" si="12"/>
        <v>1962903.266057045</v>
      </c>
      <c r="G142" s="33">
        <f>+'A) Base RI'!U144</f>
        <v>64</v>
      </c>
      <c r="H142" s="277">
        <f t="shared" si="13"/>
        <v>0.93589951634664326</v>
      </c>
      <c r="I142" s="55">
        <f t="shared" si="14"/>
        <v>1837080.2173380349</v>
      </c>
    </row>
    <row r="143" spans="1:9" x14ac:dyDescent="0.25">
      <c r="A143" s="49">
        <f>'A) Base RI'!A145</f>
        <v>5636</v>
      </c>
      <c r="B143" s="32" t="str">
        <f>'A) Base RI'!B145</f>
        <v>Etoy</v>
      </c>
      <c r="C143" s="95">
        <f>'A) Base RI'!V145</f>
        <v>2933</v>
      </c>
      <c r="D143" s="110">
        <f>'D) Ecrêtage'!E143</f>
        <v>60.290359368370098</v>
      </c>
      <c r="E143" s="34">
        <f t="shared" si="11"/>
        <v>0</v>
      </c>
      <c r="F143" s="276">
        <f t="shared" si="12"/>
        <v>0</v>
      </c>
      <c r="G143" s="33">
        <f>+'A) Base RI'!U145</f>
        <v>61</v>
      </c>
      <c r="H143" s="277">
        <f t="shared" si="13"/>
        <v>0.8920292265178944</v>
      </c>
      <c r="I143" s="55">
        <f t="shared" si="14"/>
        <v>0</v>
      </c>
    </row>
    <row r="144" spans="1:9" x14ac:dyDescent="0.25">
      <c r="A144" s="49">
        <f>'A) Base RI'!A146</f>
        <v>5637</v>
      </c>
      <c r="B144" s="32" t="str">
        <f>'A) Base RI'!B146</f>
        <v>Lavigny</v>
      </c>
      <c r="C144" s="95">
        <f>'A) Base RI'!V146</f>
        <v>992</v>
      </c>
      <c r="D144" s="110">
        <f>'D) Ecrêtage'!E144</f>
        <v>37.437179838697197</v>
      </c>
      <c r="E144" s="34">
        <f t="shared" si="11"/>
        <v>8.5634058316432444</v>
      </c>
      <c r="F144" s="276">
        <f t="shared" si="12"/>
        <v>170874.88503707584</v>
      </c>
      <c r="G144" s="33">
        <f>+'A) Base RI'!U146</f>
        <v>74.5</v>
      </c>
      <c r="H144" s="277">
        <f t="shared" si="13"/>
        <v>1.0894455307472644</v>
      </c>
      <c r="I144" s="55">
        <f t="shared" si="14"/>
        <v>186158.87982059488</v>
      </c>
    </row>
    <row r="145" spans="1:9" x14ac:dyDescent="0.25">
      <c r="A145" s="49">
        <f>'A) Base RI'!A147</f>
        <v>5638</v>
      </c>
      <c r="B145" s="32" t="str">
        <f>'A) Base RI'!B147</f>
        <v>Lonay</v>
      </c>
      <c r="C145" s="95">
        <f>'A) Base RI'!V147</f>
        <v>2676</v>
      </c>
      <c r="D145" s="110">
        <f>'D) Ecrêtage'!E145</f>
        <v>57.846558779238649</v>
      </c>
      <c r="E145" s="34">
        <f t="shared" si="11"/>
        <v>0</v>
      </c>
      <c r="F145" s="276">
        <f t="shared" si="12"/>
        <v>0</v>
      </c>
      <c r="G145" s="33">
        <f>+'A) Base RI'!U147</f>
        <v>55</v>
      </c>
      <c r="H145" s="277">
        <f t="shared" si="13"/>
        <v>0.80428864686039658</v>
      </c>
      <c r="I145" s="55">
        <f t="shared" si="14"/>
        <v>0</v>
      </c>
    </row>
    <row r="146" spans="1:9" x14ac:dyDescent="0.25">
      <c r="A146" s="49">
        <f>'A) Base RI'!A148</f>
        <v>5639</v>
      </c>
      <c r="B146" s="32" t="str">
        <f>'A) Base RI'!B148</f>
        <v>Lully</v>
      </c>
      <c r="C146" s="95">
        <f>'A) Base RI'!V148</f>
        <v>818</v>
      </c>
      <c r="D146" s="110">
        <f>'D) Ecrêtage'!E146</f>
        <v>57.44558653572382</v>
      </c>
      <c r="E146" s="34">
        <f t="shared" si="11"/>
        <v>0</v>
      </c>
      <c r="F146" s="276">
        <f t="shared" si="12"/>
        <v>0</v>
      </c>
      <c r="G146" s="33">
        <f>+'A) Base RI'!U148</f>
        <v>61</v>
      </c>
      <c r="H146" s="277">
        <f t="shared" si="13"/>
        <v>0.8920292265178944</v>
      </c>
      <c r="I146" s="55">
        <f t="shared" si="14"/>
        <v>0</v>
      </c>
    </row>
    <row r="147" spans="1:9" x14ac:dyDescent="0.25">
      <c r="A147" s="49">
        <f>'A) Base RI'!A149</f>
        <v>5640</v>
      </c>
      <c r="B147" s="32" t="str">
        <f>'A) Base RI'!B149</f>
        <v>Lussy-sur-Morges</v>
      </c>
      <c r="C147" s="95">
        <f>'A) Base RI'!V149</f>
        <v>696</v>
      </c>
      <c r="D147" s="110">
        <f>'D) Ecrêtage'!E147</f>
        <v>87.546917857868038</v>
      </c>
      <c r="E147" s="34">
        <f t="shared" si="11"/>
        <v>0</v>
      </c>
      <c r="F147" s="276">
        <f t="shared" si="12"/>
        <v>0</v>
      </c>
      <c r="G147" s="33">
        <f>+'A) Base RI'!U149</f>
        <v>66</v>
      </c>
      <c r="H147" s="277">
        <f t="shared" si="13"/>
        <v>0.9651463762324759</v>
      </c>
      <c r="I147" s="55">
        <f t="shared" si="14"/>
        <v>0</v>
      </c>
    </row>
    <row r="148" spans="1:9" x14ac:dyDescent="0.25">
      <c r="A148" s="49">
        <f>'A) Base RI'!A150</f>
        <v>5642</v>
      </c>
      <c r="B148" s="32" t="str">
        <f>'A) Base RI'!B150</f>
        <v>Morges</v>
      </c>
      <c r="C148" s="95">
        <f>'A) Base RI'!V150</f>
        <v>15862</v>
      </c>
      <c r="D148" s="110">
        <f>'D) Ecrêtage'!E148</f>
        <v>54.222258911417818</v>
      </c>
      <c r="E148" s="34">
        <f t="shared" si="11"/>
        <v>0</v>
      </c>
      <c r="F148" s="276">
        <f t="shared" si="12"/>
        <v>0</v>
      </c>
      <c r="G148" s="33">
        <f>+'A) Base RI'!U150</f>
        <v>68.5</v>
      </c>
      <c r="H148" s="277">
        <f t="shared" si="13"/>
        <v>1.0017049510897666</v>
      </c>
      <c r="I148" s="55">
        <f t="shared" si="14"/>
        <v>0</v>
      </c>
    </row>
    <row r="149" spans="1:9" x14ac:dyDescent="0.25">
      <c r="A149" s="49">
        <f>'A) Base RI'!A151</f>
        <v>5643</v>
      </c>
      <c r="B149" s="32" t="str">
        <f>'A) Base RI'!B151</f>
        <v>Préverenges</v>
      </c>
      <c r="C149" s="95">
        <f>'A) Base RI'!V151</f>
        <v>5243</v>
      </c>
      <c r="D149" s="110">
        <f>'D) Ecrêtage'!E149</f>
        <v>49.351819339174661</v>
      </c>
      <c r="E149" s="34">
        <f t="shared" si="11"/>
        <v>0</v>
      </c>
      <c r="F149" s="276">
        <f t="shared" si="12"/>
        <v>0</v>
      </c>
      <c r="G149" s="33">
        <f>+'A) Base RI'!U151</f>
        <v>64</v>
      </c>
      <c r="H149" s="277">
        <f t="shared" si="13"/>
        <v>0.93589951634664326</v>
      </c>
      <c r="I149" s="55">
        <f t="shared" si="14"/>
        <v>0</v>
      </c>
    </row>
    <row r="150" spans="1:9" x14ac:dyDescent="0.25">
      <c r="A150" s="49">
        <f>'A) Base RI'!A152</f>
        <v>5644</v>
      </c>
      <c r="B150" s="32" t="str">
        <f>'A) Base RI'!B152</f>
        <v>Reverolle</v>
      </c>
      <c r="C150" s="95">
        <f>'A) Base RI'!V152</f>
        <v>413</v>
      </c>
      <c r="D150" s="110">
        <f>'D) Ecrêtage'!E150</f>
        <v>40.692572262571183</v>
      </c>
      <c r="E150" s="34">
        <f t="shared" si="11"/>
        <v>5.3080134077692591</v>
      </c>
      <c r="F150" s="276">
        <f t="shared" si="12"/>
        <v>44984.1397076266</v>
      </c>
      <c r="G150" s="33">
        <f>+'A) Base RI'!U152</f>
        <v>76</v>
      </c>
      <c r="H150" s="277">
        <f t="shared" si="13"/>
        <v>1.1113806756616389</v>
      </c>
      <c r="I150" s="55">
        <f t="shared" si="14"/>
        <v>49994.503582319609</v>
      </c>
    </row>
    <row r="151" spans="1:9" x14ac:dyDescent="0.25">
      <c r="A151" s="49">
        <f>'A) Base RI'!A153</f>
        <v>5645</v>
      </c>
      <c r="B151" s="32" t="str">
        <f>'A) Base RI'!B153</f>
        <v>Romanel-sur-Morges</v>
      </c>
      <c r="C151" s="95">
        <f>'A) Base RI'!V153</f>
        <v>470</v>
      </c>
      <c r="D151" s="110">
        <f>'D) Ecrêtage'!E151</f>
        <v>64.052392672503046</v>
      </c>
      <c r="E151" s="34">
        <f t="shared" si="11"/>
        <v>0</v>
      </c>
      <c r="F151" s="276">
        <f t="shared" si="12"/>
        <v>0</v>
      </c>
      <c r="G151" s="33">
        <f>+'A) Base RI'!U153</f>
        <v>56</v>
      </c>
      <c r="H151" s="277">
        <f t="shared" si="13"/>
        <v>0.8189120768033129</v>
      </c>
      <c r="I151" s="55">
        <f t="shared" si="14"/>
        <v>0</v>
      </c>
    </row>
    <row r="152" spans="1:9" x14ac:dyDescent="0.25">
      <c r="A152" s="49">
        <f>'A) Base RI'!A154</f>
        <v>5646</v>
      </c>
      <c r="B152" s="32" t="str">
        <f>'A) Base RI'!B154</f>
        <v>Saint-Prex</v>
      </c>
      <c r="C152" s="95">
        <f>'A) Base RI'!V154</f>
        <v>5774</v>
      </c>
      <c r="D152" s="110">
        <f>'D) Ecrêtage'!E152</f>
        <v>71.163275523308997</v>
      </c>
      <c r="E152" s="34">
        <f t="shared" si="11"/>
        <v>0</v>
      </c>
      <c r="F152" s="276">
        <f t="shared" si="12"/>
        <v>0</v>
      </c>
      <c r="G152" s="33">
        <f>+'A) Base RI'!U154</f>
        <v>55</v>
      </c>
      <c r="H152" s="277">
        <f t="shared" si="13"/>
        <v>0.80428864686039658</v>
      </c>
      <c r="I152" s="55">
        <f t="shared" si="14"/>
        <v>0</v>
      </c>
    </row>
    <row r="153" spans="1:9" x14ac:dyDescent="0.25">
      <c r="A153" s="49">
        <f>'A) Base RI'!A155</f>
        <v>5648</v>
      </c>
      <c r="B153" s="32" t="str">
        <f>'A) Base RI'!B155</f>
        <v>Saint-Sulpice</v>
      </c>
      <c r="C153" s="95">
        <f>'A) Base RI'!V155</f>
        <v>4717</v>
      </c>
      <c r="D153" s="110">
        <f>'D) Ecrêtage'!E153</f>
        <v>81.132273925521332</v>
      </c>
      <c r="E153" s="34">
        <f t="shared" si="11"/>
        <v>0</v>
      </c>
      <c r="F153" s="276">
        <f t="shared" si="12"/>
        <v>0</v>
      </c>
      <c r="G153" s="33">
        <f>+'A) Base RI'!U155</f>
        <v>55</v>
      </c>
      <c r="H153" s="277">
        <f t="shared" si="13"/>
        <v>0.80428864686039658</v>
      </c>
      <c r="I153" s="55">
        <f t="shared" si="14"/>
        <v>0</v>
      </c>
    </row>
    <row r="154" spans="1:9" x14ac:dyDescent="0.25">
      <c r="A154" s="49">
        <f>'A) Base RI'!A156</f>
        <v>5649</v>
      </c>
      <c r="B154" s="32" t="str">
        <f>'A) Base RI'!B156</f>
        <v>Tolochenaz</v>
      </c>
      <c r="C154" s="95">
        <f>'A) Base RI'!V156</f>
        <v>1907</v>
      </c>
      <c r="D154" s="110">
        <f>'D) Ecrêtage'!E154</f>
        <v>53.881605119103845</v>
      </c>
      <c r="E154" s="34">
        <f t="shared" si="11"/>
        <v>0</v>
      </c>
      <c r="F154" s="276">
        <f t="shared" si="12"/>
        <v>0</v>
      </c>
      <c r="G154" s="33">
        <f>+'A) Base RI'!U156</f>
        <v>65</v>
      </c>
      <c r="H154" s="277">
        <f t="shared" si="13"/>
        <v>0.95052294628955958</v>
      </c>
      <c r="I154" s="55">
        <f t="shared" si="14"/>
        <v>0</v>
      </c>
    </row>
    <row r="155" spans="1:9" x14ac:dyDescent="0.25">
      <c r="A155" s="49">
        <f>'A) Base RI'!A157</f>
        <v>5650</v>
      </c>
      <c r="B155" s="32" t="str">
        <f>'A) Base RI'!B157</f>
        <v>Vaux-sur-Morges</v>
      </c>
      <c r="C155" s="95">
        <f>'A) Base RI'!V157</f>
        <v>196</v>
      </c>
      <c r="D155" s="110">
        <f>'D) Ecrêtage'!E155</f>
        <v>466.12642948250732</v>
      </c>
      <c r="E155" s="34">
        <f t="shared" si="11"/>
        <v>0</v>
      </c>
      <c r="F155" s="276">
        <f t="shared" si="12"/>
        <v>0</v>
      </c>
      <c r="G155" s="33">
        <f>+'A) Base RI'!U157</f>
        <v>56</v>
      </c>
      <c r="H155" s="277">
        <f t="shared" si="13"/>
        <v>0.8189120768033129</v>
      </c>
      <c r="I155" s="55">
        <f t="shared" si="14"/>
        <v>0</v>
      </c>
    </row>
    <row r="156" spans="1:9" x14ac:dyDescent="0.25">
      <c r="A156" s="49">
        <f>'A) Base RI'!A158</f>
        <v>5651</v>
      </c>
      <c r="B156" s="32" t="str">
        <f>'A) Base RI'!B158</f>
        <v>Villars-Sainte-Croix</v>
      </c>
      <c r="C156" s="95">
        <f>'A) Base RI'!V158</f>
        <v>973</v>
      </c>
      <c r="D156" s="110">
        <f>'D) Ecrêtage'!E156</f>
        <v>60.290960044678343</v>
      </c>
      <c r="E156" s="34">
        <f t="shared" si="11"/>
        <v>0</v>
      </c>
      <c r="F156" s="276">
        <f t="shared" si="12"/>
        <v>0</v>
      </c>
      <c r="G156" s="33">
        <f>+'A) Base RI'!U158</f>
        <v>62</v>
      </c>
      <c r="H156" s="277">
        <f t="shared" si="13"/>
        <v>0.90665265646081072</v>
      </c>
      <c r="I156" s="55">
        <f t="shared" si="14"/>
        <v>0</v>
      </c>
    </row>
    <row r="157" spans="1:9" x14ac:dyDescent="0.25">
      <c r="A157" s="49">
        <f>'A) Base RI'!A159</f>
        <v>5652</v>
      </c>
      <c r="B157" s="32" t="str">
        <f>'A) Base RI'!B159</f>
        <v>Villars-sous-Yens</v>
      </c>
      <c r="C157" s="95">
        <f>'A) Base RI'!V159</f>
        <v>603</v>
      </c>
      <c r="D157" s="110">
        <f>'D) Ecrêtage'!E157</f>
        <v>54.584943405194899</v>
      </c>
      <c r="E157" s="34">
        <f t="shared" si="11"/>
        <v>0</v>
      </c>
      <c r="F157" s="276">
        <f t="shared" si="12"/>
        <v>0</v>
      </c>
      <c r="G157" s="33">
        <f>+'A) Base RI'!U159</f>
        <v>76</v>
      </c>
      <c r="H157" s="277">
        <f t="shared" si="13"/>
        <v>1.1113806756616389</v>
      </c>
      <c r="I157" s="55">
        <f t="shared" si="14"/>
        <v>0</v>
      </c>
    </row>
    <row r="158" spans="1:9" x14ac:dyDescent="0.25">
      <c r="A158" s="49">
        <f>'A) Base RI'!A160</f>
        <v>5653</v>
      </c>
      <c r="B158" s="32" t="str">
        <f>'A) Base RI'!B160</f>
        <v>Vufflens-le-Château</v>
      </c>
      <c r="C158" s="95">
        <f>'A) Base RI'!V160</f>
        <v>883</v>
      </c>
      <c r="D158" s="110">
        <f>'D) Ecrêtage'!E158</f>
        <v>81.477923789346221</v>
      </c>
      <c r="E158" s="34">
        <f t="shared" si="11"/>
        <v>0</v>
      </c>
      <c r="F158" s="276">
        <f t="shared" si="12"/>
        <v>0</v>
      </c>
      <c r="G158" s="33">
        <f>+'A) Base RI'!U160</f>
        <v>60</v>
      </c>
      <c r="H158" s="277">
        <f t="shared" si="13"/>
        <v>0.87740579657497808</v>
      </c>
      <c r="I158" s="55">
        <f t="shared" si="14"/>
        <v>0</v>
      </c>
    </row>
    <row r="159" spans="1:9" x14ac:dyDescent="0.25">
      <c r="A159" s="49">
        <f>'A) Base RI'!A161</f>
        <v>5654</v>
      </c>
      <c r="B159" s="32" t="str">
        <f>'A) Base RI'!B161</f>
        <v>Vullierens</v>
      </c>
      <c r="C159" s="95">
        <f>'A) Base RI'!V161</f>
        <v>513</v>
      </c>
      <c r="D159" s="110">
        <f>'D) Ecrêtage'!E159</f>
        <v>35.134946031639437</v>
      </c>
      <c r="E159" s="34">
        <f t="shared" si="11"/>
        <v>10.865639638701005</v>
      </c>
      <c r="F159" s="276">
        <f t="shared" si="12"/>
        <v>114379.9807230922</v>
      </c>
      <c r="G159" s="33">
        <f>+'A) Base RI'!U161</f>
        <v>76</v>
      </c>
      <c r="H159" s="277">
        <f t="shared" si="13"/>
        <v>1.1113806756616389</v>
      </c>
      <c r="I159" s="55">
        <f t="shared" si="14"/>
        <v>127119.70025819544</v>
      </c>
    </row>
    <row r="160" spans="1:9" x14ac:dyDescent="0.25">
      <c r="A160" s="49">
        <f>'A) Base RI'!A162</f>
        <v>5655</v>
      </c>
      <c r="B160" s="32" t="str">
        <f>'A) Base RI'!B162</f>
        <v>Yens</v>
      </c>
      <c r="C160" s="95">
        <f>'A) Base RI'!V162</f>
        <v>1477</v>
      </c>
      <c r="D160" s="110">
        <f>'D) Ecrêtage'!E160</f>
        <v>52.133937181754632</v>
      </c>
      <c r="E160" s="34">
        <f t="shared" si="11"/>
        <v>0</v>
      </c>
      <c r="F160" s="276">
        <f t="shared" si="12"/>
        <v>0</v>
      </c>
      <c r="G160" s="33">
        <f>+'A) Base RI'!U162</f>
        <v>73</v>
      </c>
      <c r="H160" s="277">
        <f t="shared" si="13"/>
        <v>1.06751038583289</v>
      </c>
      <c r="I160" s="55">
        <f t="shared" si="14"/>
        <v>0</v>
      </c>
    </row>
    <row r="161" spans="1:9" x14ac:dyDescent="0.25">
      <c r="A161" s="49">
        <f>'A) Base RI'!A163</f>
        <v>5661</v>
      </c>
      <c r="B161" s="32" t="str">
        <f>'A) Base RI'!B163</f>
        <v>Boulens</v>
      </c>
      <c r="C161" s="95">
        <f>'A) Base RI'!V163</f>
        <v>361</v>
      </c>
      <c r="D161" s="110">
        <f>'D) Ecrêtage'!E161</f>
        <v>27.878396467262906</v>
      </c>
      <c r="E161" s="34">
        <f t="shared" si="11"/>
        <v>18.122189203077536</v>
      </c>
      <c r="F161" s="276">
        <f t="shared" si="12"/>
        <v>128944.99405854964</v>
      </c>
      <c r="G161" s="33">
        <f>+'A) Base RI'!U163</f>
        <v>73</v>
      </c>
      <c r="H161" s="277">
        <f t="shared" si="13"/>
        <v>1.06751038583289</v>
      </c>
      <c r="I161" s="55">
        <f t="shared" si="14"/>
        <v>137650.12035866204</v>
      </c>
    </row>
    <row r="162" spans="1:9" x14ac:dyDescent="0.25">
      <c r="A162" s="49">
        <f>'A) Base RI'!A164</f>
        <v>5663</v>
      </c>
      <c r="B162" s="32" t="str">
        <f>'A) Base RI'!B164</f>
        <v>Bussy-sur-Moudon</v>
      </c>
      <c r="C162" s="95">
        <f>'A) Base RI'!V164</f>
        <v>218</v>
      </c>
      <c r="D162" s="110">
        <f>'D) Ecrêtage'!E162</f>
        <v>29.220690153428514</v>
      </c>
      <c r="E162" s="34">
        <f t="shared" si="11"/>
        <v>16.779895516911928</v>
      </c>
      <c r="F162" s="276">
        <f t="shared" si="12"/>
        <v>79013.17201003489</v>
      </c>
      <c r="G162" s="33">
        <f>+'A) Base RI'!U164</f>
        <v>80</v>
      </c>
      <c r="H162" s="277">
        <f t="shared" si="13"/>
        <v>1.1698743954333042</v>
      </c>
      <c r="I162" s="55">
        <f t="shared" si="14"/>
        <v>92435.486836507233</v>
      </c>
    </row>
    <row r="163" spans="1:9" x14ac:dyDescent="0.25">
      <c r="A163" s="49">
        <f>'A) Base RI'!A165</f>
        <v>5665</v>
      </c>
      <c r="B163" s="32" t="str">
        <f>'A) Base RI'!B165</f>
        <v>Chavannes-sur-Moudon</v>
      </c>
      <c r="C163" s="95">
        <f>'A) Base RI'!V165</f>
        <v>210</v>
      </c>
      <c r="D163" s="110">
        <f>'D) Ecrêtage'!E163</f>
        <v>22.503884540117422</v>
      </c>
      <c r="E163" s="34">
        <f t="shared" si="11"/>
        <v>23.49670113022302</v>
      </c>
      <c r="F163" s="276">
        <f t="shared" si="12"/>
        <v>97255.195648106092</v>
      </c>
      <c r="G163" s="33">
        <f>+'A) Base RI'!U165</f>
        <v>73</v>
      </c>
      <c r="H163" s="277">
        <f t="shared" si="13"/>
        <v>1.06751038583289</v>
      </c>
      <c r="I163" s="55">
        <f t="shared" si="14"/>
        <v>103820.93143056294</v>
      </c>
    </row>
    <row r="164" spans="1:9" x14ac:dyDescent="0.25">
      <c r="A164" s="49">
        <f>'A) Base RI'!A166</f>
        <v>5669</v>
      </c>
      <c r="B164" s="32" t="str">
        <f>'A) Base RI'!B166</f>
        <v>Curtilles</v>
      </c>
      <c r="C164" s="95">
        <f>'A) Base RI'!V166</f>
        <v>310</v>
      </c>
      <c r="D164" s="110">
        <f>'D) Ecrêtage'!E164</f>
        <v>32.197520637888388</v>
      </c>
      <c r="E164" s="34">
        <f t="shared" si="11"/>
        <v>13.803065032452054</v>
      </c>
      <c r="F164" s="276">
        <f t="shared" si="12"/>
        <v>86648.740741217771</v>
      </c>
      <c r="G164" s="33">
        <f>+'A) Base RI'!U166</f>
        <v>75</v>
      </c>
      <c r="H164" s="277">
        <f t="shared" si="13"/>
        <v>1.0967572457187227</v>
      </c>
      <c r="I164" s="55">
        <f t="shared" si="14"/>
        <v>95032.634240333675</v>
      </c>
    </row>
    <row r="165" spans="1:9" x14ac:dyDescent="0.25">
      <c r="A165" s="49">
        <f>'A) Base RI'!A167</f>
        <v>5671</v>
      </c>
      <c r="B165" s="32" t="str">
        <f>'A) Base RI'!B167</f>
        <v>Dompierre</v>
      </c>
      <c r="C165" s="95">
        <f>'A) Base RI'!V167</f>
        <v>232</v>
      </c>
      <c r="D165" s="110">
        <f>'D) Ecrêtage'!E165</f>
        <v>28.216666625079778</v>
      </c>
      <c r="E165" s="34">
        <f t="shared" si="11"/>
        <v>17.783919045260664</v>
      </c>
      <c r="F165" s="276">
        <f t="shared" si="12"/>
        <v>89118.775119610233</v>
      </c>
      <c r="G165" s="33">
        <f>+'A) Base RI'!U167</f>
        <v>80</v>
      </c>
      <c r="H165" s="277">
        <f t="shared" si="13"/>
        <v>1.1698743954333042</v>
      </c>
      <c r="I165" s="55">
        <f t="shared" si="14"/>
        <v>104257.77316481061</v>
      </c>
    </row>
    <row r="166" spans="1:9" x14ac:dyDescent="0.25">
      <c r="A166" s="49">
        <f>'A) Base RI'!A168</f>
        <v>5673</v>
      </c>
      <c r="B166" s="32" t="str">
        <f>'A) Base RI'!B168</f>
        <v>Hermenches</v>
      </c>
      <c r="C166" s="95">
        <f>'A) Base RI'!V168</f>
        <v>367</v>
      </c>
      <c r="D166" s="110">
        <f>'D) Ecrêtage'!E166</f>
        <v>27.006773329566041</v>
      </c>
      <c r="E166" s="34">
        <f t="shared" si="11"/>
        <v>18.993812340774401</v>
      </c>
      <c r="F166" s="276">
        <f t="shared" si="12"/>
        <v>141157.26486355017</v>
      </c>
      <c r="G166" s="33">
        <f>+'A) Base RI'!U168</f>
        <v>75</v>
      </c>
      <c r="H166" s="277">
        <f t="shared" si="13"/>
        <v>1.0967572457187227</v>
      </c>
      <c r="I166" s="55">
        <f t="shared" si="14"/>
        <v>154815.25302493552</v>
      </c>
    </row>
    <row r="167" spans="1:9" x14ac:dyDescent="0.25">
      <c r="A167" s="49">
        <f>'A) Base RI'!A169</f>
        <v>5674</v>
      </c>
      <c r="B167" s="32" t="str">
        <f>'A) Base RI'!B169</f>
        <v>Lovatens</v>
      </c>
      <c r="C167" s="95">
        <f>'A) Base RI'!V169</f>
        <v>136</v>
      </c>
      <c r="D167" s="110">
        <f>'D) Ecrêtage'!E167</f>
        <v>23.622942156862745</v>
      </c>
      <c r="E167" s="34">
        <f t="shared" si="11"/>
        <v>22.377643513477697</v>
      </c>
      <c r="F167" s="276">
        <f t="shared" si="12"/>
        <v>61628.030236117585</v>
      </c>
      <c r="G167" s="33">
        <f>+'A) Base RI'!U169</f>
        <v>75</v>
      </c>
      <c r="H167" s="277">
        <f t="shared" si="13"/>
        <v>1.0967572457187227</v>
      </c>
      <c r="I167" s="55">
        <f t="shared" si="14"/>
        <v>67590.988700834481</v>
      </c>
    </row>
    <row r="168" spans="1:9" x14ac:dyDescent="0.25">
      <c r="A168" s="49">
        <f>'A) Base RI'!A170</f>
        <v>5675</v>
      </c>
      <c r="B168" s="32" t="str">
        <f>'A) Base RI'!B170</f>
        <v>Lucens</v>
      </c>
      <c r="C168" s="95">
        <f>'A) Base RI'!V170</f>
        <v>4220</v>
      </c>
      <c r="D168" s="110">
        <f>'D) Ecrêtage'!E168</f>
        <v>23.026530108297337</v>
      </c>
      <c r="E168" s="34">
        <f t="shared" si="11"/>
        <v>22.974055562043105</v>
      </c>
      <c r="F168" s="276">
        <f t="shared" si="12"/>
        <v>1806188.0846100422</v>
      </c>
      <c r="G168" s="33">
        <f>+'A) Base RI'!U170</f>
        <v>69</v>
      </c>
      <c r="H168" s="277">
        <f t="shared" si="13"/>
        <v>1.0090166660612248</v>
      </c>
      <c r="I168" s="55">
        <f t="shared" si="14"/>
        <v>1822473.8794127342</v>
      </c>
    </row>
    <row r="169" spans="1:9" x14ac:dyDescent="0.25">
      <c r="A169" s="49">
        <f>'A) Base RI'!A171</f>
        <v>5678</v>
      </c>
      <c r="B169" s="32" t="str">
        <f>'A) Base RI'!B171</f>
        <v>Moudon</v>
      </c>
      <c r="C169" s="95">
        <f>'A) Base RI'!V171</f>
        <v>6080</v>
      </c>
      <c r="D169" s="110">
        <f>'D) Ecrêtage'!E169</f>
        <v>20.557714967999519</v>
      </c>
      <c r="E169" s="34">
        <f t="shared" si="11"/>
        <v>25.442870702340922</v>
      </c>
      <c r="F169" s="276">
        <f t="shared" si="12"/>
        <v>3132526.2408722145</v>
      </c>
      <c r="G169" s="33">
        <f>+'A) Base RI'!U171</f>
        <v>75</v>
      </c>
      <c r="H169" s="277">
        <f t="shared" si="13"/>
        <v>1.0967572457187227</v>
      </c>
      <c r="I169" s="55">
        <f t="shared" si="14"/>
        <v>3435620.8520806339</v>
      </c>
    </row>
    <row r="170" spans="1:9" x14ac:dyDescent="0.25">
      <c r="A170" s="49">
        <f>'A) Base RI'!A172</f>
        <v>5680</v>
      </c>
      <c r="B170" s="32" t="str">
        <f>'A) Base RI'!B172</f>
        <v>Ogens</v>
      </c>
      <c r="C170" s="95">
        <f>'A) Base RI'!V172</f>
        <v>296</v>
      </c>
      <c r="D170" s="110">
        <f>'D) Ecrêtage'!E170</f>
        <v>21.351298791673099</v>
      </c>
      <c r="E170" s="34">
        <f t="shared" si="11"/>
        <v>24.649286878667343</v>
      </c>
      <c r="F170" s="276">
        <f t="shared" si="12"/>
        <v>153657.73857276136</v>
      </c>
      <c r="G170" s="33">
        <f>+'A) Base RI'!U172</f>
        <v>78</v>
      </c>
      <c r="H170" s="277">
        <f t="shared" si="13"/>
        <v>1.1406275355474715</v>
      </c>
      <c r="I170" s="55">
        <f t="shared" si="14"/>
        <v>175266.24766604643</v>
      </c>
    </row>
    <row r="171" spans="1:9" x14ac:dyDescent="0.25">
      <c r="A171" s="49">
        <f>'A) Base RI'!A173</f>
        <v>5683</v>
      </c>
      <c r="B171" s="32" t="str">
        <f>'A) Base RI'!B173</f>
        <v>Prévonloup</v>
      </c>
      <c r="C171" s="95">
        <f>'A) Base RI'!V173</f>
        <v>194</v>
      </c>
      <c r="D171" s="110">
        <f>'D) Ecrêtage'!E171</f>
        <v>23.474864864864859</v>
      </c>
      <c r="E171" s="34">
        <f t="shared" si="11"/>
        <v>22.525720805475583</v>
      </c>
      <c r="F171" s="276">
        <f t="shared" si="12"/>
        <v>87312.396928520029</v>
      </c>
      <c r="G171" s="33">
        <f>+'A) Base RI'!U173</f>
        <v>74</v>
      </c>
      <c r="H171" s="277">
        <f t="shared" si="13"/>
        <v>1.0821338157758063</v>
      </c>
      <c r="I171" s="55">
        <f t="shared" si="14"/>
        <v>94483.697252791171</v>
      </c>
    </row>
    <row r="172" spans="1:9" x14ac:dyDescent="0.25">
      <c r="A172" s="49">
        <f>'A) Base RI'!A174</f>
        <v>5684</v>
      </c>
      <c r="B172" s="32" t="str">
        <f>'A) Base RI'!B174</f>
        <v>Rossenges</v>
      </c>
      <c r="C172" s="95">
        <f>'A) Base RI'!V174</f>
        <v>84</v>
      </c>
      <c r="D172" s="110">
        <f>'D) Ecrêtage'!E172</f>
        <v>36.899936866536819</v>
      </c>
      <c r="E172" s="34">
        <f t="shared" si="11"/>
        <v>9.1006488038036224</v>
      </c>
      <c r="F172" s="276">
        <f t="shared" si="12"/>
        <v>15480.203615269962</v>
      </c>
      <c r="G172" s="33">
        <f>+'A) Base RI'!U174</f>
        <v>75</v>
      </c>
      <c r="H172" s="277">
        <f t="shared" si="13"/>
        <v>1.0967572457187227</v>
      </c>
      <c r="I172" s="55">
        <f t="shared" si="14"/>
        <v>16978.025480248496</v>
      </c>
    </row>
    <row r="173" spans="1:9" x14ac:dyDescent="0.25">
      <c r="A173" s="49">
        <f>'A) Base RI'!A175</f>
        <v>5688</v>
      </c>
      <c r="B173" s="32" t="str">
        <f>'A) Base RI'!B175</f>
        <v>Syens</v>
      </c>
      <c r="C173" s="95">
        <f>'A) Base RI'!V175</f>
        <v>155</v>
      </c>
      <c r="D173" s="110">
        <f>'D) Ecrêtage'!E173</f>
        <v>17.563320534523843</v>
      </c>
      <c r="E173" s="34">
        <f t="shared" si="11"/>
        <v>28.437265135816599</v>
      </c>
      <c r="F173" s="276">
        <f t="shared" si="12"/>
        <v>89971.525672604694</v>
      </c>
      <c r="G173" s="33">
        <f>+'A) Base RI'!U175</f>
        <v>75.599999999999994</v>
      </c>
      <c r="H173" s="277">
        <f t="shared" si="13"/>
        <v>1.1055313036844723</v>
      </c>
      <c r="I173" s="55">
        <f t="shared" si="14"/>
        <v>99466.338071315637</v>
      </c>
    </row>
    <row r="174" spans="1:9" x14ac:dyDescent="0.25">
      <c r="A174" s="49">
        <f>'A) Base RI'!A176</f>
        <v>5690</v>
      </c>
      <c r="B174" s="32" t="str">
        <f>'A) Base RI'!B176</f>
        <v>Villars-le-Comte</v>
      </c>
      <c r="C174" s="95">
        <f>'A) Base RI'!V176</f>
        <v>122</v>
      </c>
      <c r="D174" s="110">
        <f>'D) Ecrêtage'!E174</f>
        <v>24.721124534079504</v>
      </c>
      <c r="E174" s="34">
        <f t="shared" si="11"/>
        <v>21.279461136260938</v>
      </c>
      <c r="F174" s="276">
        <f t="shared" si="12"/>
        <v>49066.18148799047</v>
      </c>
      <c r="G174" s="33">
        <f>+'A) Base RI'!U176</f>
        <v>70</v>
      </c>
      <c r="H174" s="277">
        <f t="shared" si="13"/>
        <v>1.0236400960041412</v>
      </c>
      <c r="I174" s="55">
        <f t="shared" si="14"/>
        <v>50226.11072892318</v>
      </c>
    </row>
    <row r="175" spans="1:9" x14ac:dyDescent="0.25">
      <c r="A175" s="49">
        <f>'A) Base RI'!A177</f>
        <v>5692</v>
      </c>
      <c r="B175" s="32" t="str">
        <f>'A) Base RI'!B177</f>
        <v>Vucherens</v>
      </c>
      <c r="C175" s="95">
        <f>'A) Base RI'!V177</f>
        <v>580</v>
      </c>
      <c r="D175" s="110">
        <f>'D) Ecrêtage'!E175</f>
        <v>27.545721300742034</v>
      </c>
      <c r="E175" s="34">
        <f t="shared" si="11"/>
        <v>18.454864369598408</v>
      </c>
      <c r="F175" s="276">
        <f t="shared" si="12"/>
        <v>228312.50906204974</v>
      </c>
      <c r="G175" s="33">
        <f>+'A) Base RI'!U177</f>
        <v>79</v>
      </c>
      <c r="H175" s="277">
        <f t="shared" si="13"/>
        <v>1.1552509654903877</v>
      </c>
      <c r="I175" s="55">
        <f t="shared" si="14"/>
        <v>263758.24652746588</v>
      </c>
    </row>
    <row r="176" spans="1:9" x14ac:dyDescent="0.25">
      <c r="A176" s="49">
        <f>'A) Base RI'!A178</f>
        <v>5693</v>
      </c>
      <c r="B176" s="32" t="str">
        <f>'A) Base RI'!B178</f>
        <v>Montanaire</v>
      </c>
      <c r="C176" s="95">
        <f>'A) Base RI'!V178</f>
        <v>2717</v>
      </c>
      <c r="D176" s="110">
        <f>'D) Ecrêtage'!E176</f>
        <v>25.940717003393491</v>
      </c>
      <c r="E176" s="34">
        <f t="shared" si="11"/>
        <v>20.059868666946951</v>
      </c>
      <c r="F176" s="276">
        <f t="shared" si="12"/>
        <v>1059531.7719877642</v>
      </c>
      <c r="G176" s="33">
        <f>+'A) Base RI'!U178</f>
        <v>72</v>
      </c>
      <c r="H176" s="277">
        <f t="shared" si="13"/>
        <v>1.0528869558899736</v>
      </c>
      <c r="I176" s="55">
        <f t="shared" si="14"/>
        <v>1115567.1820769066</v>
      </c>
    </row>
    <row r="177" spans="1:9" x14ac:dyDescent="0.25">
      <c r="A177" s="49">
        <f>'A) Base RI'!A179</f>
        <v>5701</v>
      </c>
      <c r="B177" s="32" t="str">
        <f>'A) Base RI'!B179</f>
        <v>Arnex-sur-Nyon</v>
      </c>
      <c r="C177" s="95">
        <f>'A) Base RI'!V179</f>
        <v>229</v>
      </c>
      <c r="D177" s="110">
        <f>'D) Ecrêtage'!E177</f>
        <v>52.900421883716675</v>
      </c>
      <c r="E177" s="34">
        <f t="shared" si="11"/>
        <v>0</v>
      </c>
      <c r="F177" s="276">
        <f t="shared" si="12"/>
        <v>0</v>
      </c>
      <c r="G177" s="33">
        <f>+'A) Base RI'!U179</f>
        <v>70</v>
      </c>
      <c r="H177" s="277">
        <f t="shared" si="13"/>
        <v>1.0236400960041412</v>
      </c>
      <c r="I177" s="55">
        <f t="shared" si="14"/>
        <v>0</v>
      </c>
    </row>
    <row r="178" spans="1:9" x14ac:dyDescent="0.25">
      <c r="A178" s="49">
        <f>'A) Base RI'!A180</f>
        <v>5702</v>
      </c>
      <c r="B178" s="32" t="str">
        <f>'A) Base RI'!B180</f>
        <v>Arzier-Le Muids</v>
      </c>
      <c r="C178" s="95">
        <f>'A) Base RI'!V180</f>
        <v>2801</v>
      </c>
      <c r="D178" s="110">
        <f>'D) Ecrêtage'!E178</f>
        <v>62.285101176748114</v>
      </c>
      <c r="E178" s="34">
        <f t="shared" si="11"/>
        <v>0</v>
      </c>
      <c r="F178" s="276">
        <f t="shared" si="12"/>
        <v>0</v>
      </c>
      <c r="G178" s="33">
        <f>+'A) Base RI'!U180</f>
        <v>64</v>
      </c>
      <c r="H178" s="277">
        <f t="shared" si="13"/>
        <v>0.93589951634664326</v>
      </c>
      <c r="I178" s="55">
        <f t="shared" si="14"/>
        <v>0</v>
      </c>
    </row>
    <row r="179" spans="1:9" x14ac:dyDescent="0.25">
      <c r="A179" s="49">
        <f>'A) Base RI'!A181</f>
        <v>5703</v>
      </c>
      <c r="B179" s="32" t="str">
        <f>'A) Base RI'!B181</f>
        <v>Bassins</v>
      </c>
      <c r="C179" s="95">
        <f>'A) Base RI'!V181</f>
        <v>1395</v>
      </c>
      <c r="D179" s="110">
        <f>'D) Ecrêtage'!E179</f>
        <v>42.247713586870645</v>
      </c>
      <c r="E179" s="34">
        <f t="shared" si="11"/>
        <v>3.7528720834697964</v>
      </c>
      <c r="F179" s="276">
        <f t="shared" si="12"/>
        <v>104600.42599767851</v>
      </c>
      <c r="G179" s="33">
        <f>+'A) Base RI'!U181</f>
        <v>74</v>
      </c>
      <c r="H179" s="277">
        <f t="shared" si="13"/>
        <v>1.0821338157758063</v>
      </c>
      <c r="I179" s="55">
        <f t="shared" si="14"/>
        <v>113191.65811664269</v>
      </c>
    </row>
    <row r="180" spans="1:9" x14ac:dyDescent="0.25">
      <c r="A180" s="49">
        <f>'A) Base RI'!A182</f>
        <v>5704</v>
      </c>
      <c r="B180" s="32" t="str">
        <f>'A) Base RI'!B182</f>
        <v>Begnins</v>
      </c>
      <c r="C180" s="95">
        <f>'A) Base RI'!V182</f>
        <v>1931</v>
      </c>
      <c r="D180" s="110">
        <f>'D) Ecrêtage'!E180</f>
        <v>67.068269744899354</v>
      </c>
      <c r="E180" s="34">
        <f t="shared" si="11"/>
        <v>0</v>
      </c>
      <c r="F180" s="276">
        <f t="shared" si="12"/>
        <v>0</v>
      </c>
      <c r="G180" s="33">
        <f>+'A) Base RI'!U182</f>
        <v>64</v>
      </c>
      <c r="H180" s="277">
        <f t="shared" si="13"/>
        <v>0.93589951634664326</v>
      </c>
      <c r="I180" s="55">
        <f t="shared" si="14"/>
        <v>0</v>
      </c>
    </row>
    <row r="181" spans="1:9" x14ac:dyDescent="0.25">
      <c r="A181" s="49">
        <f>'A) Base RI'!A183</f>
        <v>5705</v>
      </c>
      <c r="B181" s="32" t="str">
        <f>'A) Base RI'!B183</f>
        <v>Bogis-Bossey</v>
      </c>
      <c r="C181" s="95">
        <f>'A) Base RI'!V183</f>
        <v>825</v>
      </c>
      <c r="D181" s="110">
        <f>'D) Ecrêtage'!E181</f>
        <v>57.454544138447567</v>
      </c>
      <c r="E181" s="34">
        <f t="shared" si="11"/>
        <v>0</v>
      </c>
      <c r="F181" s="276">
        <f t="shared" si="12"/>
        <v>0</v>
      </c>
      <c r="G181" s="33">
        <f>+'A) Base RI'!U183</f>
        <v>76</v>
      </c>
      <c r="H181" s="277">
        <f t="shared" si="13"/>
        <v>1.1113806756616389</v>
      </c>
      <c r="I181" s="55">
        <f t="shared" si="14"/>
        <v>0</v>
      </c>
    </row>
    <row r="182" spans="1:9" x14ac:dyDescent="0.25">
      <c r="A182" s="49">
        <f>'A) Base RI'!A184</f>
        <v>5706</v>
      </c>
      <c r="B182" s="32" t="str">
        <f>'A) Base RI'!B184</f>
        <v>Borex</v>
      </c>
      <c r="C182" s="95">
        <f>'A) Base RI'!V184</f>
        <v>1132</v>
      </c>
      <c r="D182" s="110">
        <f>'D) Ecrêtage'!E182</f>
        <v>67.784752059997302</v>
      </c>
      <c r="E182" s="34">
        <f t="shared" si="11"/>
        <v>0</v>
      </c>
      <c r="F182" s="276">
        <f t="shared" si="12"/>
        <v>0</v>
      </c>
      <c r="G182" s="33">
        <f>+'A) Base RI'!U184</f>
        <v>58</v>
      </c>
      <c r="H182" s="277">
        <f t="shared" si="13"/>
        <v>0.84815893668914544</v>
      </c>
      <c r="I182" s="55">
        <f t="shared" si="14"/>
        <v>0</v>
      </c>
    </row>
    <row r="183" spans="1:9" x14ac:dyDescent="0.25">
      <c r="A183" s="49">
        <f>'A) Base RI'!A185</f>
        <v>5707</v>
      </c>
      <c r="B183" s="32" t="str">
        <f>'A) Base RI'!B185</f>
        <v>Chavannes-de-Bogis</v>
      </c>
      <c r="C183" s="95">
        <f>'A) Base RI'!V185</f>
        <v>1357</v>
      </c>
      <c r="D183" s="110">
        <f>'D) Ecrêtage'!E183</f>
        <v>59.273155704543903</v>
      </c>
      <c r="E183" s="34">
        <f t="shared" si="11"/>
        <v>0</v>
      </c>
      <c r="F183" s="276">
        <f t="shared" si="12"/>
        <v>0</v>
      </c>
      <c r="G183" s="33">
        <f>+'A) Base RI'!U185</f>
        <v>59</v>
      </c>
      <c r="H183" s="277">
        <f t="shared" si="13"/>
        <v>0.86278236663206176</v>
      </c>
      <c r="I183" s="55">
        <f t="shared" si="14"/>
        <v>0</v>
      </c>
    </row>
    <row r="184" spans="1:9" x14ac:dyDescent="0.25">
      <c r="A184" s="49">
        <f>'A) Base RI'!A186</f>
        <v>5708</v>
      </c>
      <c r="B184" s="32" t="str">
        <f>'A) Base RI'!B186</f>
        <v>Chavannes-des-Bois</v>
      </c>
      <c r="C184" s="95">
        <f>'A) Base RI'!V186</f>
        <v>960</v>
      </c>
      <c r="D184" s="110">
        <f>'D) Ecrêtage'!E184</f>
        <v>67.368333541751653</v>
      </c>
      <c r="E184" s="34">
        <f t="shared" si="11"/>
        <v>0</v>
      </c>
      <c r="F184" s="276">
        <f t="shared" si="12"/>
        <v>0</v>
      </c>
      <c r="G184" s="33">
        <f>+'A) Base RI'!U186</f>
        <v>68</v>
      </c>
      <c r="H184" s="277">
        <f t="shared" si="13"/>
        <v>0.99439323611830854</v>
      </c>
      <c r="I184" s="55">
        <f t="shared" si="14"/>
        <v>0</v>
      </c>
    </row>
    <row r="185" spans="1:9" x14ac:dyDescent="0.25">
      <c r="A185" s="49">
        <f>'A) Base RI'!A187</f>
        <v>5709</v>
      </c>
      <c r="B185" s="32" t="str">
        <f>'A) Base RI'!B187</f>
        <v>Chéserex</v>
      </c>
      <c r="C185" s="95">
        <f>'A) Base RI'!V187</f>
        <v>1238</v>
      </c>
      <c r="D185" s="110">
        <f>'D) Ecrêtage'!E185</f>
        <v>78.082039317693699</v>
      </c>
      <c r="E185" s="34">
        <f t="shared" si="11"/>
        <v>0</v>
      </c>
      <c r="F185" s="276">
        <f t="shared" si="12"/>
        <v>0</v>
      </c>
      <c r="G185" s="33">
        <f>+'A) Base RI'!U187</f>
        <v>57</v>
      </c>
      <c r="H185" s="277">
        <f t="shared" si="13"/>
        <v>0.83353550674622923</v>
      </c>
      <c r="I185" s="55">
        <f t="shared" si="14"/>
        <v>0</v>
      </c>
    </row>
    <row r="186" spans="1:9" x14ac:dyDescent="0.25">
      <c r="A186" s="49">
        <f>'A) Base RI'!A188</f>
        <v>5710</v>
      </c>
      <c r="B186" s="32" t="str">
        <f>'A) Base RI'!B188</f>
        <v>Coinsins</v>
      </c>
      <c r="C186" s="95">
        <f>'A) Base RI'!V188</f>
        <v>494</v>
      </c>
      <c r="D186" s="110">
        <f>'D) Ecrêtage'!E186</f>
        <v>236.27937207439373</v>
      </c>
      <c r="E186" s="34">
        <f t="shared" si="11"/>
        <v>0</v>
      </c>
      <c r="F186" s="276">
        <f t="shared" si="12"/>
        <v>0</v>
      </c>
      <c r="G186" s="33">
        <f>+'A) Base RI'!U188</f>
        <v>51</v>
      </c>
      <c r="H186" s="277">
        <f t="shared" si="13"/>
        <v>0.74579492708873141</v>
      </c>
      <c r="I186" s="55">
        <f t="shared" si="14"/>
        <v>0</v>
      </c>
    </row>
    <row r="187" spans="1:9" x14ac:dyDescent="0.25">
      <c r="A187" s="49">
        <f>'A) Base RI'!A189</f>
        <v>5711</v>
      </c>
      <c r="B187" s="32" t="str">
        <f>'A) Base RI'!B189</f>
        <v>Commugny</v>
      </c>
      <c r="C187" s="95">
        <f>'A) Base RI'!V189</f>
        <v>2935</v>
      </c>
      <c r="D187" s="110">
        <f>'D) Ecrêtage'!E187</f>
        <v>87.716179359332699</v>
      </c>
      <c r="E187" s="34">
        <f t="shared" si="11"/>
        <v>0</v>
      </c>
      <c r="F187" s="276">
        <f t="shared" si="12"/>
        <v>0</v>
      </c>
      <c r="G187" s="33">
        <f>+'A) Base RI'!U189</f>
        <v>57</v>
      </c>
      <c r="H187" s="277">
        <f t="shared" si="13"/>
        <v>0.83353550674622923</v>
      </c>
      <c r="I187" s="55">
        <f t="shared" si="14"/>
        <v>0</v>
      </c>
    </row>
    <row r="188" spans="1:9" x14ac:dyDescent="0.25">
      <c r="A188" s="49">
        <f>'A) Base RI'!A190</f>
        <v>5712</v>
      </c>
      <c r="B188" s="32" t="str">
        <f>'A) Base RI'!B190</f>
        <v>Coppet</v>
      </c>
      <c r="C188" s="95">
        <f>'A) Base RI'!V190</f>
        <v>3211</v>
      </c>
      <c r="D188" s="110">
        <f>'D) Ecrêtage'!E188</f>
        <v>121.32678284781451</v>
      </c>
      <c r="E188" s="34">
        <f t="shared" si="11"/>
        <v>0</v>
      </c>
      <c r="F188" s="276">
        <f t="shared" si="12"/>
        <v>0</v>
      </c>
      <c r="G188" s="33">
        <f>+'A) Base RI'!U190</f>
        <v>53</v>
      </c>
      <c r="H188" s="277">
        <f t="shared" si="13"/>
        <v>0.77504178697456394</v>
      </c>
      <c r="I188" s="55">
        <f t="shared" si="14"/>
        <v>0</v>
      </c>
    </row>
    <row r="189" spans="1:9" x14ac:dyDescent="0.25">
      <c r="A189" s="49">
        <f>'A) Base RI'!A191</f>
        <v>5713</v>
      </c>
      <c r="B189" s="32" t="str">
        <f>'A) Base RI'!B191</f>
        <v>Crans-près-Céligny</v>
      </c>
      <c r="C189" s="95">
        <f>'A) Base RI'!V191</f>
        <v>2286</v>
      </c>
      <c r="D189" s="110">
        <f>'D) Ecrêtage'!E189</f>
        <v>124.97304135020251</v>
      </c>
      <c r="E189" s="34">
        <f t="shared" si="11"/>
        <v>0</v>
      </c>
      <c r="F189" s="276">
        <f t="shared" si="12"/>
        <v>0</v>
      </c>
      <c r="G189" s="33">
        <f>+'A) Base RI'!U191</f>
        <v>56</v>
      </c>
      <c r="H189" s="277">
        <f t="shared" si="13"/>
        <v>0.8189120768033129</v>
      </c>
      <c r="I189" s="55">
        <f t="shared" si="14"/>
        <v>0</v>
      </c>
    </row>
    <row r="190" spans="1:9" x14ac:dyDescent="0.25">
      <c r="A190" s="49">
        <f>'A) Base RI'!A192</f>
        <v>5714</v>
      </c>
      <c r="B190" s="32" t="str">
        <f>'A) Base RI'!B192</f>
        <v>Crassier</v>
      </c>
      <c r="C190" s="95">
        <f>'A) Base RI'!V192</f>
        <v>1169</v>
      </c>
      <c r="D190" s="110">
        <f>'D) Ecrêtage'!E190</f>
        <v>59.422242091220269</v>
      </c>
      <c r="E190" s="34">
        <f t="shared" si="11"/>
        <v>0</v>
      </c>
      <c r="F190" s="276">
        <f t="shared" si="12"/>
        <v>0</v>
      </c>
      <c r="G190" s="33">
        <f>+'A) Base RI'!U192</f>
        <v>68</v>
      </c>
      <c r="H190" s="277">
        <f t="shared" si="13"/>
        <v>0.99439323611830854</v>
      </c>
      <c r="I190" s="55">
        <f t="shared" si="14"/>
        <v>0</v>
      </c>
    </row>
    <row r="191" spans="1:9" x14ac:dyDescent="0.25">
      <c r="A191" s="49">
        <f>'A) Base RI'!A193</f>
        <v>5715</v>
      </c>
      <c r="B191" s="32" t="str">
        <f>'A) Base RI'!B193</f>
        <v>Duillier</v>
      </c>
      <c r="C191" s="95">
        <f>'A) Base RI'!V193</f>
        <v>1090</v>
      </c>
      <c r="D191" s="110">
        <f>'D) Ecrêtage'!E191</f>
        <v>64.273159549217496</v>
      </c>
      <c r="E191" s="34">
        <f t="shared" si="11"/>
        <v>0</v>
      </c>
      <c r="F191" s="276">
        <f t="shared" si="12"/>
        <v>0</v>
      </c>
      <c r="G191" s="33">
        <f>+'A) Base RI'!U193</f>
        <v>66</v>
      </c>
      <c r="H191" s="277">
        <f t="shared" si="13"/>
        <v>0.9651463762324759</v>
      </c>
      <c r="I191" s="55">
        <f t="shared" si="14"/>
        <v>0</v>
      </c>
    </row>
    <row r="192" spans="1:9" x14ac:dyDescent="0.25">
      <c r="A192" s="49">
        <f>'A) Base RI'!A194</f>
        <v>5716</v>
      </c>
      <c r="B192" s="32" t="str">
        <f>'A) Base RI'!B194</f>
        <v>Eysins</v>
      </c>
      <c r="C192" s="95">
        <f>'A) Base RI'!V194</f>
        <v>1737</v>
      </c>
      <c r="D192" s="110">
        <f>'D) Ecrêtage'!E192</f>
        <v>124.0190009376835</v>
      </c>
      <c r="E192" s="34">
        <f t="shared" si="11"/>
        <v>0</v>
      </c>
      <c r="F192" s="276">
        <f t="shared" si="12"/>
        <v>0</v>
      </c>
      <c r="G192" s="33">
        <f>+'A) Base RI'!U194</f>
        <v>61</v>
      </c>
      <c r="H192" s="277">
        <f t="shared" si="13"/>
        <v>0.8920292265178944</v>
      </c>
      <c r="I192" s="55">
        <f t="shared" si="14"/>
        <v>0</v>
      </c>
    </row>
    <row r="193" spans="1:9" x14ac:dyDescent="0.25">
      <c r="A193" s="49">
        <f>'A) Base RI'!A195</f>
        <v>5717</v>
      </c>
      <c r="B193" s="32" t="str">
        <f>'A) Base RI'!B195</f>
        <v>Founex</v>
      </c>
      <c r="C193" s="95">
        <f>'A) Base RI'!V195</f>
        <v>3772</v>
      </c>
      <c r="D193" s="110">
        <f>'D) Ecrêtage'!E193</f>
        <v>91.406569305006684</v>
      </c>
      <c r="E193" s="34">
        <f t="shared" si="11"/>
        <v>0</v>
      </c>
      <c r="F193" s="276">
        <f t="shared" si="12"/>
        <v>0</v>
      </c>
      <c r="G193" s="33">
        <f>+'A) Base RI'!U195</f>
        <v>57</v>
      </c>
      <c r="H193" s="277">
        <f t="shared" si="13"/>
        <v>0.83353550674622923</v>
      </c>
      <c r="I193" s="55">
        <f t="shared" si="14"/>
        <v>0</v>
      </c>
    </row>
    <row r="194" spans="1:9" x14ac:dyDescent="0.25">
      <c r="A194" s="49">
        <f>'A) Base RI'!A196</f>
        <v>5718</v>
      </c>
      <c r="B194" s="32" t="str">
        <f>'A) Base RI'!B196</f>
        <v>Genolier</v>
      </c>
      <c r="C194" s="95">
        <f>'A) Base RI'!V196</f>
        <v>2000</v>
      </c>
      <c r="D194" s="110">
        <f>'D) Ecrêtage'!E194</f>
        <v>85.138274970886698</v>
      </c>
      <c r="E194" s="34">
        <f t="shared" si="11"/>
        <v>0</v>
      </c>
      <c r="F194" s="276">
        <f t="shared" si="12"/>
        <v>0</v>
      </c>
      <c r="G194" s="33">
        <f>+'A) Base RI'!U196</f>
        <v>55</v>
      </c>
      <c r="H194" s="277">
        <f t="shared" si="13"/>
        <v>0.80428864686039658</v>
      </c>
      <c r="I194" s="55">
        <f t="shared" si="14"/>
        <v>0</v>
      </c>
    </row>
    <row r="195" spans="1:9" x14ac:dyDescent="0.25">
      <c r="A195" s="49">
        <f>'A) Base RI'!A197</f>
        <v>5719</v>
      </c>
      <c r="B195" s="32" t="str">
        <f>'A) Base RI'!B197</f>
        <v>Gingins</v>
      </c>
      <c r="C195" s="95">
        <f>'A) Base RI'!V197</f>
        <v>1239</v>
      </c>
      <c r="D195" s="110">
        <f>'D) Ecrêtage'!E195</f>
        <v>114.87249417229975</v>
      </c>
      <c r="E195" s="34">
        <f t="shared" si="11"/>
        <v>0</v>
      </c>
      <c r="F195" s="276">
        <f t="shared" si="12"/>
        <v>0</v>
      </c>
      <c r="G195" s="33">
        <f>+'A) Base RI'!U197</f>
        <v>57</v>
      </c>
      <c r="H195" s="277">
        <f t="shared" si="13"/>
        <v>0.83353550674622923</v>
      </c>
      <c r="I195" s="55">
        <f t="shared" si="14"/>
        <v>0</v>
      </c>
    </row>
    <row r="196" spans="1:9" x14ac:dyDescent="0.25">
      <c r="A196" s="49">
        <f>'A) Base RI'!A198</f>
        <v>5720</v>
      </c>
      <c r="B196" s="32" t="str">
        <f>'A) Base RI'!B198</f>
        <v>Givrins</v>
      </c>
      <c r="C196" s="95">
        <f>'A) Base RI'!V198</f>
        <v>1032</v>
      </c>
      <c r="D196" s="110">
        <f>'D) Ecrêtage'!E196</f>
        <v>79.861630040306807</v>
      </c>
      <c r="E196" s="34">
        <f t="shared" si="11"/>
        <v>0</v>
      </c>
      <c r="F196" s="276">
        <f t="shared" si="12"/>
        <v>0</v>
      </c>
      <c r="G196" s="33">
        <f>+'A) Base RI'!U198</f>
        <v>67</v>
      </c>
      <c r="H196" s="277">
        <f t="shared" si="13"/>
        <v>0.97976980617539222</v>
      </c>
      <c r="I196" s="55">
        <f t="shared" si="14"/>
        <v>0</v>
      </c>
    </row>
    <row r="197" spans="1:9" x14ac:dyDescent="0.25">
      <c r="A197" s="49">
        <f>'A) Base RI'!A199</f>
        <v>5721</v>
      </c>
      <c r="B197" s="32" t="str">
        <f>'A) Base RI'!B199</f>
        <v>Gland</v>
      </c>
      <c r="C197" s="95">
        <f>'A) Base RI'!V199</f>
        <v>13194</v>
      </c>
      <c r="D197" s="110">
        <f>'D) Ecrêtage'!E197</f>
        <v>49.864062218596281</v>
      </c>
      <c r="E197" s="34">
        <f t="shared" ref="E197:E260" si="15">IF($D$313-D197&lt;0,0,$D$313-D197)</f>
        <v>0</v>
      </c>
      <c r="F197" s="276">
        <f t="shared" ref="F197:F260" si="16">(C197*E197*G197)*$E$4</f>
        <v>0</v>
      </c>
      <c r="G197" s="33">
        <f>+'A) Base RI'!U199</f>
        <v>62.5</v>
      </c>
      <c r="H197" s="277">
        <f t="shared" ref="H197:H260" si="17">G197/$G$313</f>
        <v>0.91396437143226883</v>
      </c>
      <c r="I197" s="55">
        <f t="shared" ref="I197:I260" si="18">F197*H197</f>
        <v>0</v>
      </c>
    </row>
    <row r="198" spans="1:9" x14ac:dyDescent="0.25">
      <c r="A198" s="49">
        <f>'A) Base RI'!A200</f>
        <v>5722</v>
      </c>
      <c r="B198" s="32" t="str">
        <f>'A) Base RI'!B200</f>
        <v>Grens</v>
      </c>
      <c r="C198" s="95">
        <f>'A) Base RI'!V200</f>
        <v>383</v>
      </c>
      <c r="D198" s="110">
        <f>'D) Ecrêtage'!E198</f>
        <v>52.900735702855222</v>
      </c>
      <c r="E198" s="34">
        <f t="shared" si="15"/>
        <v>0</v>
      </c>
      <c r="F198" s="276">
        <f t="shared" si="16"/>
        <v>0</v>
      </c>
      <c r="G198" s="33">
        <f>+'A) Base RI'!U200</f>
        <v>62</v>
      </c>
      <c r="H198" s="277">
        <f t="shared" si="17"/>
        <v>0.90665265646081072</v>
      </c>
      <c r="I198" s="55">
        <f t="shared" si="18"/>
        <v>0</v>
      </c>
    </row>
    <row r="199" spans="1:9" x14ac:dyDescent="0.25">
      <c r="A199" s="49">
        <f>'A) Base RI'!A201</f>
        <v>5723</v>
      </c>
      <c r="B199" s="32" t="str">
        <f>'A) Base RI'!B201</f>
        <v>Mies</v>
      </c>
      <c r="C199" s="95">
        <f>'A) Base RI'!V201</f>
        <v>2116</v>
      </c>
      <c r="D199" s="110">
        <f>'D) Ecrêtage'!E199</f>
        <v>92.903832394072623</v>
      </c>
      <c r="E199" s="34">
        <f t="shared" si="15"/>
        <v>0</v>
      </c>
      <c r="F199" s="276">
        <f t="shared" si="16"/>
        <v>0</v>
      </c>
      <c r="G199" s="33">
        <f>+'A) Base RI'!U201</f>
        <v>53</v>
      </c>
      <c r="H199" s="277">
        <f t="shared" si="17"/>
        <v>0.77504178697456394</v>
      </c>
      <c r="I199" s="55">
        <f t="shared" si="18"/>
        <v>0</v>
      </c>
    </row>
    <row r="200" spans="1:9" x14ac:dyDescent="0.25">
      <c r="A200" s="49">
        <f>'A) Base RI'!A202</f>
        <v>5724</v>
      </c>
      <c r="B200" s="32" t="str">
        <f>'A) Base RI'!B202</f>
        <v>Nyon</v>
      </c>
      <c r="C200" s="95">
        <f>'A) Base RI'!V202</f>
        <v>21416</v>
      </c>
      <c r="D200" s="110">
        <f>'D) Ecrêtage'!E200</f>
        <v>64.683945271722791</v>
      </c>
      <c r="E200" s="34">
        <f t="shared" si="15"/>
        <v>0</v>
      </c>
      <c r="F200" s="276">
        <f t="shared" si="16"/>
        <v>0</v>
      </c>
      <c r="G200" s="33">
        <f>+'A) Base RI'!U202</f>
        <v>61</v>
      </c>
      <c r="H200" s="277">
        <f t="shared" si="17"/>
        <v>0.8920292265178944</v>
      </c>
      <c r="I200" s="55">
        <f t="shared" si="18"/>
        <v>0</v>
      </c>
    </row>
    <row r="201" spans="1:9" x14ac:dyDescent="0.25">
      <c r="A201" s="49">
        <f>'A) Base RI'!A203</f>
        <v>5725</v>
      </c>
      <c r="B201" s="32" t="str">
        <f>'A) Base RI'!B203</f>
        <v>Prangins</v>
      </c>
      <c r="C201" s="95">
        <f>'A) Base RI'!V203</f>
        <v>4088</v>
      </c>
      <c r="D201" s="110">
        <f>'D) Ecrêtage'!E201</f>
        <v>83.844844016920149</v>
      </c>
      <c r="E201" s="34">
        <f t="shared" si="15"/>
        <v>0</v>
      </c>
      <c r="F201" s="276">
        <f t="shared" si="16"/>
        <v>0</v>
      </c>
      <c r="G201" s="33">
        <f>+'A) Base RI'!U203</f>
        <v>56</v>
      </c>
      <c r="H201" s="277">
        <f t="shared" si="17"/>
        <v>0.8189120768033129</v>
      </c>
      <c r="I201" s="55">
        <f t="shared" si="18"/>
        <v>0</v>
      </c>
    </row>
    <row r="202" spans="1:9" x14ac:dyDescent="0.25">
      <c r="A202" s="49">
        <f>'A) Base RI'!A204</f>
        <v>5726</v>
      </c>
      <c r="B202" s="32" t="str">
        <f>'A) Base RI'!B204</f>
        <v>La Rippe</v>
      </c>
      <c r="C202" s="95">
        <f>'A) Base RI'!V204</f>
        <v>1136</v>
      </c>
      <c r="D202" s="110">
        <f>'D) Ecrêtage'!E202</f>
        <v>53.925182350762384</v>
      </c>
      <c r="E202" s="34">
        <f t="shared" si="15"/>
        <v>0</v>
      </c>
      <c r="F202" s="276">
        <f t="shared" si="16"/>
        <v>0</v>
      </c>
      <c r="G202" s="33">
        <f>+'A) Base RI'!U204</f>
        <v>65</v>
      </c>
      <c r="H202" s="277">
        <f t="shared" si="17"/>
        <v>0.95052294628955958</v>
      </c>
      <c r="I202" s="55">
        <f t="shared" si="18"/>
        <v>0</v>
      </c>
    </row>
    <row r="203" spans="1:9" x14ac:dyDescent="0.25">
      <c r="A203" s="49">
        <f>'A) Base RI'!A205</f>
        <v>5727</v>
      </c>
      <c r="B203" s="32" t="str">
        <f>'A) Base RI'!B205</f>
        <v>Saint-Cergue</v>
      </c>
      <c r="C203" s="95">
        <f>'A) Base RI'!V205</f>
        <v>2603</v>
      </c>
      <c r="D203" s="110">
        <f>'D) Ecrêtage'!E203</f>
        <v>36.893223076732177</v>
      </c>
      <c r="E203" s="34">
        <f t="shared" si="15"/>
        <v>9.1073625936082649</v>
      </c>
      <c r="F203" s="276">
        <f t="shared" si="16"/>
        <v>422449.2032913125</v>
      </c>
      <c r="G203" s="33">
        <f>+'A) Base RI'!U205</f>
        <v>66</v>
      </c>
      <c r="H203" s="277">
        <f t="shared" si="17"/>
        <v>0.9651463762324759</v>
      </c>
      <c r="I203" s="55">
        <f t="shared" si="18"/>
        <v>407725.31769890682</v>
      </c>
    </row>
    <row r="204" spans="1:9" x14ac:dyDescent="0.25">
      <c r="A204" s="49">
        <f>'A) Base RI'!A206</f>
        <v>5728</v>
      </c>
      <c r="B204" s="32" t="str">
        <f>'A) Base RI'!B206</f>
        <v>Signy-Avenex</v>
      </c>
      <c r="C204" s="95">
        <f>'A) Base RI'!V206</f>
        <v>586</v>
      </c>
      <c r="D204" s="110">
        <f>'D) Ecrêtage'!E204</f>
        <v>74.104123704468293</v>
      </c>
      <c r="E204" s="34">
        <f t="shared" si="15"/>
        <v>0</v>
      </c>
      <c r="F204" s="276">
        <f t="shared" si="16"/>
        <v>0</v>
      </c>
      <c r="G204" s="33">
        <f>+'A) Base RI'!U206</f>
        <v>58</v>
      </c>
      <c r="H204" s="277">
        <f t="shared" si="17"/>
        <v>0.84815893668914544</v>
      </c>
      <c r="I204" s="55">
        <f t="shared" si="18"/>
        <v>0</v>
      </c>
    </row>
    <row r="205" spans="1:9" x14ac:dyDescent="0.25">
      <c r="A205" s="49">
        <f>'A) Base RI'!A207</f>
        <v>5729</v>
      </c>
      <c r="B205" s="32" t="str">
        <f>'A) Base RI'!B207</f>
        <v>Tannay</v>
      </c>
      <c r="C205" s="95">
        <f>'A) Base RI'!V207</f>
        <v>1600</v>
      </c>
      <c r="D205" s="110">
        <f>'D) Ecrêtage'!E205</f>
        <v>110.4907025472032</v>
      </c>
      <c r="E205" s="34">
        <f t="shared" si="15"/>
        <v>0</v>
      </c>
      <c r="F205" s="276">
        <f t="shared" si="16"/>
        <v>0</v>
      </c>
      <c r="G205" s="33">
        <f>+'A) Base RI'!U207</f>
        <v>61</v>
      </c>
      <c r="H205" s="277">
        <f t="shared" si="17"/>
        <v>0.8920292265178944</v>
      </c>
      <c r="I205" s="55">
        <f t="shared" si="18"/>
        <v>0</v>
      </c>
    </row>
    <row r="206" spans="1:9" x14ac:dyDescent="0.25">
      <c r="A206" s="49">
        <f>'A) Base RI'!A208</f>
        <v>5730</v>
      </c>
      <c r="B206" s="32" t="str">
        <f>'A) Base RI'!B208</f>
        <v>Trélex</v>
      </c>
      <c r="C206" s="95">
        <f>'A) Base RI'!V208</f>
        <v>1434</v>
      </c>
      <c r="D206" s="110">
        <f>'D) Ecrêtage'!E206</f>
        <v>93.716697719914109</v>
      </c>
      <c r="E206" s="34">
        <f t="shared" si="15"/>
        <v>0</v>
      </c>
      <c r="F206" s="276">
        <f t="shared" si="16"/>
        <v>0</v>
      </c>
      <c r="G206" s="33">
        <f>+'A) Base RI'!U208</f>
        <v>57</v>
      </c>
      <c r="H206" s="277">
        <f t="shared" si="17"/>
        <v>0.83353550674622923</v>
      </c>
      <c r="I206" s="55">
        <f t="shared" si="18"/>
        <v>0</v>
      </c>
    </row>
    <row r="207" spans="1:9" x14ac:dyDescent="0.25">
      <c r="A207" s="49">
        <f>'A) Base RI'!A209</f>
        <v>5731</v>
      </c>
      <c r="B207" s="32" t="str">
        <f>'A) Base RI'!B209</f>
        <v>Le Vaud</v>
      </c>
      <c r="C207" s="95">
        <f>'A) Base RI'!V209</f>
        <v>1362</v>
      </c>
      <c r="D207" s="110">
        <f>'D) Ecrêtage'!E207</f>
        <v>45.485643864485432</v>
      </c>
      <c r="E207" s="34">
        <f t="shared" si="15"/>
        <v>0.5149418058550097</v>
      </c>
      <c r="F207" s="276">
        <f t="shared" si="16"/>
        <v>14202.352476384098</v>
      </c>
      <c r="G207" s="33">
        <f>+'A) Base RI'!U209</f>
        <v>75</v>
      </c>
      <c r="H207" s="277">
        <f t="shared" si="17"/>
        <v>1.0967572457187227</v>
      </c>
      <c r="I207" s="55">
        <f t="shared" si="18"/>
        <v>15576.532984725503</v>
      </c>
    </row>
    <row r="208" spans="1:9" x14ac:dyDescent="0.25">
      <c r="A208" s="49">
        <f>'A) Base RI'!A210</f>
        <v>5732</v>
      </c>
      <c r="B208" s="32" t="str">
        <f>'A) Base RI'!B210</f>
        <v>Vich</v>
      </c>
      <c r="C208" s="95">
        <f>'A) Base RI'!V210</f>
        <v>1083</v>
      </c>
      <c r="D208" s="110">
        <f>'D) Ecrêtage'!E208</f>
        <v>57.793484708581666</v>
      </c>
      <c r="E208" s="34">
        <f t="shared" si="15"/>
        <v>0</v>
      </c>
      <c r="F208" s="276">
        <f t="shared" si="16"/>
        <v>0</v>
      </c>
      <c r="G208" s="33">
        <f>+'A) Base RI'!U210</f>
        <v>66</v>
      </c>
      <c r="H208" s="277">
        <f t="shared" si="17"/>
        <v>0.9651463762324759</v>
      </c>
      <c r="I208" s="55">
        <f t="shared" si="18"/>
        <v>0</v>
      </c>
    </row>
    <row r="209" spans="1:9" x14ac:dyDescent="0.25">
      <c r="A209" s="49">
        <f>'A) Base RI'!A211</f>
        <v>5741</v>
      </c>
      <c r="B209" s="32" t="str">
        <f>'A) Base RI'!B211</f>
        <v>L'Abergement</v>
      </c>
      <c r="C209" s="95">
        <f>'A) Base RI'!V211</f>
        <v>244</v>
      </c>
      <c r="D209" s="110">
        <f>'D) Ecrêtage'!E209</f>
        <v>29.247234708201074</v>
      </c>
      <c r="E209" s="34">
        <f t="shared" si="15"/>
        <v>16.753350962139368</v>
      </c>
      <c r="F209" s="276">
        <f t="shared" si="16"/>
        <v>89400.571672245074</v>
      </c>
      <c r="G209" s="33">
        <f>+'A) Base RI'!U211</f>
        <v>81</v>
      </c>
      <c r="H209" s="277">
        <f t="shared" si="17"/>
        <v>1.1844978253762204</v>
      </c>
      <c r="I209" s="55">
        <f t="shared" si="18"/>
        <v>105894.78273316522</v>
      </c>
    </row>
    <row r="210" spans="1:9" x14ac:dyDescent="0.25">
      <c r="A210" s="49">
        <f>'A) Base RI'!A212</f>
        <v>5742</v>
      </c>
      <c r="B210" s="32" t="str">
        <f>'A) Base RI'!B212</f>
        <v>Agiez</v>
      </c>
      <c r="C210" s="95">
        <f>'A) Base RI'!V212</f>
        <v>354</v>
      </c>
      <c r="D210" s="110">
        <f>'D) Ecrêtage'!E210</f>
        <v>25.458552442445164</v>
      </c>
      <c r="E210" s="34">
        <f t="shared" si="15"/>
        <v>20.542033227895278</v>
      </c>
      <c r="F210" s="276">
        <f t="shared" si="16"/>
        <v>149218.97273008953</v>
      </c>
      <c r="G210" s="33">
        <f>+'A) Base RI'!U212</f>
        <v>76</v>
      </c>
      <c r="H210" s="277">
        <f t="shared" si="17"/>
        <v>1.1113806756616389</v>
      </c>
      <c r="I210" s="55">
        <f t="shared" si="18"/>
        <v>165839.08273430256</v>
      </c>
    </row>
    <row r="211" spans="1:9" x14ac:dyDescent="0.25">
      <c r="A211" s="49">
        <f>'A) Base RI'!A213</f>
        <v>5743</v>
      </c>
      <c r="B211" s="32" t="str">
        <f>'A) Base RI'!B213</f>
        <v>Arnex-sur-Orbe</v>
      </c>
      <c r="C211" s="95">
        <f>'A) Base RI'!V213</f>
        <v>633</v>
      </c>
      <c r="D211" s="110">
        <f>'D) Ecrêtage'!E211</f>
        <v>29.992640075940976</v>
      </c>
      <c r="E211" s="34">
        <f t="shared" si="15"/>
        <v>16.007945594399466</v>
      </c>
      <c r="F211" s="276">
        <f t="shared" si="16"/>
        <v>199722.01265233333</v>
      </c>
      <c r="G211" s="33">
        <f>+'A) Base RI'!U213</f>
        <v>73</v>
      </c>
      <c r="H211" s="277">
        <f t="shared" si="17"/>
        <v>1.06751038583289</v>
      </c>
      <c r="I211" s="55">
        <f t="shared" si="18"/>
        <v>213205.32278581371</v>
      </c>
    </row>
    <row r="212" spans="1:9" x14ac:dyDescent="0.25">
      <c r="A212" s="49">
        <f>'A) Base RI'!A214</f>
        <v>5744</v>
      </c>
      <c r="B212" s="32" t="str">
        <f>'A) Base RI'!B214</f>
        <v>Ballaigues</v>
      </c>
      <c r="C212" s="95">
        <f>'A) Base RI'!V214</f>
        <v>1108</v>
      </c>
      <c r="D212" s="110">
        <f>'D) Ecrêtage'!E212</f>
        <v>54.019150423355939</v>
      </c>
      <c r="E212" s="34">
        <f t="shared" si="15"/>
        <v>0</v>
      </c>
      <c r="F212" s="276">
        <f t="shared" si="16"/>
        <v>0</v>
      </c>
      <c r="G212" s="33">
        <f>+'A) Base RI'!U214</f>
        <v>66</v>
      </c>
      <c r="H212" s="277">
        <f t="shared" si="17"/>
        <v>0.9651463762324759</v>
      </c>
      <c r="I212" s="55">
        <f t="shared" si="18"/>
        <v>0</v>
      </c>
    </row>
    <row r="213" spans="1:9" x14ac:dyDescent="0.25">
      <c r="A213" s="49">
        <f>'A) Base RI'!A215</f>
        <v>5745</v>
      </c>
      <c r="B213" s="32" t="str">
        <f>'A) Base RI'!B215</f>
        <v>Baulmes</v>
      </c>
      <c r="C213" s="95">
        <f>'A) Base RI'!V215</f>
        <v>1042</v>
      </c>
      <c r="D213" s="110">
        <f>'D) Ecrêtage'!E213</f>
        <v>26.572387040613648</v>
      </c>
      <c r="E213" s="34">
        <f t="shared" si="15"/>
        <v>19.428198629726793</v>
      </c>
      <c r="F213" s="276">
        <f t="shared" si="16"/>
        <v>426342.49339401227</v>
      </c>
      <c r="G213" s="33">
        <f>+'A) Base RI'!U215</f>
        <v>78</v>
      </c>
      <c r="H213" s="277">
        <f t="shared" si="17"/>
        <v>1.1406275355474715</v>
      </c>
      <c r="I213" s="55">
        <f t="shared" si="18"/>
        <v>486297.98753917636</v>
      </c>
    </row>
    <row r="214" spans="1:9" x14ac:dyDescent="0.25">
      <c r="A214" s="49">
        <f>'A) Base RI'!A216</f>
        <v>5746</v>
      </c>
      <c r="B214" s="32" t="str">
        <f>'A) Base RI'!B216</f>
        <v>Bavois</v>
      </c>
      <c r="C214" s="95">
        <f>'A) Base RI'!V216</f>
        <v>952</v>
      </c>
      <c r="D214" s="110">
        <f>'D) Ecrêtage'!E214</f>
        <v>27.531580783607435</v>
      </c>
      <c r="E214" s="34">
        <f t="shared" si="15"/>
        <v>18.469004886733007</v>
      </c>
      <c r="F214" s="276">
        <f t="shared" si="16"/>
        <v>346550.93017426721</v>
      </c>
      <c r="G214" s="33">
        <f>+'A) Base RI'!U216</f>
        <v>73</v>
      </c>
      <c r="H214" s="277">
        <f t="shared" si="17"/>
        <v>1.06751038583289</v>
      </c>
      <c r="I214" s="55">
        <f t="shared" si="18"/>
        <v>369946.71718107892</v>
      </c>
    </row>
    <row r="215" spans="1:9" x14ac:dyDescent="0.25">
      <c r="A215" s="49">
        <f>'A) Base RI'!A217</f>
        <v>5747</v>
      </c>
      <c r="B215" s="32" t="str">
        <f>'A) Base RI'!B217</f>
        <v>Bofflens</v>
      </c>
      <c r="C215" s="95">
        <f>'A) Base RI'!V217</f>
        <v>194</v>
      </c>
      <c r="D215" s="110">
        <f>'D) Ecrêtage'!E215</f>
        <v>30.509319741669248</v>
      </c>
      <c r="E215" s="34">
        <f t="shared" si="15"/>
        <v>15.491265928671194</v>
      </c>
      <c r="F215" s="276">
        <f t="shared" si="16"/>
        <v>55988.843144722006</v>
      </c>
      <c r="G215" s="33">
        <f>+'A) Base RI'!U217</f>
        <v>69</v>
      </c>
      <c r="H215" s="277">
        <f t="shared" si="17"/>
        <v>1.0090166660612248</v>
      </c>
      <c r="I215" s="55">
        <f t="shared" si="18"/>
        <v>56493.675846512255</v>
      </c>
    </row>
    <row r="216" spans="1:9" x14ac:dyDescent="0.25">
      <c r="A216" s="49">
        <f>'A) Base RI'!A218</f>
        <v>5748</v>
      </c>
      <c r="B216" s="32" t="str">
        <f>'A) Base RI'!B218</f>
        <v>Bretonnières</v>
      </c>
      <c r="C216" s="95">
        <f>'A) Base RI'!V218</f>
        <v>269</v>
      </c>
      <c r="D216" s="110">
        <f>'D) Ecrêtage'!E216</f>
        <v>27.174123451851258</v>
      </c>
      <c r="E216" s="34">
        <f t="shared" si="15"/>
        <v>18.826462218489183</v>
      </c>
      <c r="F216" s="276">
        <f t="shared" si="16"/>
        <v>98450.348466878597</v>
      </c>
      <c r="G216" s="33">
        <f>+'A) Base RI'!U218</f>
        <v>72</v>
      </c>
      <c r="H216" s="277">
        <f t="shared" si="17"/>
        <v>1.0528869558899736</v>
      </c>
      <c r="I216" s="55">
        <f t="shared" si="18"/>
        <v>103657.08770359894</v>
      </c>
    </row>
    <row r="217" spans="1:9" x14ac:dyDescent="0.25">
      <c r="A217" s="49">
        <f>'A) Base RI'!A219</f>
        <v>5749</v>
      </c>
      <c r="B217" s="32" t="str">
        <f>'A) Base RI'!B219</f>
        <v>Chavornay</v>
      </c>
      <c r="C217" s="95">
        <f>'A) Base RI'!V219</f>
        <v>5135</v>
      </c>
      <c r="D217" s="110">
        <f>'D) Ecrêtage'!E217</f>
        <v>25.791106886979254</v>
      </c>
      <c r="E217" s="34">
        <f t="shared" si="15"/>
        <v>20.209478783361188</v>
      </c>
      <c r="F217" s="276">
        <f t="shared" si="16"/>
        <v>2017399.0938617608</v>
      </c>
      <c r="G217" s="33">
        <f>+'A) Base RI'!U219</f>
        <v>72</v>
      </c>
      <c r="H217" s="277">
        <f t="shared" si="17"/>
        <v>1.0528869558899736</v>
      </c>
      <c r="I217" s="55">
        <f t="shared" si="18"/>
        <v>2124093.1907513007</v>
      </c>
    </row>
    <row r="218" spans="1:9" x14ac:dyDescent="0.25">
      <c r="A218" s="49">
        <f>'A) Base RI'!A220</f>
        <v>5750</v>
      </c>
      <c r="B218" s="32" t="str">
        <f>'A) Base RI'!B220</f>
        <v>Les Clées</v>
      </c>
      <c r="C218" s="95">
        <f>'A) Base RI'!V220</f>
        <v>185</v>
      </c>
      <c r="D218" s="110">
        <f>'D) Ecrêtage'!E218</f>
        <v>27.273556875929934</v>
      </c>
      <c r="E218" s="34">
        <f t="shared" si="15"/>
        <v>18.727028794410508</v>
      </c>
      <c r="F218" s="276">
        <f t="shared" si="16"/>
        <v>74833.207062464397</v>
      </c>
      <c r="G218" s="33">
        <f>+'A) Base RI'!U220</f>
        <v>80</v>
      </c>
      <c r="H218" s="277">
        <f t="shared" si="17"/>
        <v>1.1698743954333042</v>
      </c>
      <c r="I218" s="55">
        <f t="shared" si="18"/>
        <v>87545.45287053581</v>
      </c>
    </row>
    <row r="219" spans="1:9" x14ac:dyDescent="0.25">
      <c r="A219" s="49">
        <f>'A) Base RI'!A221</f>
        <v>5752</v>
      </c>
      <c r="B219" s="32" t="str">
        <f>'A) Base RI'!B221</f>
        <v>Croy</v>
      </c>
      <c r="C219" s="95">
        <f>'A) Base RI'!V221</f>
        <v>403</v>
      </c>
      <c r="D219" s="110">
        <f>'D) Ecrêtage'!E219</f>
        <v>24.090246594160959</v>
      </c>
      <c r="E219" s="34">
        <f t="shared" si="15"/>
        <v>21.910339076179483</v>
      </c>
      <c r="F219" s="276">
        <f t="shared" si="16"/>
        <v>176420.73562105265</v>
      </c>
      <c r="G219" s="33">
        <f>+'A) Base RI'!U221</f>
        <v>74</v>
      </c>
      <c r="H219" s="277">
        <f t="shared" si="17"/>
        <v>1.0821338157758063</v>
      </c>
      <c r="I219" s="55">
        <f t="shared" si="18"/>
        <v>190910.84381958441</v>
      </c>
    </row>
    <row r="220" spans="1:9" x14ac:dyDescent="0.25">
      <c r="A220" s="49">
        <f>'A) Base RI'!A222</f>
        <v>5754</v>
      </c>
      <c r="B220" s="32" t="str">
        <f>'A) Base RI'!B222</f>
        <v>Juriens</v>
      </c>
      <c r="C220" s="95">
        <f>'A) Base RI'!V222</f>
        <v>328</v>
      </c>
      <c r="D220" s="110">
        <f>'D) Ecrêtage'!E220</f>
        <v>28.158705690062789</v>
      </c>
      <c r="E220" s="34">
        <f t="shared" si="15"/>
        <v>17.841879980277653</v>
      </c>
      <c r="F220" s="276">
        <f t="shared" si="16"/>
        <v>124826.07439321774</v>
      </c>
      <c r="G220" s="33">
        <f>+'A) Base RI'!U222</f>
        <v>79</v>
      </c>
      <c r="H220" s="277">
        <f t="shared" si="17"/>
        <v>1.1552509654903877</v>
      </c>
      <c r="I220" s="55">
        <f t="shared" si="18"/>
        <v>144205.44296113978</v>
      </c>
    </row>
    <row r="221" spans="1:9" x14ac:dyDescent="0.25">
      <c r="A221" s="49">
        <f>'A) Base RI'!A223</f>
        <v>5755</v>
      </c>
      <c r="B221" s="32" t="str">
        <f>'A) Base RI'!B223</f>
        <v>Lignerolle</v>
      </c>
      <c r="C221" s="95">
        <f>'A) Base RI'!V223</f>
        <v>437</v>
      </c>
      <c r="D221" s="110">
        <f>'D) Ecrêtage'!E221</f>
        <v>22.459492682069897</v>
      </c>
      <c r="E221" s="34">
        <f t="shared" si="15"/>
        <v>23.541092988270545</v>
      </c>
      <c r="F221" s="276">
        <f t="shared" si="16"/>
        <v>222209.08493488334</v>
      </c>
      <c r="G221" s="33">
        <f>+'A) Base RI'!U223</f>
        <v>80</v>
      </c>
      <c r="H221" s="277">
        <f t="shared" si="17"/>
        <v>1.1698743954333042</v>
      </c>
      <c r="I221" s="55">
        <f t="shared" si="18"/>
        <v>259956.71889798439</v>
      </c>
    </row>
    <row r="222" spans="1:9" x14ac:dyDescent="0.25">
      <c r="A222" s="49">
        <f>'A) Base RI'!A224</f>
        <v>5756</v>
      </c>
      <c r="B222" s="32" t="str">
        <f>'A) Base RI'!B224</f>
        <v>Montcherand</v>
      </c>
      <c r="C222" s="95">
        <f>'A) Base RI'!V224</f>
        <v>505</v>
      </c>
      <c r="D222" s="110">
        <f>'D) Ecrêtage'!E222</f>
        <v>32.168614411441141</v>
      </c>
      <c r="E222" s="34">
        <f t="shared" si="15"/>
        <v>13.831971258899301</v>
      </c>
      <c r="F222" s="276">
        <f t="shared" si="16"/>
        <v>135791.22824286623</v>
      </c>
      <c r="G222" s="33">
        <f>+'A) Base RI'!U224</f>
        <v>72</v>
      </c>
      <c r="H222" s="277">
        <f t="shared" si="17"/>
        <v>1.0528869558899736</v>
      </c>
      <c r="I222" s="55">
        <f t="shared" si="18"/>
        <v>142972.81294119204</v>
      </c>
    </row>
    <row r="223" spans="1:9" x14ac:dyDescent="0.25">
      <c r="A223" s="49">
        <f>'A) Base RI'!A225</f>
        <v>5757</v>
      </c>
      <c r="B223" s="32" t="str">
        <f>'A) Base RI'!B225</f>
        <v>Orbe</v>
      </c>
      <c r="C223" s="95">
        <f>'A) Base RI'!V225</f>
        <v>7030</v>
      </c>
      <c r="D223" s="110">
        <f>'D) Ecrêtage'!E223</f>
        <v>28.643864756979497</v>
      </c>
      <c r="E223" s="34">
        <f t="shared" si="15"/>
        <v>17.356720913360945</v>
      </c>
      <c r="F223" s="276">
        <f t="shared" si="16"/>
        <v>2536748.9813550822</v>
      </c>
      <c r="G223" s="33">
        <f>+'A) Base RI'!U225</f>
        <v>77</v>
      </c>
      <c r="H223" s="277">
        <f t="shared" si="17"/>
        <v>1.1260041056045551</v>
      </c>
      <c r="I223" s="55">
        <f t="shared" si="18"/>
        <v>2856389.7678939956</v>
      </c>
    </row>
    <row r="224" spans="1:9" x14ac:dyDescent="0.25">
      <c r="A224" s="49">
        <f>'A) Base RI'!A226</f>
        <v>5758</v>
      </c>
      <c r="B224" s="32" t="str">
        <f>'A) Base RI'!B226</f>
        <v>La Praz</v>
      </c>
      <c r="C224" s="95">
        <f>'A) Base RI'!V226</f>
        <v>165</v>
      </c>
      <c r="D224" s="110">
        <f>'D) Ecrêtage'!E224</f>
        <v>27.38401339759185</v>
      </c>
      <c r="E224" s="34">
        <f t="shared" si="15"/>
        <v>18.616572272748591</v>
      </c>
      <c r="F224" s="276">
        <f t="shared" si="16"/>
        <v>68837.56846432884</v>
      </c>
      <c r="G224" s="33">
        <f>+'A) Base RI'!U226</f>
        <v>83</v>
      </c>
      <c r="H224" s="277">
        <f t="shared" si="17"/>
        <v>1.213744685262053</v>
      </c>
      <c r="I224" s="55">
        <f t="shared" si="18"/>
        <v>83551.232869941843</v>
      </c>
    </row>
    <row r="225" spans="1:9" x14ac:dyDescent="0.25">
      <c r="A225" s="49">
        <f>'A) Base RI'!A227</f>
        <v>5759</v>
      </c>
      <c r="B225" s="32" t="str">
        <f>'A) Base RI'!B227</f>
        <v>Premier</v>
      </c>
      <c r="C225" s="95">
        <f>'A) Base RI'!V227</f>
        <v>215</v>
      </c>
      <c r="D225" s="110">
        <f>'D) Ecrêtage'!E225</f>
        <v>24.53085109496644</v>
      </c>
      <c r="E225" s="34">
        <f t="shared" si="15"/>
        <v>21.469734575374002</v>
      </c>
      <c r="F225" s="276">
        <f t="shared" si="16"/>
        <v>100951.76546013734</v>
      </c>
      <c r="G225" s="33">
        <f>+'A) Base RI'!U227</f>
        <v>81</v>
      </c>
      <c r="H225" s="277">
        <f t="shared" si="17"/>
        <v>1.1844978253762204</v>
      </c>
      <c r="I225" s="55">
        <f t="shared" si="18"/>
        <v>119577.14665542291</v>
      </c>
    </row>
    <row r="226" spans="1:9" x14ac:dyDescent="0.25">
      <c r="A226" s="49">
        <f>'A) Base RI'!A228</f>
        <v>5760</v>
      </c>
      <c r="B226" s="32" t="str">
        <f>'A) Base RI'!B228</f>
        <v>Rances</v>
      </c>
      <c r="C226" s="95">
        <f>'A) Base RI'!V228</f>
        <v>505</v>
      </c>
      <c r="D226" s="110">
        <f>'D) Ecrêtage'!E226</f>
        <v>24.503463993157951</v>
      </c>
      <c r="E226" s="34">
        <f t="shared" si="15"/>
        <v>21.497121677182491</v>
      </c>
      <c r="F226" s="276">
        <f t="shared" si="16"/>
        <v>228628.33817333897</v>
      </c>
      <c r="G226" s="33">
        <f>+'A) Base RI'!U228</f>
        <v>78</v>
      </c>
      <c r="H226" s="277">
        <f t="shared" si="17"/>
        <v>1.1406275355474715</v>
      </c>
      <c r="I226" s="55">
        <f t="shared" si="18"/>
        <v>260779.77792696955</v>
      </c>
    </row>
    <row r="227" spans="1:9" x14ac:dyDescent="0.25">
      <c r="A227" s="49">
        <f>'A) Base RI'!A229</f>
        <v>5761</v>
      </c>
      <c r="B227" s="32" t="str">
        <f>'A) Base RI'!B229</f>
        <v>Romainmôtier-Envy</v>
      </c>
      <c r="C227" s="95">
        <f>'A) Base RI'!V229</f>
        <v>535</v>
      </c>
      <c r="D227" s="110">
        <f>'D) Ecrêtage'!E227</f>
        <v>22.976546076528198</v>
      </c>
      <c r="E227" s="34">
        <f t="shared" si="15"/>
        <v>23.024039593812244</v>
      </c>
      <c r="F227" s="276">
        <f t="shared" si="16"/>
        <v>269391.62406542047</v>
      </c>
      <c r="G227" s="33">
        <f>+'A) Base RI'!U229</f>
        <v>81</v>
      </c>
      <c r="H227" s="277">
        <f t="shared" si="17"/>
        <v>1.1844978253762204</v>
      </c>
      <c r="I227" s="55">
        <f t="shared" si="18"/>
        <v>319093.79288005881</v>
      </c>
    </row>
    <row r="228" spans="1:9" x14ac:dyDescent="0.25">
      <c r="A228" s="49">
        <f>'A) Base RI'!A230</f>
        <v>5762</v>
      </c>
      <c r="B228" s="32" t="str">
        <f>'A) Base RI'!B230</f>
        <v>Sergey</v>
      </c>
      <c r="C228" s="95">
        <f>'A) Base RI'!V230</f>
        <v>145</v>
      </c>
      <c r="D228" s="110">
        <f>'D) Ecrêtage'!E228</f>
        <v>27.556967786065655</v>
      </c>
      <c r="E228" s="34">
        <f t="shared" si="15"/>
        <v>18.443617884274786</v>
      </c>
      <c r="F228" s="276">
        <f t="shared" si="16"/>
        <v>56321.275933209923</v>
      </c>
      <c r="G228" s="33">
        <f>+'A) Base RI'!U230</f>
        <v>78</v>
      </c>
      <c r="H228" s="277">
        <f t="shared" si="17"/>
        <v>1.1406275355474715</v>
      </c>
      <c r="I228" s="55">
        <f t="shared" si="18"/>
        <v>64241.598166586358</v>
      </c>
    </row>
    <row r="229" spans="1:9" x14ac:dyDescent="0.25">
      <c r="A229" s="49">
        <f>'A) Base RI'!A231</f>
        <v>5763</v>
      </c>
      <c r="B229" s="32" t="str">
        <f>'A) Base RI'!B231</f>
        <v>Valeyres-sous-Rances</v>
      </c>
      <c r="C229" s="95">
        <f>'A) Base RI'!V231</f>
        <v>620</v>
      </c>
      <c r="D229" s="110">
        <f>'D) Ecrêtage'!E229</f>
        <v>35.392583033284964</v>
      </c>
      <c r="E229" s="34">
        <f t="shared" si="15"/>
        <v>10.608002637055478</v>
      </c>
      <c r="F229" s="276">
        <f t="shared" si="16"/>
        <v>120753.01561812994</v>
      </c>
      <c r="G229" s="33">
        <f>+'A) Base RI'!U231</f>
        <v>68</v>
      </c>
      <c r="H229" s="277">
        <f t="shared" si="17"/>
        <v>0.99439323611830854</v>
      </c>
      <c r="I229" s="55">
        <f t="shared" si="18"/>
        <v>120075.98197155689</v>
      </c>
    </row>
    <row r="230" spans="1:9" x14ac:dyDescent="0.25">
      <c r="A230" s="49">
        <f>'A) Base RI'!A232</f>
        <v>5764</v>
      </c>
      <c r="B230" s="32" t="str">
        <f>'A) Base RI'!B232</f>
        <v>Vallorbe</v>
      </c>
      <c r="C230" s="95">
        <f>'A) Base RI'!V232</f>
        <v>3857</v>
      </c>
      <c r="D230" s="110">
        <f>'D) Ecrêtage'!E230</f>
        <v>22.709120634154644</v>
      </c>
      <c r="E230" s="34">
        <f t="shared" si="15"/>
        <v>23.291465036185798</v>
      </c>
      <c r="F230" s="276">
        <f t="shared" si="16"/>
        <v>1770651.4105044475</v>
      </c>
      <c r="G230" s="33">
        <f>+'A) Base RI'!U232</f>
        <v>73</v>
      </c>
      <c r="H230" s="277">
        <f t="shared" si="17"/>
        <v>1.06751038583289</v>
      </c>
      <c r="I230" s="55">
        <f t="shared" si="18"/>
        <v>1890188.7704031537</v>
      </c>
    </row>
    <row r="231" spans="1:9" x14ac:dyDescent="0.25">
      <c r="A231" s="49">
        <f>'A) Base RI'!A233</f>
        <v>5765</v>
      </c>
      <c r="B231" s="32" t="str">
        <f>'A) Base RI'!B233</f>
        <v>Vaulion</v>
      </c>
      <c r="C231" s="95">
        <f>'A) Base RI'!V233</f>
        <v>496</v>
      </c>
      <c r="D231" s="110">
        <f>'D) Ecrêtage'!E231</f>
        <v>24.101123607169249</v>
      </c>
      <c r="E231" s="34">
        <f t="shared" si="15"/>
        <v>21.899462063171192</v>
      </c>
      <c r="F231" s="276">
        <f t="shared" si="16"/>
        <v>237554.85271949079</v>
      </c>
      <c r="G231" s="33">
        <f>+'A) Base RI'!U233</f>
        <v>81</v>
      </c>
      <c r="H231" s="277">
        <f t="shared" si="17"/>
        <v>1.1844978253762204</v>
      </c>
      <c r="I231" s="55">
        <f t="shared" si="18"/>
        <v>281383.20645380515</v>
      </c>
    </row>
    <row r="232" spans="1:9" x14ac:dyDescent="0.25">
      <c r="A232" s="49">
        <f>'A) Base RI'!A234</f>
        <v>5766</v>
      </c>
      <c r="B232" s="32" t="str">
        <f>'A) Base RI'!B234</f>
        <v>Vuiteboeuf</v>
      </c>
      <c r="C232" s="95">
        <f>'A) Base RI'!V234</f>
        <v>576</v>
      </c>
      <c r="D232" s="110">
        <f>'D) Ecrêtage'!E232</f>
        <v>24.210517932729104</v>
      </c>
      <c r="E232" s="34">
        <f t="shared" si="15"/>
        <v>21.790067737611338</v>
      </c>
      <c r="F232" s="276">
        <f t="shared" si="16"/>
        <v>260936.9327606053</v>
      </c>
      <c r="G232" s="33">
        <f>+'A) Base RI'!U234</f>
        <v>77</v>
      </c>
      <c r="H232" s="277">
        <f t="shared" si="17"/>
        <v>1.1260041056045551</v>
      </c>
      <c r="I232" s="55">
        <f t="shared" si="18"/>
        <v>293816.05759230128</v>
      </c>
    </row>
    <row r="233" spans="1:9" x14ac:dyDescent="0.25">
      <c r="A233" s="49">
        <f>'A) Base RI'!A235</f>
        <v>5785</v>
      </c>
      <c r="B233" s="32" t="str">
        <f>'A) Base RI'!B235</f>
        <v>Corcelles-le-Jorat</v>
      </c>
      <c r="C233" s="95">
        <f>'A) Base RI'!V235</f>
        <v>458</v>
      </c>
      <c r="D233" s="110">
        <f>'D) Ecrêtage'!E233</f>
        <v>37.0088637796608</v>
      </c>
      <c r="E233" s="34">
        <f t="shared" si="15"/>
        <v>8.9917218906796421</v>
      </c>
      <c r="F233" s="276">
        <f t="shared" si="16"/>
        <v>85617.557333111239</v>
      </c>
      <c r="G233" s="33">
        <f>+'A) Base RI'!U235</f>
        <v>77</v>
      </c>
      <c r="H233" s="277">
        <f t="shared" si="17"/>
        <v>1.1260041056045551</v>
      </c>
      <c r="I233" s="55">
        <f t="shared" si="18"/>
        <v>96405.721068916639</v>
      </c>
    </row>
    <row r="234" spans="1:9" x14ac:dyDescent="0.25">
      <c r="A234" s="49">
        <f>'A) Base RI'!A236</f>
        <v>5788</v>
      </c>
      <c r="B234" s="32" t="str">
        <f>'A) Base RI'!B236</f>
        <v>Essertes</v>
      </c>
      <c r="C234" s="95">
        <f>'A) Base RI'!V236</f>
        <v>380</v>
      </c>
      <c r="D234" s="110">
        <f>'D) Ecrêtage'!E234</f>
        <v>32.520139242700964</v>
      </c>
      <c r="E234" s="34">
        <f t="shared" si="15"/>
        <v>13.480446427639478</v>
      </c>
      <c r="F234" s="276">
        <f t="shared" si="16"/>
        <v>99582.753850258363</v>
      </c>
      <c r="G234" s="33">
        <f>+'A) Base RI'!U236</f>
        <v>72</v>
      </c>
      <c r="H234" s="277">
        <f t="shared" si="17"/>
        <v>1.0528869558899736</v>
      </c>
      <c r="I234" s="55">
        <f t="shared" si="18"/>
        <v>104849.38256053907</v>
      </c>
    </row>
    <row r="235" spans="1:9" x14ac:dyDescent="0.25">
      <c r="A235" s="49">
        <f>'A) Base RI'!A237</f>
        <v>5790</v>
      </c>
      <c r="B235" s="32" t="str">
        <f>'A) Base RI'!B237</f>
        <v>Maracon</v>
      </c>
      <c r="C235" s="95">
        <f>'A) Base RI'!V237</f>
        <v>538</v>
      </c>
      <c r="D235" s="110">
        <f>'D) Ecrêtage'!E235</f>
        <v>26.825653519349508</v>
      </c>
      <c r="E235" s="34">
        <f t="shared" si="15"/>
        <v>19.174932150990934</v>
      </c>
      <c r="F235" s="276">
        <f t="shared" si="16"/>
        <v>211686.64896322368</v>
      </c>
      <c r="G235" s="33">
        <f>+'A) Base RI'!U237</f>
        <v>76</v>
      </c>
      <c r="H235" s="277">
        <f t="shared" si="17"/>
        <v>1.1113806756616389</v>
      </c>
      <c r="I235" s="55">
        <f t="shared" si="18"/>
        <v>235264.45095329569</v>
      </c>
    </row>
    <row r="236" spans="1:9" x14ac:dyDescent="0.25">
      <c r="A236" s="49">
        <f>'A) Base RI'!A238</f>
        <v>5792</v>
      </c>
      <c r="B236" s="32" t="str">
        <f>'A) Base RI'!B238</f>
        <v>Montpreveyres</v>
      </c>
      <c r="C236" s="95">
        <f>'A) Base RI'!V238</f>
        <v>657</v>
      </c>
      <c r="D236" s="110">
        <f>'D) Ecrêtage'!E236</f>
        <v>30.744198772298748</v>
      </c>
      <c r="E236" s="34">
        <f t="shared" si="15"/>
        <v>15.256386898041693</v>
      </c>
      <c r="F236" s="276">
        <f t="shared" si="16"/>
        <v>208387.44633195846</v>
      </c>
      <c r="G236" s="33">
        <f>+'A) Base RI'!U238</f>
        <v>77</v>
      </c>
      <c r="H236" s="277">
        <f t="shared" si="17"/>
        <v>1.1260041056045551</v>
      </c>
      <c r="I236" s="55">
        <f t="shared" si="18"/>
        <v>234645.12012623411</v>
      </c>
    </row>
    <row r="237" spans="1:9" x14ac:dyDescent="0.25">
      <c r="A237" s="49">
        <f>'A) Base RI'!A239</f>
        <v>5798</v>
      </c>
      <c r="B237" s="32" t="str">
        <f>'A) Base RI'!B239</f>
        <v>Ropraz</v>
      </c>
      <c r="C237" s="95">
        <f>'A) Base RI'!V239</f>
        <v>488</v>
      </c>
      <c r="D237" s="110">
        <f>'D) Ecrêtage'!E237</f>
        <v>29.425844797240746</v>
      </c>
      <c r="E237" s="34">
        <f t="shared" si="15"/>
        <v>16.574740873099696</v>
      </c>
      <c r="F237" s="276">
        <f t="shared" si="16"/>
        <v>169251.30895157024</v>
      </c>
      <c r="G237" s="33">
        <f>+'A) Base RI'!U239</f>
        <v>77.5</v>
      </c>
      <c r="H237" s="277">
        <f t="shared" si="17"/>
        <v>1.1333158205760134</v>
      </c>
      <c r="I237" s="55">
        <f t="shared" si="18"/>
        <v>191815.1860880132</v>
      </c>
    </row>
    <row r="238" spans="1:9" x14ac:dyDescent="0.25">
      <c r="A238" s="49">
        <f>'A) Base RI'!A240</f>
        <v>5799</v>
      </c>
      <c r="B238" s="32" t="str">
        <f>'A) Base RI'!B240</f>
        <v>Servion</v>
      </c>
      <c r="C238" s="95">
        <f>'A) Base RI'!V240</f>
        <v>1997</v>
      </c>
      <c r="D238" s="110">
        <f>'D) Ecrêtage'!E238</f>
        <v>35.549264694142671</v>
      </c>
      <c r="E238" s="34">
        <f t="shared" si="15"/>
        <v>10.451320976197771</v>
      </c>
      <c r="F238" s="276">
        <f t="shared" si="16"/>
        <v>388832.09524376929</v>
      </c>
      <c r="G238" s="33">
        <f>+'A) Base RI'!U240</f>
        <v>69</v>
      </c>
      <c r="H238" s="277">
        <f t="shared" si="17"/>
        <v>1.0090166660612248</v>
      </c>
      <c r="I238" s="55">
        <f t="shared" si="18"/>
        <v>392338.06440046872</v>
      </c>
    </row>
    <row r="239" spans="1:9" x14ac:dyDescent="0.25">
      <c r="A239" s="49">
        <f>'A) Base RI'!A241</f>
        <v>5803</v>
      </c>
      <c r="B239" s="32" t="str">
        <f>'A) Base RI'!B241</f>
        <v>Vulliens</v>
      </c>
      <c r="C239" s="95">
        <f>'A) Base RI'!V241</f>
        <v>614</v>
      </c>
      <c r="D239" s="110">
        <f>'D) Ecrêtage'!E239</f>
        <v>28.403329574876818</v>
      </c>
      <c r="E239" s="34">
        <f t="shared" si="15"/>
        <v>17.597256095463624</v>
      </c>
      <c r="F239" s="276">
        <f t="shared" si="16"/>
        <v>227547.30300946487</v>
      </c>
      <c r="G239" s="33">
        <f>+'A) Base RI'!U241</f>
        <v>78</v>
      </c>
      <c r="H239" s="277">
        <f t="shared" si="17"/>
        <v>1.1406275355474715</v>
      </c>
      <c r="I239" s="55">
        <f t="shared" si="18"/>
        <v>259546.71945215968</v>
      </c>
    </row>
    <row r="240" spans="1:9" x14ac:dyDescent="0.25">
      <c r="A240" s="49">
        <f>'A) Base RI'!A242</f>
        <v>5804</v>
      </c>
      <c r="B240" s="32" t="str">
        <f>'A) Base RI'!B242</f>
        <v>Jorat-Menthue</v>
      </c>
      <c r="C240" s="95">
        <f>'A) Base RI'!V242</f>
        <v>1591</v>
      </c>
      <c r="D240" s="110">
        <f>'D) Ecrêtage'!E240</f>
        <v>27.798049699604721</v>
      </c>
      <c r="E240" s="34">
        <f t="shared" si="15"/>
        <v>18.20253597073572</v>
      </c>
      <c r="F240" s="276">
        <f t="shared" si="16"/>
        <v>562986.96314032399</v>
      </c>
      <c r="G240" s="33">
        <f>+'A) Base RI'!U242</f>
        <v>72</v>
      </c>
      <c r="H240" s="277">
        <f t="shared" si="17"/>
        <v>1.0528869558899736</v>
      </c>
      <c r="I240" s="55">
        <f t="shared" si="18"/>
        <v>592761.62982655654</v>
      </c>
    </row>
    <row r="241" spans="1:9" x14ac:dyDescent="0.25">
      <c r="A241" s="49">
        <f>'A) Base RI'!A243</f>
        <v>5805</v>
      </c>
      <c r="B241" s="32" t="str">
        <f>'A) Base RI'!B243</f>
        <v>Oron</v>
      </c>
      <c r="C241" s="95">
        <f>'A) Base RI'!V243</f>
        <v>5669</v>
      </c>
      <c r="D241" s="110">
        <f>'D) Ecrêtage'!E241</f>
        <v>27.83017052628562</v>
      </c>
      <c r="E241" s="34">
        <f t="shared" si="15"/>
        <v>18.170415144054822</v>
      </c>
      <c r="F241" s="276">
        <f t="shared" si="16"/>
        <v>1919040.5947041798</v>
      </c>
      <c r="G241" s="33">
        <f>+'A) Base RI'!U243</f>
        <v>69</v>
      </c>
      <c r="H241" s="277">
        <f t="shared" si="17"/>
        <v>1.0090166660612248</v>
      </c>
      <c r="I241" s="55">
        <f t="shared" si="18"/>
        <v>1936343.9429045615</v>
      </c>
    </row>
    <row r="242" spans="1:9" x14ac:dyDescent="0.25">
      <c r="A242" s="49">
        <f>'A) Base RI'!A244</f>
        <v>5806</v>
      </c>
      <c r="B242" s="32" t="str">
        <f>'A) Base RI'!B244</f>
        <v>Jorat-Mézières</v>
      </c>
      <c r="C242" s="95">
        <f>'A) Base RI'!V244</f>
        <v>2949</v>
      </c>
      <c r="D242" s="110">
        <f>'D) Ecrêtage'!E242</f>
        <v>31.139329644731905</v>
      </c>
      <c r="E242" s="34">
        <f t="shared" si="15"/>
        <v>14.861256025608537</v>
      </c>
      <c r="F242" s="276">
        <f t="shared" si="16"/>
        <v>899306.31928054162</v>
      </c>
      <c r="G242" s="33">
        <f>+'A) Base RI'!U244</f>
        <v>76</v>
      </c>
      <c r="H242" s="277">
        <f t="shared" si="17"/>
        <v>1.1113806756616389</v>
      </c>
      <c r="I242" s="55">
        <f t="shared" si="18"/>
        <v>999471.66474878986</v>
      </c>
    </row>
    <row r="243" spans="1:9" x14ac:dyDescent="0.25">
      <c r="A243" s="49">
        <f>'A) Base RI'!A245</f>
        <v>5812</v>
      </c>
      <c r="B243" s="32" t="str">
        <f>'A) Base RI'!B245</f>
        <v>Champtauroz</v>
      </c>
      <c r="C243" s="95">
        <f>'A) Base RI'!V245</f>
        <v>130</v>
      </c>
      <c r="D243" s="110">
        <f>'D) Ecrêtage'!E243</f>
        <v>28.54351934796853</v>
      </c>
      <c r="E243" s="34">
        <f t="shared" si="15"/>
        <v>17.457066322371912</v>
      </c>
      <c r="F243" s="276">
        <f t="shared" si="16"/>
        <v>47181.21314947457</v>
      </c>
      <c r="G243" s="33">
        <f>+'A) Base RI'!U245</f>
        <v>77</v>
      </c>
      <c r="H243" s="277">
        <f t="shared" si="17"/>
        <v>1.1260041056045551</v>
      </c>
      <c r="I243" s="55">
        <f t="shared" si="18"/>
        <v>53126.239713711984</v>
      </c>
    </row>
    <row r="244" spans="1:9" x14ac:dyDescent="0.25">
      <c r="A244" s="49">
        <f>'A) Base RI'!A246</f>
        <v>5813</v>
      </c>
      <c r="B244" s="32" t="str">
        <f>'A) Base RI'!B246</f>
        <v>Chevroux</v>
      </c>
      <c r="C244" s="95">
        <f>'A) Base RI'!V246</f>
        <v>492</v>
      </c>
      <c r="D244" s="110">
        <f>'D) Ecrêtage'!E244</f>
        <v>29.898263269815097</v>
      </c>
      <c r="E244" s="34">
        <f t="shared" si="15"/>
        <v>16.102322400525345</v>
      </c>
      <c r="F244" s="276">
        <f t="shared" si="16"/>
        <v>149732.27553800508</v>
      </c>
      <c r="G244" s="33">
        <f>+'A) Base RI'!U246</f>
        <v>70</v>
      </c>
      <c r="H244" s="277">
        <f t="shared" si="17"/>
        <v>1.0236400960041412</v>
      </c>
      <c r="I244" s="55">
        <f t="shared" si="18"/>
        <v>153271.96090664205</v>
      </c>
    </row>
    <row r="245" spans="1:9" x14ac:dyDescent="0.25">
      <c r="A245" s="49">
        <f>'A) Base RI'!A247</f>
        <v>5816</v>
      </c>
      <c r="B245" s="32" t="str">
        <f>'A) Base RI'!B247</f>
        <v>Corcelles-près-Payerne</v>
      </c>
      <c r="C245" s="95">
        <f>'A) Base RI'!V247</f>
        <v>2571</v>
      </c>
      <c r="D245" s="110">
        <f>'D) Ecrêtage'!E245</f>
        <v>23.498499665690414</v>
      </c>
      <c r="E245" s="34">
        <f t="shared" si="15"/>
        <v>22.502086004650028</v>
      </c>
      <c r="F245" s="276">
        <f t="shared" si="16"/>
        <v>1093419.112929354</v>
      </c>
      <c r="G245" s="33">
        <f>+'A) Base RI'!U247</f>
        <v>70</v>
      </c>
      <c r="H245" s="277">
        <f t="shared" si="17"/>
        <v>1.0236400960041412</v>
      </c>
      <c r="I245" s="55">
        <f t="shared" si="18"/>
        <v>1119267.6457317667</v>
      </c>
    </row>
    <row r="246" spans="1:9" x14ac:dyDescent="0.25">
      <c r="A246" s="49">
        <f>'A) Base RI'!A248</f>
        <v>5817</v>
      </c>
      <c r="B246" s="32" t="str">
        <f>'A) Base RI'!B248</f>
        <v>Grandcour</v>
      </c>
      <c r="C246" s="95">
        <f>'A) Base RI'!V248</f>
        <v>953</v>
      </c>
      <c r="D246" s="110">
        <f>'D) Ecrêtage'!E246</f>
        <v>22.884543703459553</v>
      </c>
      <c r="E246" s="34">
        <f t="shared" si="15"/>
        <v>23.116041966880889</v>
      </c>
      <c r="F246" s="276">
        <f t="shared" si="16"/>
        <v>457995.13440435537</v>
      </c>
      <c r="G246" s="33">
        <f>+'A) Base RI'!U248</f>
        <v>77</v>
      </c>
      <c r="H246" s="277">
        <f t="shared" si="17"/>
        <v>1.1260041056045551</v>
      </c>
      <c r="I246" s="55">
        <f t="shared" si="18"/>
        <v>515704.40168621414</v>
      </c>
    </row>
    <row r="247" spans="1:9" x14ac:dyDescent="0.25">
      <c r="A247" s="49">
        <f>'A) Base RI'!A249</f>
        <v>5819</v>
      </c>
      <c r="B247" s="32" t="str">
        <f>'A) Base RI'!B249</f>
        <v>Henniez</v>
      </c>
      <c r="C247" s="95">
        <f>'A) Base RI'!V249</f>
        <v>376</v>
      </c>
      <c r="D247" s="110">
        <f>'D) Ecrêtage'!E247</f>
        <v>31.587220184126249</v>
      </c>
      <c r="E247" s="34">
        <f t="shared" si="15"/>
        <v>14.413365486214193</v>
      </c>
      <c r="F247" s="276">
        <f t="shared" si="16"/>
        <v>100963.89562707208</v>
      </c>
      <c r="G247" s="33">
        <f>+'A) Base RI'!U249</f>
        <v>69</v>
      </c>
      <c r="H247" s="277">
        <f t="shared" si="17"/>
        <v>1.0090166660612248</v>
      </c>
      <c r="I247" s="55">
        <f t="shared" si="18"/>
        <v>101874.25335818174</v>
      </c>
    </row>
    <row r="248" spans="1:9" x14ac:dyDescent="0.25">
      <c r="A248" s="49">
        <f>'A) Base RI'!A250</f>
        <v>5821</v>
      </c>
      <c r="B248" s="32" t="str">
        <f>'A) Base RI'!B250</f>
        <v>Missy</v>
      </c>
      <c r="C248" s="95">
        <f>'A) Base RI'!V250</f>
        <v>362</v>
      </c>
      <c r="D248" s="110">
        <f>'D) Ecrêtage'!E248</f>
        <v>23.062556783302643</v>
      </c>
      <c r="E248" s="34">
        <f t="shared" si="15"/>
        <v>22.938028887037799</v>
      </c>
      <c r="F248" s="276">
        <f t="shared" si="16"/>
        <v>161421.33192617336</v>
      </c>
      <c r="G248" s="33">
        <f>+'A) Base RI'!U250</f>
        <v>72</v>
      </c>
      <c r="H248" s="277">
        <f t="shared" si="17"/>
        <v>1.0528869558899736</v>
      </c>
      <c r="I248" s="55">
        <f t="shared" si="18"/>
        <v>169958.41478745369</v>
      </c>
    </row>
    <row r="249" spans="1:9" x14ac:dyDescent="0.25">
      <c r="A249" s="49">
        <f>'A) Base RI'!A251</f>
        <v>5822</v>
      </c>
      <c r="B249" s="32" t="str">
        <f>'A) Base RI'!B251</f>
        <v>Payerne</v>
      </c>
      <c r="C249" s="95">
        <f>'A) Base RI'!V251</f>
        <v>10072</v>
      </c>
      <c r="D249" s="110">
        <f>'D) Ecrêtage'!E249</f>
        <v>24.189738787350159</v>
      </c>
      <c r="E249" s="34">
        <f t="shared" si="15"/>
        <v>21.810846882990283</v>
      </c>
      <c r="F249" s="276">
        <f t="shared" si="16"/>
        <v>4448496.7085609324</v>
      </c>
      <c r="G249" s="33">
        <f>+'A) Base RI'!U251</f>
        <v>75</v>
      </c>
      <c r="H249" s="277">
        <f t="shared" si="17"/>
        <v>1.0967572457187227</v>
      </c>
      <c r="I249" s="55">
        <f t="shared" si="18"/>
        <v>4878920.9976700917</v>
      </c>
    </row>
    <row r="250" spans="1:9" x14ac:dyDescent="0.25">
      <c r="A250" s="49">
        <f>'A) Base RI'!A252</f>
        <v>5827</v>
      </c>
      <c r="B250" s="32" t="str">
        <f>'A) Base RI'!B252</f>
        <v>Trey</v>
      </c>
      <c r="C250" s="95">
        <f>'A) Base RI'!V252</f>
        <v>285</v>
      </c>
      <c r="D250" s="110">
        <f>'D) Ecrêtage'!E250</f>
        <v>23.717124264026236</v>
      </c>
      <c r="E250" s="34">
        <f t="shared" si="15"/>
        <v>22.283461406314206</v>
      </c>
      <c r="F250" s="276">
        <f t="shared" si="16"/>
        <v>137176.98841727027</v>
      </c>
      <c r="G250" s="33">
        <f>+'A) Base RI'!U252</f>
        <v>80</v>
      </c>
      <c r="H250" s="277">
        <f t="shared" si="17"/>
        <v>1.1698743954333042</v>
      </c>
      <c r="I250" s="55">
        <f t="shared" si="18"/>
        <v>160479.84639201543</v>
      </c>
    </row>
    <row r="251" spans="1:9" x14ac:dyDescent="0.25">
      <c r="A251" s="49">
        <f>'A) Base RI'!A253</f>
        <v>5828</v>
      </c>
      <c r="B251" s="32" t="str">
        <f>'A) Base RI'!B253</f>
        <v>Treytorrens (Payerne)</v>
      </c>
      <c r="C251" s="95">
        <f>'A) Base RI'!V253</f>
        <v>111</v>
      </c>
      <c r="D251" s="110">
        <f>'D) Ecrêtage'!E251</f>
        <v>21.828960031460038</v>
      </c>
      <c r="E251" s="34">
        <f t="shared" si="15"/>
        <v>24.171625638880403</v>
      </c>
      <c r="F251" s="276">
        <f t="shared" si="16"/>
        <v>60851.584113368641</v>
      </c>
      <c r="G251" s="33">
        <f>+'A) Base RI'!U253</f>
        <v>84</v>
      </c>
      <c r="H251" s="277">
        <f t="shared" si="17"/>
        <v>1.2283681152049692</v>
      </c>
      <c r="I251" s="55">
        <f t="shared" si="18"/>
        <v>74748.145684575284</v>
      </c>
    </row>
    <row r="252" spans="1:9" x14ac:dyDescent="0.25">
      <c r="A252" s="49">
        <f>'A) Base RI'!A254</f>
        <v>5830</v>
      </c>
      <c r="B252" s="32" t="str">
        <f>'A) Base RI'!B254</f>
        <v>Villarzel</v>
      </c>
      <c r="C252" s="95">
        <f>'A) Base RI'!V254</f>
        <v>451</v>
      </c>
      <c r="D252" s="110">
        <f>'D) Ecrêtage'!E252</f>
        <v>30.295365386806594</v>
      </c>
      <c r="E252" s="34">
        <f t="shared" si="15"/>
        <v>15.705220283533848</v>
      </c>
      <c r="F252" s="276">
        <f t="shared" si="16"/>
        <v>147256.69989229558</v>
      </c>
      <c r="G252" s="33">
        <f>+'A) Base RI'!U254</f>
        <v>77</v>
      </c>
      <c r="H252" s="277">
        <f t="shared" si="17"/>
        <v>1.1260041056045551</v>
      </c>
      <c r="I252" s="55">
        <f t="shared" si="18"/>
        <v>165811.64865650269</v>
      </c>
    </row>
    <row r="253" spans="1:9" x14ac:dyDescent="0.25">
      <c r="A253" s="49">
        <f>'A) Base RI'!A255</f>
        <v>5831</v>
      </c>
      <c r="B253" s="32" t="str">
        <f>'A) Base RI'!B255</f>
        <v>Valbroye</v>
      </c>
      <c r="C253" s="95">
        <f>'A) Base RI'!V255</f>
        <v>3296</v>
      </c>
      <c r="D253" s="110">
        <f>'D) Ecrêtage'!E253</f>
        <v>27.444420452925467</v>
      </c>
      <c r="E253" s="34">
        <f t="shared" si="15"/>
        <v>18.556165217414975</v>
      </c>
      <c r="F253" s="276">
        <f t="shared" si="16"/>
        <v>1205485.6861705813</v>
      </c>
      <c r="G253" s="33">
        <f>+'A) Base RI'!U255</f>
        <v>73</v>
      </c>
      <c r="H253" s="277">
        <f t="shared" si="17"/>
        <v>1.06751038583289</v>
      </c>
      <c r="I253" s="55">
        <f t="shared" si="18"/>
        <v>1286868.4899599834</v>
      </c>
    </row>
    <row r="254" spans="1:9" x14ac:dyDescent="0.25">
      <c r="A254" s="49">
        <f>'A) Base RI'!A256</f>
        <v>5841</v>
      </c>
      <c r="B254" s="32" t="str">
        <f>'A) Base RI'!B256</f>
        <v>Château-d'Oex</v>
      </c>
      <c r="C254" s="95">
        <f>'A) Base RI'!V256</f>
        <v>3468</v>
      </c>
      <c r="D254" s="110">
        <f>'D) Ecrêtage'!E254</f>
        <v>34.134563890153167</v>
      </c>
      <c r="E254" s="34">
        <f t="shared" si="15"/>
        <v>11.866021780187275</v>
      </c>
      <c r="F254" s="276">
        <f t="shared" si="16"/>
        <v>922202.05678998097</v>
      </c>
      <c r="G254" s="33">
        <f>+'A) Base RI'!U256</f>
        <v>83</v>
      </c>
      <c r="H254" s="277">
        <f t="shared" si="17"/>
        <v>1.213744685262053</v>
      </c>
      <c r="I254" s="55">
        <f t="shared" si="18"/>
        <v>1119317.8451665733</v>
      </c>
    </row>
    <row r="255" spans="1:9" x14ac:dyDescent="0.25">
      <c r="A255" s="49">
        <f>'A) Base RI'!A257</f>
        <v>5842</v>
      </c>
      <c r="B255" s="32" t="str">
        <f>'A) Base RI'!B257</f>
        <v>Rossinière</v>
      </c>
      <c r="C255" s="95">
        <f>'A) Base RI'!V257</f>
        <v>548</v>
      </c>
      <c r="D255" s="110">
        <f>'D) Ecrêtage'!E255</f>
        <v>25.125179598911146</v>
      </c>
      <c r="E255" s="34">
        <f t="shared" si="15"/>
        <v>20.875406071429296</v>
      </c>
      <c r="F255" s="276">
        <f t="shared" si="16"/>
        <v>250186.73166862302</v>
      </c>
      <c r="G255" s="33">
        <f>+'A) Base RI'!U257</f>
        <v>81</v>
      </c>
      <c r="H255" s="277">
        <f t="shared" si="17"/>
        <v>1.1844978253762204</v>
      </c>
      <c r="I255" s="55">
        <f t="shared" si="18"/>
        <v>296345.63959946792</v>
      </c>
    </row>
    <row r="256" spans="1:9" x14ac:dyDescent="0.25">
      <c r="A256" s="49">
        <f>'A) Base RI'!A258</f>
        <v>5843</v>
      </c>
      <c r="B256" s="32" t="str">
        <f>'A) Base RI'!B258</f>
        <v>Rougemont</v>
      </c>
      <c r="C256" s="95">
        <f>'A) Base RI'!V258</f>
        <v>858</v>
      </c>
      <c r="D256" s="110">
        <f>'D) Ecrêtage'!E256</f>
        <v>100.11665196098731</v>
      </c>
      <c r="E256" s="34">
        <f t="shared" si="15"/>
        <v>0</v>
      </c>
      <c r="F256" s="276">
        <f t="shared" si="16"/>
        <v>0</v>
      </c>
      <c r="G256" s="33">
        <f>+'A) Base RI'!U258</f>
        <v>74</v>
      </c>
      <c r="H256" s="277">
        <f t="shared" si="17"/>
        <v>1.0821338157758063</v>
      </c>
      <c r="I256" s="55">
        <f t="shared" si="18"/>
        <v>0</v>
      </c>
    </row>
    <row r="257" spans="1:9" x14ac:dyDescent="0.25">
      <c r="A257" s="49">
        <f>'A) Base RI'!A259</f>
        <v>5851</v>
      </c>
      <c r="B257" s="32" t="str">
        <f>'A) Base RI'!B259</f>
        <v>Allaman</v>
      </c>
      <c r="C257" s="95">
        <f>'A) Base RI'!V259</f>
        <v>451</v>
      </c>
      <c r="D257" s="110">
        <f>'D) Ecrêtage'!E257</f>
        <v>51.553557018730714</v>
      </c>
      <c r="E257" s="34">
        <f t="shared" si="15"/>
        <v>0</v>
      </c>
      <c r="F257" s="276">
        <f t="shared" si="16"/>
        <v>0</v>
      </c>
      <c r="G257" s="33">
        <f>+'A) Base RI'!U259</f>
        <v>62</v>
      </c>
      <c r="H257" s="277">
        <f t="shared" si="17"/>
        <v>0.90665265646081072</v>
      </c>
      <c r="I257" s="55">
        <f t="shared" si="18"/>
        <v>0</v>
      </c>
    </row>
    <row r="258" spans="1:9" x14ac:dyDescent="0.25">
      <c r="A258" s="49">
        <f>'A) Base RI'!A260</f>
        <v>5852</v>
      </c>
      <c r="B258" s="32" t="str">
        <f>'A) Base RI'!B260</f>
        <v>Bursinel</v>
      </c>
      <c r="C258" s="95">
        <f>'A) Base RI'!V260</f>
        <v>473</v>
      </c>
      <c r="D258" s="110">
        <f>'D) Ecrêtage'!E258</f>
        <v>83.887606794484498</v>
      </c>
      <c r="E258" s="34">
        <f t="shared" si="15"/>
        <v>0</v>
      </c>
      <c r="F258" s="276">
        <f t="shared" si="16"/>
        <v>0</v>
      </c>
      <c r="G258" s="33">
        <f>+'A) Base RI'!U260</f>
        <v>65.5</v>
      </c>
      <c r="H258" s="277">
        <f t="shared" si="17"/>
        <v>0.95783466126101768</v>
      </c>
      <c r="I258" s="55">
        <f t="shared" si="18"/>
        <v>0</v>
      </c>
    </row>
    <row r="259" spans="1:9" x14ac:dyDescent="0.25">
      <c r="A259" s="49">
        <f>'A) Base RI'!A261</f>
        <v>5853</v>
      </c>
      <c r="B259" s="32" t="str">
        <f>'A) Base RI'!B261</f>
        <v>Bursins</v>
      </c>
      <c r="C259" s="95">
        <f>'A) Base RI'!V261</f>
        <v>782</v>
      </c>
      <c r="D259" s="110">
        <f>'D) Ecrêtage'!E259</f>
        <v>46.373493628393256</v>
      </c>
      <c r="E259" s="34">
        <f t="shared" si="15"/>
        <v>0</v>
      </c>
      <c r="F259" s="276">
        <f t="shared" si="16"/>
        <v>0</v>
      </c>
      <c r="G259" s="33">
        <f>+'A) Base RI'!U261</f>
        <v>71</v>
      </c>
      <c r="H259" s="277">
        <f t="shared" si="17"/>
        <v>1.0382635259470574</v>
      </c>
      <c r="I259" s="55">
        <f t="shared" si="18"/>
        <v>0</v>
      </c>
    </row>
    <row r="260" spans="1:9" x14ac:dyDescent="0.25">
      <c r="A260" s="49">
        <f>'A) Base RI'!A262</f>
        <v>5854</v>
      </c>
      <c r="B260" s="32" t="str">
        <f>'A) Base RI'!B262</f>
        <v>Burtigny</v>
      </c>
      <c r="C260" s="95">
        <f>'A) Base RI'!V262</f>
        <v>390</v>
      </c>
      <c r="D260" s="110">
        <f>'D) Ecrêtage'!E260</f>
        <v>28.301054700854703</v>
      </c>
      <c r="E260" s="34">
        <f t="shared" si="15"/>
        <v>17.699530969485739</v>
      </c>
      <c r="F260" s="276">
        <f t="shared" si="16"/>
        <v>149100.84888694788</v>
      </c>
      <c r="G260" s="33">
        <f>+'A) Base RI'!U262</f>
        <v>80</v>
      </c>
      <c r="H260" s="277">
        <f t="shared" si="17"/>
        <v>1.1698743954333042</v>
      </c>
      <c r="I260" s="55">
        <f t="shared" si="18"/>
        <v>174429.2654502106</v>
      </c>
    </row>
    <row r="261" spans="1:9" x14ac:dyDescent="0.25">
      <c r="A261" s="49">
        <f>'A) Base RI'!A263</f>
        <v>5855</v>
      </c>
      <c r="B261" s="32" t="str">
        <f>'A) Base RI'!B263</f>
        <v>Dully</v>
      </c>
      <c r="C261" s="95">
        <f>'A) Base RI'!V263</f>
        <v>639</v>
      </c>
      <c r="D261" s="110">
        <f>'D) Ecrêtage'!E261</f>
        <v>124.55058452893996</v>
      </c>
      <c r="E261" s="34">
        <f t="shared" ref="E261:E312" si="19">IF($D$313-D261&lt;0,0,$D$313-D261)</f>
        <v>0</v>
      </c>
      <c r="F261" s="276">
        <f t="shared" ref="F261:F312" si="20">(C261*E261*G261)*$E$4</f>
        <v>0</v>
      </c>
      <c r="G261" s="33">
        <f>+'A) Base RI'!U263</f>
        <v>49</v>
      </c>
      <c r="H261" s="277">
        <f t="shared" ref="H261:H312" si="21">G261/$G$313</f>
        <v>0.71654806720289876</v>
      </c>
      <c r="I261" s="55">
        <f t="shared" ref="I261:I312" si="22">F261*H261</f>
        <v>0</v>
      </c>
    </row>
    <row r="262" spans="1:9" x14ac:dyDescent="0.25">
      <c r="A262" s="49">
        <f>'A) Base RI'!A264</f>
        <v>5856</v>
      </c>
      <c r="B262" s="32" t="str">
        <f>'A) Base RI'!B264</f>
        <v>Essertines-sur-Rolle</v>
      </c>
      <c r="C262" s="95">
        <f>'A) Base RI'!V264</f>
        <v>722</v>
      </c>
      <c r="D262" s="110">
        <f>'D) Ecrêtage'!E262</f>
        <v>50.571587626304279</v>
      </c>
      <c r="E262" s="34">
        <f t="shared" si="19"/>
        <v>0</v>
      </c>
      <c r="F262" s="276">
        <f t="shared" si="20"/>
        <v>0</v>
      </c>
      <c r="G262" s="33">
        <f>+'A) Base RI'!U264</f>
        <v>68</v>
      </c>
      <c r="H262" s="277">
        <f t="shared" si="21"/>
        <v>0.99439323611830854</v>
      </c>
      <c r="I262" s="55">
        <f t="shared" si="22"/>
        <v>0</v>
      </c>
    </row>
    <row r="263" spans="1:9" x14ac:dyDescent="0.25">
      <c r="A263" s="49">
        <f>'A) Base RI'!A265</f>
        <v>5857</v>
      </c>
      <c r="B263" s="32" t="str">
        <f>'A) Base RI'!B265</f>
        <v>Gilly</v>
      </c>
      <c r="C263" s="95">
        <f>'A) Base RI'!V265</f>
        <v>1370</v>
      </c>
      <c r="D263" s="110">
        <f>'D) Ecrêtage'!E263</f>
        <v>62.368724430100237</v>
      </c>
      <c r="E263" s="34">
        <f t="shared" si="19"/>
        <v>0</v>
      </c>
      <c r="F263" s="276">
        <f t="shared" si="20"/>
        <v>0</v>
      </c>
      <c r="G263" s="33">
        <f>+'A) Base RI'!U265</f>
        <v>66</v>
      </c>
      <c r="H263" s="277">
        <f t="shared" si="21"/>
        <v>0.9651463762324759</v>
      </c>
      <c r="I263" s="55">
        <f t="shared" si="22"/>
        <v>0</v>
      </c>
    </row>
    <row r="264" spans="1:9" x14ac:dyDescent="0.25">
      <c r="A264" s="49">
        <f>'A) Base RI'!A266</f>
        <v>5858</v>
      </c>
      <c r="B264" s="32" t="str">
        <f>'A) Base RI'!B266</f>
        <v>Luins</v>
      </c>
      <c r="C264" s="95">
        <f>'A) Base RI'!V266</f>
        <v>621</v>
      </c>
      <c r="D264" s="110">
        <f>'D) Ecrêtage'!E264</f>
        <v>75.17972860803053</v>
      </c>
      <c r="E264" s="34">
        <f t="shared" si="19"/>
        <v>0</v>
      </c>
      <c r="F264" s="276">
        <f t="shared" si="20"/>
        <v>0</v>
      </c>
      <c r="G264" s="33">
        <f>+'A) Base RI'!U266</f>
        <v>60</v>
      </c>
      <c r="H264" s="277">
        <f t="shared" si="21"/>
        <v>0.87740579657497808</v>
      </c>
      <c r="I264" s="55">
        <f t="shared" si="22"/>
        <v>0</v>
      </c>
    </row>
    <row r="265" spans="1:9" x14ac:dyDescent="0.25">
      <c r="A265" s="49">
        <f>'A) Base RI'!A267</f>
        <v>5859</v>
      </c>
      <c r="B265" s="32" t="str">
        <f>'A) Base RI'!B267</f>
        <v>Mont-sur-Rolle</v>
      </c>
      <c r="C265" s="95">
        <f>'A) Base RI'!V267</f>
        <v>2677</v>
      </c>
      <c r="D265" s="110">
        <f>'D) Ecrêtage'!E265</f>
        <v>50.935272992590157</v>
      </c>
      <c r="E265" s="34">
        <f t="shared" si="19"/>
        <v>0</v>
      </c>
      <c r="F265" s="276">
        <f t="shared" si="20"/>
        <v>0</v>
      </c>
      <c r="G265" s="33">
        <f>+'A) Base RI'!U267</f>
        <v>65</v>
      </c>
      <c r="H265" s="277">
        <f t="shared" si="21"/>
        <v>0.95052294628955958</v>
      </c>
      <c r="I265" s="55">
        <f t="shared" si="22"/>
        <v>0</v>
      </c>
    </row>
    <row r="266" spans="1:9" x14ac:dyDescent="0.25">
      <c r="A266" s="49">
        <f>'A) Base RI'!A268</f>
        <v>5860</v>
      </c>
      <c r="B266" s="32" t="str">
        <f>'A) Base RI'!B268</f>
        <v>Perroy</v>
      </c>
      <c r="C266" s="95">
        <f>'A) Base RI'!V268</f>
        <v>1497</v>
      </c>
      <c r="D266" s="110">
        <f>'D) Ecrêtage'!E266</f>
        <v>68.563362718856183</v>
      </c>
      <c r="E266" s="34">
        <f t="shared" si="19"/>
        <v>0</v>
      </c>
      <c r="F266" s="276">
        <f t="shared" si="20"/>
        <v>0</v>
      </c>
      <c r="G266" s="33">
        <f>+'A) Base RI'!U268</f>
        <v>60</v>
      </c>
      <c r="H266" s="277">
        <f t="shared" si="21"/>
        <v>0.87740579657497808</v>
      </c>
      <c r="I266" s="55">
        <f t="shared" si="22"/>
        <v>0</v>
      </c>
    </row>
    <row r="267" spans="1:9" x14ac:dyDescent="0.25">
      <c r="A267" s="49">
        <f>'A) Base RI'!A269</f>
        <v>5861</v>
      </c>
      <c r="B267" s="32" t="str">
        <f>'A) Base RI'!B269</f>
        <v>Rolle</v>
      </c>
      <c r="C267" s="95">
        <f>'A) Base RI'!V269</f>
        <v>6245</v>
      </c>
      <c r="D267" s="110">
        <f>'D) Ecrêtage'!E267</f>
        <v>86.834479629588159</v>
      </c>
      <c r="E267" s="34">
        <f t="shared" si="19"/>
        <v>0</v>
      </c>
      <c r="F267" s="276">
        <f t="shared" si="20"/>
        <v>0</v>
      </c>
      <c r="G267" s="33">
        <f>+'A) Base RI'!U269</f>
        <v>59.5</v>
      </c>
      <c r="H267" s="277">
        <f t="shared" si="21"/>
        <v>0.87009408160351998</v>
      </c>
      <c r="I267" s="55">
        <f t="shared" si="22"/>
        <v>0</v>
      </c>
    </row>
    <row r="268" spans="1:9" x14ac:dyDescent="0.25">
      <c r="A268" s="49">
        <f>'A) Base RI'!A270</f>
        <v>5862</v>
      </c>
      <c r="B268" s="32" t="str">
        <f>'A) Base RI'!B270</f>
        <v>Tartegnin</v>
      </c>
      <c r="C268" s="95">
        <f>'A) Base RI'!V270</f>
        <v>233</v>
      </c>
      <c r="D268" s="110">
        <f>'D) Ecrêtage'!E268</f>
        <v>47.007964272662363</v>
      </c>
      <c r="E268" s="34">
        <f t="shared" si="19"/>
        <v>0</v>
      </c>
      <c r="F268" s="276">
        <f t="shared" si="20"/>
        <v>0</v>
      </c>
      <c r="G268" s="33">
        <f>+'A) Base RI'!U270</f>
        <v>81</v>
      </c>
      <c r="H268" s="277">
        <f t="shared" si="21"/>
        <v>1.1844978253762204</v>
      </c>
      <c r="I268" s="55">
        <f t="shared" si="22"/>
        <v>0</v>
      </c>
    </row>
    <row r="269" spans="1:9" x14ac:dyDescent="0.25">
      <c r="A269" s="49">
        <f>'A) Base RI'!A271</f>
        <v>5863</v>
      </c>
      <c r="B269" s="32" t="str">
        <f>'A) Base RI'!B271</f>
        <v>Vinzel</v>
      </c>
      <c r="C269" s="95">
        <f>'A) Base RI'!V271</f>
        <v>355</v>
      </c>
      <c r="D269" s="110">
        <f>'D) Ecrêtage'!E269</f>
        <v>50.291110745723422</v>
      </c>
      <c r="E269" s="34">
        <f t="shared" si="19"/>
        <v>0</v>
      </c>
      <c r="F269" s="276">
        <f t="shared" si="20"/>
        <v>0</v>
      </c>
      <c r="G269" s="33">
        <f>+'A) Base RI'!U271</f>
        <v>67</v>
      </c>
      <c r="H269" s="277">
        <f t="shared" si="21"/>
        <v>0.97976980617539222</v>
      </c>
      <c r="I269" s="55">
        <f t="shared" si="22"/>
        <v>0</v>
      </c>
    </row>
    <row r="270" spans="1:9" x14ac:dyDescent="0.25">
      <c r="A270" s="49">
        <f>'A) Base RI'!A272</f>
        <v>5871</v>
      </c>
      <c r="B270" s="32" t="str">
        <f>'A) Base RI'!B272</f>
        <v>L'Abbaye</v>
      </c>
      <c r="C270" s="95">
        <f>'A) Base RI'!V272</f>
        <v>1481</v>
      </c>
      <c r="D270" s="110">
        <f>'D) Ecrêtage'!E270</f>
        <v>31.335373277918382</v>
      </c>
      <c r="E270" s="34">
        <f t="shared" si="19"/>
        <v>14.66521239242206</v>
      </c>
      <c r="F270" s="276">
        <f t="shared" si="20"/>
        <v>455060.24999816593</v>
      </c>
      <c r="G270" s="33">
        <f>+'A) Base RI'!U272</f>
        <v>77.599999999999994</v>
      </c>
      <c r="H270" s="277">
        <f t="shared" si="21"/>
        <v>1.1347781635703049</v>
      </c>
      <c r="I270" s="55">
        <f t="shared" si="22"/>
        <v>516392.43480676261</v>
      </c>
    </row>
    <row r="271" spans="1:9" x14ac:dyDescent="0.25">
      <c r="A271" s="49">
        <f>'A) Base RI'!A273</f>
        <v>5872</v>
      </c>
      <c r="B271" s="32" t="str">
        <f>'A) Base RI'!B273</f>
        <v>Le Chenit</v>
      </c>
      <c r="C271" s="95">
        <f>'A) Base RI'!V273</f>
        <v>4657</v>
      </c>
      <c r="D271" s="110">
        <f>'D) Ecrêtage'!E271</f>
        <v>54.535187067152691</v>
      </c>
      <c r="E271" s="34">
        <f t="shared" si="19"/>
        <v>0</v>
      </c>
      <c r="F271" s="276">
        <f t="shared" si="20"/>
        <v>0</v>
      </c>
      <c r="G271" s="33">
        <f>+'A) Base RI'!U273</f>
        <v>68.39</v>
      </c>
      <c r="H271" s="277">
        <f t="shared" si="21"/>
        <v>1.0000963737960458</v>
      </c>
      <c r="I271" s="55">
        <f t="shared" si="22"/>
        <v>0</v>
      </c>
    </row>
    <row r="272" spans="1:9" x14ac:dyDescent="0.25">
      <c r="A272" s="49">
        <f>'A) Base RI'!A274</f>
        <v>5873</v>
      </c>
      <c r="B272" s="32" t="str">
        <f>'A) Base RI'!B274</f>
        <v>Le Lieu</v>
      </c>
      <c r="C272" s="95">
        <f>'A) Base RI'!V274</f>
        <v>900</v>
      </c>
      <c r="D272" s="110">
        <f>'D) Ecrêtage'!E272</f>
        <v>31.683940971388346</v>
      </c>
      <c r="E272" s="34">
        <f t="shared" si="19"/>
        <v>14.316644698952096</v>
      </c>
      <c r="F272" s="276">
        <f t="shared" si="20"/>
        <v>243526.12632917517</v>
      </c>
      <c r="G272" s="33">
        <f>+'A) Base RI'!U274</f>
        <v>70</v>
      </c>
      <c r="H272" s="277">
        <f t="shared" si="21"/>
        <v>1.0236400960041412</v>
      </c>
      <c r="I272" s="55">
        <f t="shared" si="22"/>
        <v>249283.10733511348</v>
      </c>
    </row>
    <row r="273" spans="1:9" x14ac:dyDescent="0.25">
      <c r="A273" s="49">
        <f>'A) Base RI'!A275</f>
        <v>5881</v>
      </c>
      <c r="B273" s="32" t="str">
        <f>'A) Base RI'!B275</f>
        <v>Blonay</v>
      </c>
      <c r="C273" s="95">
        <f>'A) Base RI'!V275</f>
        <v>6151</v>
      </c>
      <c r="D273" s="110">
        <f>'D) Ecrêtage'!E273</f>
        <v>57.729555080996398</v>
      </c>
      <c r="E273" s="34">
        <f t="shared" si="19"/>
        <v>0</v>
      </c>
      <c r="F273" s="276">
        <f t="shared" si="20"/>
        <v>0</v>
      </c>
      <c r="G273" s="33">
        <f>+'A) Base RI'!U275</f>
        <v>70</v>
      </c>
      <c r="H273" s="277">
        <f t="shared" si="21"/>
        <v>1.0236400960041412</v>
      </c>
      <c r="I273" s="55">
        <f t="shared" si="22"/>
        <v>0</v>
      </c>
    </row>
    <row r="274" spans="1:9" x14ac:dyDescent="0.25">
      <c r="A274" s="49">
        <f>'A) Base RI'!A276</f>
        <v>5882</v>
      </c>
      <c r="B274" s="32" t="str">
        <f>'A) Base RI'!B276</f>
        <v>Chardonne</v>
      </c>
      <c r="C274" s="95">
        <f>'A) Base RI'!V276</f>
        <v>3032</v>
      </c>
      <c r="D274" s="110">
        <f>'D) Ecrêtage'!E274</f>
        <v>60.707688597772545</v>
      </c>
      <c r="E274" s="34">
        <f t="shared" si="19"/>
        <v>0</v>
      </c>
      <c r="F274" s="276">
        <f t="shared" si="20"/>
        <v>0</v>
      </c>
      <c r="G274" s="33">
        <f>+'A) Base RI'!U276</f>
        <v>68</v>
      </c>
      <c r="H274" s="277">
        <f t="shared" si="21"/>
        <v>0.99439323611830854</v>
      </c>
      <c r="I274" s="55">
        <f t="shared" si="22"/>
        <v>0</v>
      </c>
    </row>
    <row r="275" spans="1:9" x14ac:dyDescent="0.25">
      <c r="A275" s="49">
        <f>'A) Base RI'!A277</f>
        <v>5883</v>
      </c>
      <c r="B275" s="32" t="str">
        <f>'A) Base RI'!B277</f>
        <v>Corseaux</v>
      </c>
      <c r="C275" s="95">
        <f>'A) Base RI'!V277</f>
        <v>2287</v>
      </c>
      <c r="D275" s="110">
        <f>'D) Ecrêtage'!E275</f>
        <v>71.907584411878545</v>
      </c>
      <c r="E275" s="34">
        <f t="shared" si="19"/>
        <v>0</v>
      </c>
      <c r="F275" s="276">
        <f t="shared" si="20"/>
        <v>0</v>
      </c>
      <c r="G275" s="33">
        <f>+'A) Base RI'!U277</f>
        <v>69</v>
      </c>
      <c r="H275" s="277">
        <f t="shared" si="21"/>
        <v>1.0090166660612248</v>
      </c>
      <c r="I275" s="55">
        <f t="shared" si="22"/>
        <v>0</v>
      </c>
    </row>
    <row r="276" spans="1:9" x14ac:dyDescent="0.25">
      <c r="A276" s="49">
        <f>'A) Base RI'!A278</f>
        <v>5884</v>
      </c>
      <c r="B276" s="32" t="str">
        <f>'A) Base RI'!B278</f>
        <v>Corsier-sur-Vevey</v>
      </c>
      <c r="C276" s="95">
        <f>'A) Base RI'!V278</f>
        <v>3363</v>
      </c>
      <c r="D276" s="110">
        <f>'D) Ecrêtage'!E276</f>
        <v>37.203785962682687</v>
      </c>
      <c r="E276" s="34">
        <f t="shared" si="19"/>
        <v>8.7967997076577547</v>
      </c>
      <c r="F276" s="276">
        <f t="shared" si="20"/>
        <v>527180.41876832093</v>
      </c>
      <c r="G276" s="33">
        <f>+'A) Base RI'!U278</f>
        <v>66</v>
      </c>
      <c r="H276" s="277">
        <f t="shared" si="21"/>
        <v>0.9651463762324759</v>
      </c>
      <c r="I276" s="55">
        <f t="shared" si="22"/>
        <v>508806.27079496405</v>
      </c>
    </row>
    <row r="277" spans="1:9" x14ac:dyDescent="0.25">
      <c r="A277" s="49">
        <f>'A) Base RI'!A279</f>
        <v>5885</v>
      </c>
      <c r="B277" s="32" t="str">
        <f>'A) Base RI'!B279</f>
        <v>Jongny</v>
      </c>
      <c r="C277" s="95">
        <f>'A) Base RI'!V279</f>
        <v>1544</v>
      </c>
      <c r="D277" s="110">
        <f>'D) Ecrêtage'!E277</f>
        <v>50.936481199372416</v>
      </c>
      <c r="E277" s="34">
        <f t="shared" si="19"/>
        <v>0</v>
      </c>
      <c r="F277" s="276">
        <f t="shared" si="20"/>
        <v>0</v>
      </c>
      <c r="G277" s="33">
        <f>+'A) Base RI'!U279</f>
        <v>71</v>
      </c>
      <c r="H277" s="277">
        <f t="shared" si="21"/>
        <v>1.0382635259470574</v>
      </c>
      <c r="I277" s="55">
        <f t="shared" si="22"/>
        <v>0</v>
      </c>
    </row>
    <row r="278" spans="1:9" x14ac:dyDescent="0.25">
      <c r="A278" s="49">
        <f>'A) Base RI'!A280</f>
        <v>5886</v>
      </c>
      <c r="B278" s="32" t="str">
        <f>'A) Base RI'!B280</f>
        <v>Montreux</v>
      </c>
      <c r="C278" s="95">
        <f>'A) Base RI'!V280</f>
        <v>26065</v>
      </c>
      <c r="D278" s="110">
        <f>'D) Ecrêtage'!E278</f>
        <v>43.497658917640216</v>
      </c>
      <c r="E278" s="34">
        <f t="shared" si="19"/>
        <v>2.5029267527002261</v>
      </c>
      <c r="F278" s="276">
        <f t="shared" si="20"/>
        <v>1144940.6909502561</v>
      </c>
      <c r="G278" s="33">
        <f>+'A) Base RI'!U280</f>
        <v>65</v>
      </c>
      <c r="H278" s="277">
        <f t="shared" si="21"/>
        <v>0.95052294628955958</v>
      </c>
      <c r="I278" s="55">
        <f t="shared" si="22"/>
        <v>1088292.3988888415</v>
      </c>
    </row>
    <row r="279" spans="1:9" x14ac:dyDescent="0.25">
      <c r="A279" s="49">
        <f>'A) Base RI'!A281</f>
        <v>5888</v>
      </c>
      <c r="B279" s="32" t="str">
        <f>'A) Base RI'!B281</f>
        <v>Saint-Légier-La Chiésaz</v>
      </c>
      <c r="C279" s="95">
        <f>'A) Base RI'!V281</f>
        <v>5243</v>
      </c>
      <c r="D279" s="110">
        <f>'D) Ecrêtage'!E279</f>
        <v>64.337299178002027</v>
      </c>
      <c r="E279" s="34">
        <f t="shared" si="19"/>
        <v>0</v>
      </c>
      <c r="F279" s="276">
        <f t="shared" si="20"/>
        <v>0</v>
      </c>
      <c r="G279" s="33">
        <f>+'A) Base RI'!U281</f>
        <v>70</v>
      </c>
      <c r="H279" s="277">
        <f t="shared" si="21"/>
        <v>1.0236400960041412</v>
      </c>
      <c r="I279" s="55">
        <f t="shared" si="22"/>
        <v>0</v>
      </c>
    </row>
    <row r="280" spans="1:9" x14ac:dyDescent="0.25">
      <c r="A280" s="49">
        <f>'A) Base RI'!A282</f>
        <v>5889</v>
      </c>
      <c r="B280" s="32" t="str">
        <f>'A) Base RI'!B282</f>
        <v>La Tour-de-Peilz</v>
      </c>
      <c r="C280" s="95">
        <f>'A) Base RI'!V282</f>
        <v>11906</v>
      </c>
      <c r="D280" s="110">
        <f>'D) Ecrêtage'!E280</f>
        <v>58.047072221739469</v>
      </c>
      <c r="E280" s="34">
        <f t="shared" si="19"/>
        <v>0</v>
      </c>
      <c r="F280" s="276">
        <f t="shared" si="20"/>
        <v>0</v>
      </c>
      <c r="G280" s="33">
        <f>+'A) Base RI'!U282</f>
        <v>64</v>
      </c>
      <c r="H280" s="277">
        <f t="shared" si="21"/>
        <v>0.93589951634664326</v>
      </c>
      <c r="I280" s="55">
        <f t="shared" si="22"/>
        <v>0</v>
      </c>
    </row>
    <row r="281" spans="1:9" x14ac:dyDescent="0.25">
      <c r="A281" s="49">
        <f>'A) Base RI'!A283</f>
        <v>5890</v>
      </c>
      <c r="B281" s="32" t="str">
        <f>'A) Base RI'!B283</f>
        <v>Vevey</v>
      </c>
      <c r="C281" s="95">
        <f>'A) Base RI'!V283</f>
        <v>19871</v>
      </c>
      <c r="D281" s="110">
        <f>'D) Ecrêtage'!E281</f>
        <v>48.561899656691537</v>
      </c>
      <c r="E281" s="34">
        <f t="shared" si="19"/>
        <v>0</v>
      </c>
      <c r="F281" s="276">
        <f t="shared" si="20"/>
        <v>0</v>
      </c>
      <c r="G281" s="33">
        <f>+'A) Base RI'!U283</f>
        <v>76</v>
      </c>
      <c r="H281" s="277">
        <f t="shared" si="21"/>
        <v>1.1113806756616389</v>
      </c>
      <c r="I281" s="55">
        <f t="shared" si="22"/>
        <v>0</v>
      </c>
    </row>
    <row r="282" spans="1:9" x14ac:dyDescent="0.25">
      <c r="A282" s="49">
        <f>'A) Base RI'!A284</f>
        <v>5891</v>
      </c>
      <c r="B282" s="32" t="str">
        <f>'A) Base RI'!B284</f>
        <v>Veytaux</v>
      </c>
      <c r="C282" s="95">
        <f>'A) Base RI'!V284</f>
        <v>922</v>
      </c>
      <c r="D282" s="110">
        <f>'D) Ecrêtage'!E282</f>
        <v>40.168675168999421</v>
      </c>
      <c r="E282" s="34">
        <f t="shared" si="19"/>
        <v>5.8319105013410208</v>
      </c>
      <c r="F282" s="276">
        <f t="shared" si="20"/>
        <v>103077.5018144722</v>
      </c>
      <c r="G282" s="33">
        <f>+'A) Base RI'!U284</f>
        <v>71</v>
      </c>
      <c r="H282" s="277">
        <f t="shared" si="21"/>
        <v>1.0382635259470574</v>
      </c>
      <c r="I282" s="55">
        <f t="shared" si="22"/>
        <v>107021.61047970811</v>
      </c>
    </row>
    <row r="283" spans="1:9" x14ac:dyDescent="0.25">
      <c r="A283" s="49">
        <f>'A) Base RI'!A285</f>
        <v>5902</v>
      </c>
      <c r="B283" s="32" t="str">
        <f>'A) Base RI'!B285</f>
        <v>Belmont-sur-Yverdon</v>
      </c>
      <c r="C283" s="95">
        <f>'A) Base RI'!V285</f>
        <v>374</v>
      </c>
      <c r="D283" s="110">
        <f>'D) Ecrêtage'!E283</f>
        <v>28.808690291777353</v>
      </c>
      <c r="E283" s="34">
        <f t="shared" si="19"/>
        <v>17.191895378563089</v>
      </c>
      <c r="F283" s="276">
        <f t="shared" si="20"/>
        <v>131938.85724487485</v>
      </c>
      <c r="G283" s="33">
        <f>+'A) Base RI'!U285</f>
        <v>76</v>
      </c>
      <c r="H283" s="277">
        <f t="shared" si="21"/>
        <v>1.1113806756616389</v>
      </c>
      <c r="I283" s="55">
        <f t="shared" si="22"/>
        <v>146634.29631083354</v>
      </c>
    </row>
    <row r="284" spans="1:9" x14ac:dyDescent="0.25">
      <c r="A284" s="49">
        <f>'A) Base RI'!A286</f>
        <v>5903</v>
      </c>
      <c r="B284" s="32" t="str">
        <f>'A) Base RI'!B286</f>
        <v>Bioley-Magnoux</v>
      </c>
      <c r="C284" s="95">
        <f>'A) Base RI'!V286</f>
        <v>228</v>
      </c>
      <c r="D284" s="110">
        <f>'D) Ecrêtage'!E284</f>
        <v>28.388735503641612</v>
      </c>
      <c r="E284" s="34">
        <f t="shared" si="19"/>
        <v>17.611850166698829</v>
      </c>
      <c r="F284" s="276">
        <f t="shared" si="20"/>
        <v>80229.726723386513</v>
      </c>
      <c r="G284" s="33">
        <f>+'A) Base RI'!U286</f>
        <v>74</v>
      </c>
      <c r="H284" s="277">
        <f t="shared" si="21"/>
        <v>1.0821338157758063</v>
      </c>
      <c r="I284" s="55">
        <f t="shared" si="22"/>
        <v>86819.300317828427</v>
      </c>
    </row>
    <row r="285" spans="1:9" x14ac:dyDescent="0.25">
      <c r="A285" s="49">
        <f>'A) Base RI'!A287</f>
        <v>5904</v>
      </c>
      <c r="B285" s="32" t="str">
        <f>'A) Base RI'!B287</f>
        <v>Chamblon</v>
      </c>
      <c r="C285" s="95">
        <f>'A) Base RI'!V287</f>
        <v>540</v>
      </c>
      <c r="D285" s="110">
        <f>'D) Ecrêtage'!E285</f>
        <v>40.683256067204958</v>
      </c>
      <c r="E285" s="34">
        <f t="shared" si="19"/>
        <v>5.3173296031354838</v>
      </c>
      <c r="F285" s="276">
        <f t="shared" si="20"/>
        <v>51167.599305052136</v>
      </c>
      <c r="G285" s="33">
        <f>+'A) Base RI'!U287</f>
        <v>66</v>
      </c>
      <c r="H285" s="277">
        <f t="shared" si="21"/>
        <v>0.9651463762324759</v>
      </c>
      <c r="I285" s="55">
        <f t="shared" si="22"/>
        <v>49384.223049786422</v>
      </c>
    </row>
    <row r="286" spans="1:9" x14ac:dyDescent="0.25">
      <c r="A286" s="49">
        <f>'A) Base RI'!A288</f>
        <v>5905</v>
      </c>
      <c r="B286" s="32" t="str">
        <f>'A) Base RI'!B288</f>
        <v>Champvent</v>
      </c>
      <c r="C286" s="95">
        <f>'A) Base RI'!V288</f>
        <v>689</v>
      </c>
      <c r="D286" s="110">
        <f>'D) Ecrêtage'!E286</f>
        <v>33.848727792414337</v>
      </c>
      <c r="E286" s="34">
        <f t="shared" si="19"/>
        <v>12.151857877926105</v>
      </c>
      <c r="F286" s="276">
        <f t="shared" si="20"/>
        <v>160503.31859317212</v>
      </c>
      <c r="G286" s="33">
        <f>+'A) Base RI'!U288</f>
        <v>71</v>
      </c>
      <c r="H286" s="277">
        <f t="shared" si="21"/>
        <v>1.0382635259470574</v>
      </c>
      <c r="I286" s="55">
        <f t="shared" si="22"/>
        <v>166644.74148875079</v>
      </c>
    </row>
    <row r="287" spans="1:9" x14ac:dyDescent="0.25">
      <c r="A287" s="49">
        <f>'A) Base RI'!A289</f>
        <v>5907</v>
      </c>
      <c r="B287" s="32" t="str">
        <f>'A) Base RI'!B289</f>
        <v>Chavannes-le-Chêne</v>
      </c>
      <c r="C287" s="95">
        <f>'A) Base RI'!V289</f>
        <v>311</v>
      </c>
      <c r="D287" s="110">
        <f>'D) Ecrêtage'!E287</f>
        <v>30.481118516189209</v>
      </c>
      <c r="E287" s="34">
        <f t="shared" si="19"/>
        <v>15.519467154151233</v>
      </c>
      <c r="F287" s="276">
        <f t="shared" si="20"/>
        <v>101647.23324085817</v>
      </c>
      <c r="G287" s="33">
        <f>+'A) Base RI'!U289</f>
        <v>78</v>
      </c>
      <c r="H287" s="277">
        <f t="shared" si="21"/>
        <v>1.1406275355474715</v>
      </c>
      <c r="I287" s="55">
        <f t="shared" si="22"/>
        <v>115941.63314673908</v>
      </c>
    </row>
    <row r="288" spans="1:9" x14ac:dyDescent="0.25">
      <c r="A288" s="49">
        <f>'A) Base RI'!A290</f>
        <v>5908</v>
      </c>
      <c r="B288" s="32" t="str">
        <f>'A) Base RI'!B290</f>
        <v>Chêne-Pâquier</v>
      </c>
      <c r="C288" s="95">
        <f>'A) Base RI'!V290</f>
        <v>153</v>
      </c>
      <c r="D288" s="110">
        <f>'D) Ecrêtage'!E288</f>
        <v>22.062233659974034</v>
      </c>
      <c r="E288" s="34">
        <f t="shared" si="19"/>
        <v>23.938352010366408</v>
      </c>
      <c r="F288" s="276">
        <f t="shared" si="20"/>
        <v>78122.572402310674</v>
      </c>
      <c r="G288" s="33">
        <f>+'A) Base RI'!U290</f>
        <v>79</v>
      </c>
      <c r="H288" s="277">
        <f t="shared" si="21"/>
        <v>1.1552509654903877</v>
      </c>
      <c r="I288" s="55">
        <f t="shared" si="22"/>
        <v>90251.177194362128</v>
      </c>
    </row>
    <row r="289" spans="1:9" x14ac:dyDescent="0.25">
      <c r="A289" s="49">
        <f>'A) Base RI'!A291</f>
        <v>5909</v>
      </c>
      <c r="B289" s="32" t="str">
        <f>'A) Base RI'!B291</f>
        <v>Cheseaux-Noréaz</v>
      </c>
      <c r="C289" s="95">
        <f>'A) Base RI'!V291</f>
        <v>725</v>
      </c>
      <c r="D289" s="110">
        <f>'D) Ecrêtage'!E289</f>
        <v>44.608761680931224</v>
      </c>
      <c r="E289" s="34">
        <f t="shared" si="19"/>
        <v>1.3918239894092181</v>
      </c>
      <c r="F289" s="276">
        <f t="shared" si="20"/>
        <v>19071.468214879813</v>
      </c>
      <c r="G289" s="33">
        <f>+'A) Base RI'!U291</f>
        <v>70</v>
      </c>
      <c r="H289" s="277">
        <f t="shared" si="21"/>
        <v>1.0236400960041412</v>
      </c>
      <c r="I289" s="55">
        <f t="shared" si="22"/>
        <v>19522.3195544195</v>
      </c>
    </row>
    <row r="290" spans="1:9" x14ac:dyDescent="0.25">
      <c r="A290" s="49">
        <f>'A) Base RI'!A292</f>
        <v>5910</v>
      </c>
      <c r="B290" s="32" t="str">
        <f>'A) Base RI'!B292</f>
        <v>Cronay</v>
      </c>
      <c r="C290" s="95">
        <f>'A) Base RI'!V292</f>
        <v>394</v>
      </c>
      <c r="D290" s="110">
        <f>'D) Ecrêtage'!E290</f>
        <v>25.883213310347713</v>
      </c>
      <c r="E290" s="34">
        <f t="shared" si="19"/>
        <v>20.117372359992729</v>
      </c>
      <c r="F290" s="276">
        <f t="shared" si="20"/>
        <v>169066.7996608261</v>
      </c>
      <c r="G290" s="33">
        <f>+'A) Base RI'!U292</f>
        <v>79</v>
      </c>
      <c r="H290" s="277">
        <f t="shared" si="21"/>
        <v>1.1552509654903877</v>
      </c>
      <c r="I290" s="55">
        <f t="shared" si="22"/>
        <v>195314.58354053932</v>
      </c>
    </row>
    <row r="291" spans="1:9" x14ac:dyDescent="0.25">
      <c r="A291" s="49">
        <f>'A) Base RI'!A293</f>
        <v>5911</v>
      </c>
      <c r="B291" s="32" t="str">
        <f>'A) Base RI'!B293</f>
        <v>Cuarny</v>
      </c>
      <c r="C291" s="95">
        <f>'A) Base RI'!V293</f>
        <v>239</v>
      </c>
      <c r="D291" s="110">
        <f>'D) Ecrêtage'!E291</f>
        <v>32.783337482854407</v>
      </c>
      <c r="E291" s="34">
        <f t="shared" si="19"/>
        <v>13.217248187486035</v>
      </c>
      <c r="F291" s="276">
        <f t="shared" si="20"/>
        <v>67379.813017539447</v>
      </c>
      <c r="G291" s="33">
        <f>+'A) Base RI'!U293</f>
        <v>79</v>
      </c>
      <c r="H291" s="277">
        <f t="shared" si="21"/>
        <v>1.1552509654903877</v>
      </c>
      <c r="I291" s="55">
        <f t="shared" si="22"/>
        <v>77840.594043074248</v>
      </c>
    </row>
    <row r="292" spans="1:9" x14ac:dyDescent="0.25">
      <c r="A292" s="49">
        <f>'A) Base RI'!A294</f>
        <v>5912</v>
      </c>
      <c r="B292" s="32" t="str">
        <f>'A) Base RI'!B294</f>
        <v>Démoret</v>
      </c>
      <c r="C292" s="95">
        <f>'A) Base RI'!V294</f>
        <v>156</v>
      </c>
      <c r="D292" s="110">
        <f>'D) Ecrêtage'!E292</f>
        <v>25.406016116805933</v>
      </c>
      <c r="E292" s="34">
        <f t="shared" si="19"/>
        <v>20.594569553534509</v>
      </c>
      <c r="F292" s="276">
        <f t="shared" si="20"/>
        <v>70262.90483718476</v>
      </c>
      <c r="G292" s="33">
        <f>+'A) Base RI'!U294</f>
        <v>81</v>
      </c>
      <c r="H292" s="277">
        <f t="shared" si="21"/>
        <v>1.1844978253762204</v>
      </c>
      <c r="I292" s="55">
        <f t="shared" si="22"/>
        <v>83226.257984261669</v>
      </c>
    </row>
    <row r="293" spans="1:9" x14ac:dyDescent="0.25">
      <c r="A293" s="49">
        <f>'A) Base RI'!A295</f>
        <v>5913</v>
      </c>
      <c r="B293" s="32" t="str">
        <f>'A) Base RI'!B295</f>
        <v>Donneloye</v>
      </c>
      <c r="C293" s="95">
        <f>'A) Base RI'!V295</f>
        <v>823</v>
      </c>
      <c r="D293" s="110">
        <f>'D) Ecrêtage'!E293</f>
        <v>26.196903151810755</v>
      </c>
      <c r="E293" s="34">
        <f t="shared" si="19"/>
        <v>19.803682518529687</v>
      </c>
      <c r="F293" s="276">
        <f t="shared" si="20"/>
        <v>321242.06934830121</v>
      </c>
      <c r="G293" s="33">
        <f>+'A) Base RI'!U295</f>
        <v>73</v>
      </c>
      <c r="H293" s="277">
        <f t="shared" si="21"/>
        <v>1.06751038583289</v>
      </c>
      <c r="I293" s="55">
        <f t="shared" si="22"/>
        <v>342929.24539576104</v>
      </c>
    </row>
    <row r="294" spans="1:9" x14ac:dyDescent="0.25">
      <c r="A294" s="49">
        <f>'A) Base RI'!A296</f>
        <v>5914</v>
      </c>
      <c r="B294" s="32" t="str">
        <f>'A) Base RI'!B296</f>
        <v>Ependes</v>
      </c>
      <c r="C294" s="95">
        <f>'A) Base RI'!V296</f>
        <v>357</v>
      </c>
      <c r="D294" s="110">
        <f>'D) Ecrêtage'!E294</f>
        <v>28.347505395944182</v>
      </c>
      <c r="E294" s="34">
        <f t="shared" si="19"/>
        <v>17.65308027439626</v>
      </c>
      <c r="F294" s="276">
        <f t="shared" si="20"/>
        <v>127618.53057367916</v>
      </c>
      <c r="G294" s="33">
        <f>+'A) Base RI'!U296</f>
        <v>75</v>
      </c>
      <c r="H294" s="277">
        <f t="shared" si="21"/>
        <v>1.0967572457187227</v>
      </c>
      <c r="I294" s="55">
        <f t="shared" si="22"/>
        <v>139966.54809465897</v>
      </c>
    </row>
    <row r="295" spans="1:9" x14ac:dyDescent="0.25">
      <c r="A295" s="49">
        <f>'A) Base RI'!A297</f>
        <v>5919</v>
      </c>
      <c r="B295" s="32" t="str">
        <f>'A) Base RI'!B297</f>
        <v>Mathod</v>
      </c>
      <c r="C295" s="95">
        <f>'A) Base RI'!V297</f>
        <v>601</v>
      </c>
      <c r="D295" s="110">
        <f>'D) Ecrêtage'!E295</f>
        <v>28.99226761802657</v>
      </c>
      <c r="E295" s="34">
        <f t="shared" si="19"/>
        <v>17.008318052313872</v>
      </c>
      <c r="F295" s="276">
        <f t="shared" si="20"/>
        <v>198715.66346512601</v>
      </c>
      <c r="G295" s="33">
        <f>+'A) Base RI'!U297</f>
        <v>72</v>
      </c>
      <c r="H295" s="277">
        <f t="shared" si="21"/>
        <v>1.0528869558899736</v>
      </c>
      <c r="I295" s="55">
        <f t="shared" si="22"/>
        <v>209225.12999345298</v>
      </c>
    </row>
    <row r="296" spans="1:9" x14ac:dyDescent="0.25">
      <c r="A296" s="49">
        <f>'A) Base RI'!A298</f>
        <v>5921</v>
      </c>
      <c r="B296" s="32" t="str">
        <f>'A) Base RI'!B298</f>
        <v>Molondin</v>
      </c>
      <c r="C296" s="95">
        <f>'A) Base RI'!V298</f>
        <v>240</v>
      </c>
      <c r="D296" s="110">
        <f>'D) Ecrêtage'!E296</f>
        <v>23.533066150012878</v>
      </c>
      <c r="E296" s="34">
        <f t="shared" si="19"/>
        <v>22.467519520327563</v>
      </c>
      <c r="F296" s="276">
        <f t="shared" si="20"/>
        <v>117927.51645829531</v>
      </c>
      <c r="G296" s="33">
        <f>+'A) Base RI'!U298</f>
        <v>81</v>
      </c>
      <c r="H296" s="277">
        <f t="shared" si="21"/>
        <v>1.1844978253762204</v>
      </c>
      <c r="I296" s="55">
        <f t="shared" si="22"/>
        <v>139684.88679686925</v>
      </c>
    </row>
    <row r="297" spans="1:9" x14ac:dyDescent="0.25">
      <c r="A297" s="49">
        <f>'A) Base RI'!A299</f>
        <v>5922</v>
      </c>
      <c r="B297" s="32" t="str">
        <f>'A) Base RI'!B299</f>
        <v>Montagny-près-Yverdon</v>
      </c>
      <c r="C297" s="95">
        <f>'A) Base RI'!V299</f>
        <v>747</v>
      </c>
      <c r="D297" s="110">
        <f>'D) Ecrêtage'!E297</f>
        <v>48.171972363318467</v>
      </c>
      <c r="E297" s="34">
        <f t="shared" si="19"/>
        <v>0</v>
      </c>
      <c r="F297" s="276">
        <f t="shared" si="20"/>
        <v>0</v>
      </c>
      <c r="G297" s="33">
        <f>+'A) Base RI'!U299</f>
        <v>65</v>
      </c>
      <c r="H297" s="277">
        <f t="shared" si="21"/>
        <v>0.95052294628955958</v>
      </c>
      <c r="I297" s="55">
        <f t="shared" si="22"/>
        <v>0</v>
      </c>
    </row>
    <row r="298" spans="1:9" x14ac:dyDescent="0.25">
      <c r="A298" s="49">
        <f>'A) Base RI'!A300</f>
        <v>5923</v>
      </c>
      <c r="B298" s="32" t="str">
        <f>'A) Base RI'!B300</f>
        <v>Oppens</v>
      </c>
      <c r="C298" s="95">
        <f>'A) Base RI'!V300</f>
        <v>202</v>
      </c>
      <c r="D298" s="110">
        <f>'D) Ecrêtage'!E298</f>
        <v>26.681830966209617</v>
      </c>
      <c r="E298" s="34">
        <f t="shared" si="19"/>
        <v>19.318754704130825</v>
      </c>
      <c r="F298" s="276">
        <f t="shared" si="20"/>
        <v>85345.235406626918</v>
      </c>
      <c r="G298" s="33">
        <f>+'A) Base RI'!U300</f>
        <v>81</v>
      </c>
      <c r="H298" s="277">
        <f t="shared" si="21"/>
        <v>1.1844978253762204</v>
      </c>
      <c r="I298" s="55">
        <f t="shared" si="22"/>
        <v>101091.2457453712</v>
      </c>
    </row>
    <row r="299" spans="1:9" x14ac:dyDescent="0.25">
      <c r="A299" s="49">
        <f>'A) Base RI'!A301</f>
        <v>5924</v>
      </c>
      <c r="B299" s="32" t="str">
        <f>'A) Base RI'!B301</f>
        <v>Orges</v>
      </c>
      <c r="C299" s="95">
        <f>'A) Base RI'!V301</f>
        <v>332</v>
      </c>
      <c r="D299" s="110">
        <f>'D) Ecrêtage'!E299</f>
        <v>35.740398807336781</v>
      </c>
      <c r="E299" s="34">
        <f t="shared" si="19"/>
        <v>10.260186863003661</v>
      </c>
      <c r="F299" s="276">
        <f t="shared" si="20"/>
        <v>68059.51312957397</v>
      </c>
      <c r="G299" s="33">
        <f>+'A) Base RI'!U301</f>
        <v>74</v>
      </c>
      <c r="H299" s="277">
        <f t="shared" si="21"/>
        <v>1.0821338157758063</v>
      </c>
      <c r="I299" s="55">
        <f t="shared" si="22"/>
        <v>73649.500642749466</v>
      </c>
    </row>
    <row r="300" spans="1:9" x14ac:dyDescent="0.25">
      <c r="A300" s="49">
        <f>'A) Base RI'!A302</f>
        <v>5925</v>
      </c>
      <c r="B300" s="32" t="str">
        <f>'A) Base RI'!B302</f>
        <v>Orzens</v>
      </c>
      <c r="C300" s="95">
        <f>'A) Base RI'!V302</f>
        <v>208</v>
      </c>
      <c r="D300" s="110">
        <f>'D) Ecrêtage'!E300</f>
        <v>25.686260300712654</v>
      </c>
      <c r="E300" s="34">
        <f t="shared" si="19"/>
        <v>20.314325369627788</v>
      </c>
      <c r="F300" s="276">
        <f t="shared" si="20"/>
        <v>90127.348507905437</v>
      </c>
      <c r="G300" s="33">
        <f>+'A) Base RI'!U302</f>
        <v>79</v>
      </c>
      <c r="H300" s="277">
        <f t="shared" si="21"/>
        <v>1.1552509654903877</v>
      </c>
      <c r="I300" s="55">
        <f t="shared" si="22"/>
        <v>104119.70638084642</v>
      </c>
    </row>
    <row r="301" spans="1:9" x14ac:dyDescent="0.25">
      <c r="A301" s="49">
        <f>'A) Base RI'!A303</f>
        <v>5926</v>
      </c>
      <c r="B301" s="32" t="str">
        <f>'A) Base RI'!B303</f>
        <v>Pomy</v>
      </c>
      <c r="C301" s="95">
        <f>'A) Base RI'!V303</f>
        <v>793</v>
      </c>
      <c r="D301" s="110">
        <f>'D) Ecrêtage'!E301</f>
        <v>34.656008629830332</v>
      </c>
      <c r="E301" s="34">
        <f t="shared" si="19"/>
        <v>11.34457704051011</v>
      </c>
      <c r="F301" s="276">
        <f t="shared" si="20"/>
        <v>172458.10470019703</v>
      </c>
      <c r="G301" s="33">
        <f>+'A) Base RI'!U303</f>
        <v>71</v>
      </c>
      <c r="H301" s="277">
        <f t="shared" si="21"/>
        <v>1.0382635259470574</v>
      </c>
      <c r="I301" s="55">
        <f t="shared" si="22"/>
        <v>179056.95986417335</v>
      </c>
    </row>
    <row r="302" spans="1:9" x14ac:dyDescent="0.25">
      <c r="A302" s="49">
        <f>'A) Base RI'!A304</f>
        <v>5928</v>
      </c>
      <c r="B302" s="32" t="str">
        <f>'A) Base RI'!B304</f>
        <v>Rovray</v>
      </c>
      <c r="C302" s="95">
        <f>'A) Base RI'!V304</f>
        <v>185</v>
      </c>
      <c r="D302" s="110">
        <f>'D) Ecrêtage'!E302</f>
        <v>32.449159366122494</v>
      </c>
      <c r="E302" s="34">
        <f t="shared" si="19"/>
        <v>13.551426304217948</v>
      </c>
      <c r="F302" s="276">
        <f t="shared" si="20"/>
        <v>49413.243304385112</v>
      </c>
      <c r="G302" s="33">
        <f>+'A) Base RI'!U304</f>
        <v>73</v>
      </c>
      <c r="H302" s="277">
        <f t="shared" si="21"/>
        <v>1.06751038583289</v>
      </c>
      <c r="I302" s="55">
        <f t="shared" si="22"/>
        <v>52749.15042511862</v>
      </c>
    </row>
    <row r="303" spans="1:9" x14ac:dyDescent="0.25">
      <c r="A303" s="49">
        <f>'A) Base RI'!A305</f>
        <v>5929</v>
      </c>
      <c r="B303" s="32" t="str">
        <f>'A) Base RI'!B305</f>
        <v>Suchy</v>
      </c>
      <c r="C303" s="95">
        <f>'A) Base RI'!V305</f>
        <v>645</v>
      </c>
      <c r="D303" s="110">
        <f>'D) Ecrêtage'!E303</f>
        <v>26.690699948232254</v>
      </c>
      <c r="E303" s="34">
        <f t="shared" si="19"/>
        <v>19.309885722108188</v>
      </c>
      <c r="F303" s="276">
        <f t="shared" si="20"/>
        <v>235397.1618953599</v>
      </c>
      <c r="G303" s="33">
        <f>+'A) Base RI'!U305</f>
        <v>70</v>
      </c>
      <c r="H303" s="277">
        <f t="shared" si="21"/>
        <v>1.0236400960041412</v>
      </c>
      <c r="I303" s="55">
        <f t="shared" si="22"/>
        <v>240961.97340166857</v>
      </c>
    </row>
    <row r="304" spans="1:9" x14ac:dyDescent="0.25">
      <c r="A304" s="49">
        <f>'A) Base RI'!A306</f>
        <v>5930</v>
      </c>
      <c r="B304" s="32" t="str">
        <f>'A) Base RI'!B306</f>
        <v>Suscévaz</v>
      </c>
      <c r="C304" s="95">
        <f>'A) Base RI'!V306</f>
        <v>215</v>
      </c>
      <c r="D304" s="110">
        <f>'D) Ecrêtage'!E304</f>
        <v>27.25114880602548</v>
      </c>
      <c r="E304" s="34">
        <f t="shared" si="19"/>
        <v>18.749436864314962</v>
      </c>
      <c r="F304" s="276">
        <f t="shared" si="20"/>
        <v>78365.146318090818</v>
      </c>
      <c r="G304" s="33">
        <f>+'A) Base RI'!U306</f>
        <v>72</v>
      </c>
      <c r="H304" s="277">
        <f t="shared" si="21"/>
        <v>1.0528869558899736</v>
      </c>
      <c r="I304" s="55">
        <f t="shared" si="22"/>
        <v>82509.640354727017</v>
      </c>
    </row>
    <row r="305" spans="1:9" x14ac:dyDescent="0.25">
      <c r="A305" s="49">
        <f>'A) Base RI'!A307</f>
        <v>5931</v>
      </c>
      <c r="B305" s="32" t="str">
        <f>'A) Base RI'!B307</f>
        <v>Treycovagnes</v>
      </c>
      <c r="C305" s="95">
        <f>'A) Base RI'!V307</f>
        <v>492</v>
      </c>
      <c r="D305" s="110">
        <f>'D) Ecrêtage'!E305</f>
        <v>24.741486248031617</v>
      </c>
      <c r="E305" s="34">
        <f t="shared" si="19"/>
        <v>21.259099422308825</v>
      </c>
      <c r="F305" s="276">
        <f t="shared" si="20"/>
        <v>211804.40754446285</v>
      </c>
      <c r="G305" s="33">
        <f>+'A) Base RI'!U307</f>
        <v>75</v>
      </c>
      <c r="H305" s="277">
        <f t="shared" si="21"/>
        <v>1.0967572457187227</v>
      </c>
      <c r="I305" s="55">
        <f t="shared" si="22"/>
        <v>232298.01864955094</v>
      </c>
    </row>
    <row r="306" spans="1:9" x14ac:dyDescent="0.25">
      <c r="A306" s="49">
        <f>'A) Base RI'!A308</f>
        <v>5932</v>
      </c>
      <c r="B306" s="32" t="str">
        <f>'A) Base RI'!B308</f>
        <v>Ursins</v>
      </c>
      <c r="C306" s="95">
        <f>'A) Base RI'!V308</f>
        <v>225</v>
      </c>
      <c r="D306" s="110">
        <f>'D) Ecrêtage'!E306</f>
        <v>36.78566895565217</v>
      </c>
      <c r="E306" s="34">
        <f t="shared" si="19"/>
        <v>9.2149167146882718</v>
      </c>
      <c r="F306" s="276">
        <f t="shared" si="20"/>
        <v>43105.076662133062</v>
      </c>
      <c r="G306" s="33">
        <f>+'A) Base RI'!U308</f>
        <v>77</v>
      </c>
      <c r="H306" s="277">
        <f t="shared" si="21"/>
        <v>1.1260041056045551</v>
      </c>
      <c r="I306" s="55">
        <f t="shared" si="22"/>
        <v>48536.493293960921</v>
      </c>
    </row>
    <row r="307" spans="1:9" x14ac:dyDescent="0.25">
      <c r="A307" s="49">
        <f>'A) Base RI'!A309</f>
        <v>5933</v>
      </c>
      <c r="B307" s="32" t="str">
        <f>'A) Base RI'!B309</f>
        <v>Valeyres-sous-Montagny</v>
      </c>
      <c r="C307" s="95">
        <f>'A) Base RI'!V309</f>
        <v>709</v>
      </c>
      <c r="D307" s="110">
        <f>'D) Ecrêtage'!E307</f>
        <v>31.155048744403576</v>
      </c>
      <c r="E307" s="34">
        <f t="shared" si="19"/>
        <v>14.845536925936866</v>
      </c>
      <c r="F307" s="276">
        <f t="shared" si="20"/>
        <v>204615.4416287108</v>
      </c>
      <c r="G307" s="33">
        <f>+'A) Base RI'!U309</f>
        <v>72</v>
      </c>
      <c r="H307" s="277">
        <f t="shared" si="21"/>
        <v>1.0528869558899736</v>
      </c>
      <c r="I307" s="55">
        <f t="shared" si="22"/>
        <v>215436.9294645359</v>
      </c>
    </row>
    <row r="308" spans="1:9" x14ac:dyDescent="0.25">
      <c r="A308" s="49">
        <f>'A) Base RI'!A310</f>
        <v>5934</v>
      </c>
      <c r="B308" s="32" t="str">
        <f>'A) Base RI'!B310</f>
        <v>Valeyres-sous-Ursins</v>
      </c>
      <c r="C308" s="95">
        <f>'A) Base RI'!V310</f>
        <v>227</v>
      </c>
      <c r="D308" s="110">
        <f>'D) Ecrêtage'!E308</f>
        <v>33.248090670830315</v>
      </c>
      <c r="E308" s="34">
        <f t="shared" si="19"/>
        <v>12.752494999510127</v>
      </c>
      <c r="F308" s="276">
        <f t="shared" si="20"/>
        <v>61746.433063078082</v>
      </c>
      <c r="G308" s="33">
        <f>+'A) Base RI'!U310</f>
        <v>79</v>
      </c>
      <c r="H308" s="277">
        <f t="shared" si="21"/>
        <v>1.1552509654903877</v>
      </c>
      <c r="I308" s="55">
        <f t="shared" si="22"/>
        <v>71332.626411708552</v>
      </c>
    </row>
    <row r="309" spans="1:9" x14ac:dyDescent="0.25">
      <c r="A309" s="49">
        <f>'A) Base RI'!A311</f>
        <v>5935</v>
      </c>
      <c r="B309" s="32" t="str">
        <f>'A) Base RI'!B311</f>
        <v>Villars-Epeney</v>
      </c>
      <c r="C309" s="95">
        <f>'A) Base RI'!V311</f>
        <v>102</v>
      </c>
      <c r="D309" s="110">
        <f>'D) Ecrêtage'!E309</f>
        <v>47.5768316993464</v>
      </c>
      <c r="E309" s="34">
        <f t="shared" si="19"/>
        <v>0</v>
      </c>
      <c r="F309" s="276">
        <f t="shared" si="20"/>
        <v>0</v>
      </c>
      <c r="G309" s="33">
        <f>+'A) Base RI'!U311</f>
        <v>60</v>
      </c>
      <c r="H309" s="277">
        <f t="shared" si="21"/>
        <v>0.87740579657497808</v>
      </c>
      <c r="I309" s="55">
        <f t="shared" si="22"/>
        <v>0</v>
      </c>
    </row>
    <row r="310" spans="1:9" x14ac:dyDescent="0.25">
      <c r="A310" s="49">
        <f>'A) Base RI'!A312</f>
        <v>5937</v>
      </c>
      <c r="B310" s="32" t="str">
        <f>'A) Base RI'!B312</f>
        <v>Vugelles-La Mothe</v>
      </c>
      <c r="C310" s="95">
        <f>'A) Base RI'!V312</f>
        <v>135</v>
      </c>
      <c r="D310" s="110">
        <f>'D) Ecrêtage'!E310</f>
        <v>22.322884021597567</v>
      </c>
      <c r="E310" s="34">
        <f t="shared" si="19"/>
        <v>23.677701648742875</v>
      </c>
      <c r="F310" s="276">
        <f t="shared" si="20"/>
        <v>60413.655756767454</v>
      </c>
      <c r="G310" s="33">
        <f>+'A) Base RI'!U312</f>
        <v>70</v>
      </c>
      <c r="H310" s="277">
        <f t="shared" si="21"/>
        <v>1.0236400960041412</v>
      </c>
      <c r="I310" s="55">
        <f t="shared" si="22"/>
        <v>61841.840378818575</v>
      </c>
    </row>
    <row r="311" spans="1:9" x14ac:dyDescent="0.25">
      <c r="A311" s="49">
        <f>'A) Base RI'!A313</f>
        <v>5938</v>
      </c>
      <c r="B311" s="32" t="str">
        <f>'A) Base RI'!B313</f>
        <v>Yverdon-les-Bains</v>
      </c>
      <c r="C311" s="95">
        <f>'A) Base RI'!V313</f>
        <v>30189</v>
      </c>
      <c r="D311" s="110">
        <f>'D) Ecrêtage'!E311</f>
        <v>25.892191479020148</v>
      </c>
      <c r="E311" s="34">
        <f t="shared" si="19"/>
        <v>20.108394191320293</v>
      </c>
      <c r="F311" s="276">
        <f t="shared" si="20"/>
        <v>12538665.509353725</v>
      </c>
      <c r="G311" s="33">
        <f>+'A) Base RI'!U313</f>
        <v>76.5</v>
      </c>
      <c r="H311" s="277">
        <f t="shared" si="21"/>
        <v>1.118692390633097</v>
      </c>
      <c r="I311" s="55">
        <f t="shared" si="22"/>
        <v>14026909.694007678</v>
      </c>
    </row>
    <row r="312" spans="1:9" x14ac:dyDescent="0.25">
      <c r="A312" s="49">
        <f>'A) Base RI'!A314</f>
        <v>5939</v>
      </c>
      <c r="B312" s="32" t="str">
        <f>'A) Base RI'!B314</f>
        <v>Yvonand</v>
      </c>
      <c r="C312" s="95">
        <f>'A) Base RI'!V314</f>
        <v>3434</v>
      </c>
      <c r="D312" s="110">
        <f>'D) Ecrêtage'!E312</f>
        <v>27.670234911575086</v>
      </c>
      <c r="E312" s="34">
        <f t="shared" si="19"/>
        <v>18.330350758765356</v>
      </c>
      <c r="F312" s="276">
        <f t="shared" si="20"/>
        <v>1240674.0270053807</v>
      </c>
      <c r="G312" s="33">
        <f>+'A) Base RI'!U314</f>
        <v>73</v>
      </c>
      <c r="H312" s="277">
        <f t="shared" si="21"/>
        <v>1.06751038583289</v>
      </c>
      <c r="I312" s="55">
        <f t="shared" si="22"/>
        <v>1324432.4092613594</v>
      </c>
    </row>
    <row r="313" spans="1:9" x14ac:dyDescent="0.25">
      <c r="A313" s="30"/>
      <c r="B313" s="118">
        <f>COUNTA(B5:B312)</f>
        <v>308</v>
      </c>
      <c r="C313" s="97">
        <f>SUM(C5:C312)</f>
        <v>806088</v>
      </c>
      <c r="D313" s="109">
        <f>'D) Ecrêtage'!E313</f>
        <v>46.000585670340442</v>
      </c>
      <c r="E313" s="274"/>
      <c r="F313" s="11">
        <f>SUM(F5:F312)</f>
        <v>119305914.86359955</v>
      </c>
      <c r="G313" s="278">
        <f>'B) D RI'!S315</f>
        <v>68.383409631227281</v>
      </c>
      <c r="H313" s="275">
        <f>G313/G$313</f>
        <v>1</v>
      </c>
      <c r="I313" s="37">
        <f>SUM(I5:I312)</f>
        <v>129292568.88183312</v>
      </c>
    </row>
  </sheetData>
  <mergeCells count="8">
    <mergeCell ref="A3:A4"/>
    <mergeCell ref="I3:I4"/>
    <mergeCell ref="H3:H4"/>
    <mergeCell ref="G3:G4"/>
    <mergeCell ref="F3:F4"/>
    <mergeCell ref="B3:B4"/>
    <mergeCell ref="C3:C4"/>
    <mergeCell ref="D3:D4"/>
  </mergeCells>
  <phoneticPr fontId="24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12</vt:i4>
      </vt:variant>
    </vt:vector>
  </HeadingPairs>
  <TitlesOfParts>
    <vt:vector size="28" baseType="lpstr">
      <vt:lpstr>Paramètres</vt:lpstr>
      <vt:lpstr>Recherche</vt:lpstr>
      <vt:lpstr>A) Base RI</vt:lpstr>
      <vt:lpstr>B) D RI</vt:lpstr>
      <vt:lpstr>C) Prél. conj.</vt:lpstr>
      <vt:lpstr>D) Ecrêtage</vt:lpstr>
      <vt:lpstr>E) Part. coh. soc.</vt:lpstr>
      <vt:lpstr>F) Population</vt:lpstr>
      <vt:lpstr>G) Solidarité</vt:lpstr>
      <vt:lpstr>H) Péréquation directe</vt:lpstr>
      <vt:lpstr>I) Dépenses thématiques</vt:lpstr>
      <vt:lpstr>J) Plafonnement effort</vt:lpstr>
      <vt:lpstr>K) Plafonnement aide</vt:lpstr>
      <vt:lpstr>L) Plafonnement taux</vt:lpstr>
      <vt:lpstr>M) Police</vt:lpstr>
      <vt:lpstr>Synthèse</vt:lpstr>
      <vt:lpstr>'C) Prél. conj.'!Impression_des_titres</vt:lpstr>
      <vt:lpstr>'E) Part. coh. soc.'!Impression_des_titres</vt:lpstr>
      <vt:lpstr>'I) Dépenses thématiques'!Impression_des_titres</vt:lpstr>
      <vt:lpstr>'J) Plafonnement effort'!Impression_des_titres</vt:lpstr>
      <vt:lpstr>'L) Plafonnement taux'!Impression_des_titres</vt:lpstr>
      <vt:lpstr>'M) Police'!Impression_des_titres</vt:lpstr>
      <vt:lpstr>Synthèse!Impression_des_titres</vt:lpstr>
      <vt:lpstr>'H) Péréquation directe'!Zone_d_impression</vt:lpstr>
      <vt:lpstr>'L) Plafonnement taux'!Zone_d_impression</vt:lpstr>
      <vt:lpstr>'M) Police'!Zone_d_impression</vt:lpstr>
      <vt:lpstr>Recherche!Zone_d_impression</vt:lpstr>
      <vt:lpstr>Synthèse!Zone_d_impression</vt:lpstr>
    </vt:vector>
  </TitlesOfParts>
  <Company>Etat de Vaud / ASFiCo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Brochet Antoine</dc:creator>
  <cp:lastModifiedBy>Delija Sofia</cp:lastModifiedBy>
  <cp:lastPrinted>2019-10-08T12:23:19Z</cp:lastPrinted>
  <dcterms:created xsi:type="dcterms:W3CDTF">2005-06-06T00:37:42Z</dcterms:created>
  <dcterms:modified xsi:type="dcterms:W3CDTF">2021-10-06T11:30:27Z</dcterms:modified>
</cp:coreProperties>
</file>